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30"/>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Austell Road\Financing - Debt - Equity - Applications\A. Applications\2024-0xxFnlyPlCompetitiveAppFldr\"/>
    </mc:Choice>
  </mc:AlternateContent>
  <xr:revisionPtr revIDLastSave="0" documentId="13_ncr:1_{CA5E8439-382C-44D1-B95D-87B02DCF73F1}" xr6:coauthVersionLast="47" xr6:coauthVersionMax="47" xr10:uidLastSave="{00000000-0000-0000-0000-000000000000}"/>
  <workbookProtection workbookAlgorithmName="SHA-512" workbookHashValue="27YzOxkvADGlkxl2GOo7NrRWO1OUD2jyiSR2++iWCpD328qGMcE9P6DXvoKhXHv1xcBedXm5OqyDZigSBQgf5Q==" workbookSaltValue="UFMmFzDmFJn76+QyFB76sw==" workbookSpinCount="100000" lockStructure="1"/>
  <bookViews>
    <workbookView xWindow="-120" yWindow="-120" windowWidth="29040" windowHeight="1584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5" i="106" l="1"/>
  <c r="C32" i="111"/>
  <c r="D32" i="111"/>
  <c r="E32" i="111"/>
  <c r="F32" i="111"/>
  <c r="G32" i="111"/>
  <c r="H32" i="111"/>
  <c r="I32" i="111"/>
  <c r="J32" i="111"/>
  <c r="K32" i="111"/>
  <c r="P27" i="112" l="1"/>
  <c r="O368" i="112"/>
  <c r="P181" i="113"/>
  <c r="O1262" i="121"/>
  <c r="O1522" i="121"/>
  <c r="P1024" i="121"/>
  <c r="P1263" i="121"/>
  <c r="O1263" i="121"/>
  <c r="F78" i="89"/>
  <c r="F76" i="89"/>
  <c r="F74" i="89"/>
  <c r="F40" i="89"/>
  <c r="F31" i="89"/>
  <c r="E28" i="89"/>
  <c r="E17" i="89"/>
  <c r="K44" i="87"/>
  <c r="H44" i="87"/>
  <c r="K43" i="87"/>
  <c r="H43" i="87"/>
  <c r="K42" i="87"/>
  <c r="H42" i="87"/>
  <c r="K41" i="87"/>
  <c r="H41" i="87"/>
  <c r="K40" i="87"/>
  <c r="H40" i="87"/>
  <c r="K39" i="87"/>
  <c r="H39" i="87"/>
  <c r="K38" i="87"/>
  <c r="H38" i="87"/>
  <c r="K37" i="87"/>
  <c r="H37" i="87"/>
  <c r="K36" i="87"/>
  <c r="H36" i="87"/>
  <c r="K35" i="87"/>
  <c r="H35" i="87"/>
  <c r="K34" i="87"/>
  <c r="H34" i="87"/>
  <c r="K33" i="87"/>
  <c r="H33" i="87"/>
  <c r="K32" i="87"/>
  <c r="H32" i="87"/>
  <c r="K31" i="87"/>
  <c r="H31" i="87"/>
  <c r="K30" i="87"/>
  <c r="H30" i="87"/>
  <c r="K29" i="87"/>
  <c r="H29" i="87"/>
  <c r="K28" i="87"/>
  <c r="H28" i="87"/>
  <c r="K27" i="87"/>
  <c r="H27" i="87"/>
  <c r="K26" i="87"/>
  <c r="H26" i="87"/>
  <c r="K25" i="87"/>
  <c r="H25" i="87"/>
  <c r="K24" i="87"/>
  <c r="H24" i="87"/>
  <c r="K23" i="87"/>
  <c r="H23" i="87"/>
  <c r="K22" i="87"/>
  <c r="H22" i="87"/>
  <c r="K21" i="87"/>
  <c r="H21" i="87"/>
  <c r="K20" i="87"/>
  <c r="H20" i="87"/>
  <c r="K19" i="87"/>
  <c r="H19" i="87"/>
  <c r="K18" i="87"/>
  <c r="H18" i="87"/>
  <c r="K17" i="87"/>
  <c r="H17" i="87"/>
  <c r="K16" i="87"/>
  <c r="H16" i="87"/>
  <c r="K15" i="87"/>
  <c r="H15" i="87"/>
  <c r="K14" i="87"/>
  <c r="H14" i="87"/>
  <c r="K13" i="87"/>
  <c r="H13" i="87"/>
  <c r="K12" i="87"/>
  <c r="H12" i="87"/>
  <c r="K11" i="87"/>
  <c r="H11" i="87"/>
  <c r="K10" i="87"/>
  <c r="H10" i="87"/>
  <c r="J5" i="87"/>
  <c r="G5" i="87"/>
  <c r="D5" i="87"/>
  <c r="A5" i="87"/>
  <c r="H54" i="86"/>
  <c r="G54" i="86"/>
  <c r="F54" i="86"/>
  <c r="E54" i="86"/>
  <c r="D54" i="86"/>
  <c r="H52" i="86"/>
  <c r="G52" i="86"/>
  <c r="F52" i="86"/>
  <c r="E52" i="86"/>
  <c r="D52" i="86"/>
  <c r="C52" i="86"/>
  <c r="H49" i="86"/>
  <c r="G49" i="86"/>
  <c r="F49" i="86"/>
  <c r="E49" i="86"/>
  <c r="D49" i="86"/>
  <c r="I32" i="86"/>
  <c r="H32" i="86"/>
  <c r="G32" i="86"/>
  <c r="F32" i="86"/>
  <c r="E32" i="86"/>
  <c r="D32" i="86"/>
  <c r="C32" i="86"/>
  <c r="I12" i="86"/>
  <c r="H12" i="86"/>
  <c r="G12" i="86"/>
  <c r="F12" i="86"/>
  <c r="E12" i="86"/>
  <c r="D12" i="86"/>
  <c r="C12"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K1456"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K1400" i="121"/>
  <c r="K1399" i="121"/>
  <c r="K1398"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L1213" i="121" s="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P1396" i="121"/>
  <c r="O1517" i="121"/>
  <c r="I1517" i="121" s="1"/>
  <c r="P1386" i="121"/>
  <c r="O1386" i="121"/>
  <c r="P1334" i="121"/>
  <c r="P1317" i="121"/>
  <c r="P1533" i="121"/>
  <c r="P1395" i="121"/>
  <c r="P1381" i="121"/>
  <c r="O1381" i="121"/>
  <c r="P1379" i="121"/>
  <c r="O1379" i="121"/>
  <c r="P1373" i="121"/>
  <c r="O1373" i="121"/>
  <c r="P1372" i="121"/>
  <c r="O1372" i="121"/>
  <c r="P1369" i="121"/>
  <c r="O1369" i="121"/>
  <c r="P1347" i="121"/>
  <c r="O1347" i="121"/>
  <c r="Q1347" i="121" s="1"/>
  <c r="P1309" i="121"/>
  <c r="P1278" i="121"/>
  <c r="P1274" i="121"/>
  <c r="P1265" i="121"/>
  <c r="P1258" i="121"/>
  <c r="P1257" i="121"/>
  <c r="P1249" i="121"/>
  <c r="O1249" i="121"/>
  <c r="P1246" i="121"/>
  <c r="O1246" i="121"/>
  <c r="P1235" i="121"/>
  <c r="P1237" i="121"/>
  <c r="O1237" i="121"/>
  <c r="P1212" i="121"/>
  <c r="P1203" i="121"/>
  <c r="P1201" i="121"/>
  <c r="P1194" i="121"/>
  <c r="J1188" i="121"/>
  <c r="O1189" i="121"/>
  <c r="O1187" i="121"/>
  <c r="O1186" i="121"/>
  <c r="O1183" i="121"/>
  <c r="O1180" i="121"/>
  <c r="O1181" i="121"/>
  <c r="O1179" i="121"/>
  <c r="P1184" i="121"/>
  <c r="P1182" i="121"/>
  <c r="P1178"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H933" i="121" s="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F836" i="121"/>
  <c r="E836" i="121"/>
  <c r="D836" i="121"/>
  <c r="C836" i="121"/>
  <c r="B836" i="121"/>
  <c r="F835" i="121"/>
  <c r="E835" i="121"/>
  <c r="D835" i="121"/>
  <c r="C835" i="121"/>
  <c r="B835" i="121"/>
  <c r="K806" i="121"/>
  <c r="J806" i="121"/>
  <c r="I806" i="121"/>
  <c r="H806" i="121"/>
  <c r="G806" i="121"/>
  <c r="F806" i="121"/>
  <c r="E806" i="121"/>
  <c r="D806" i="121"/>
  <c r="C806" i="121"/>
  <c r="B806" i="121"/>
  <c r="K805" i="121"/>
  <c r="J805" i="121"/>
  <c r="I805" i="121"/>
  <c r="H805" i="121"/>
  <c r="G805" i="121"/>
  <c r="F805" i="121"/>
  <c r="E805" i="121"/>
  <c r="D805" i="121"/>
  <c r="C805" i="121"/>
  <c r="B805" i="121"/>
  <c r="K775" i="121"/>
  <c r="J775" i="121"/>
  <c r="I775" i="121"/>
  <c r="H775" i="121"/>
  <c r="G775" i="121"/>
  <c r="F775" i="121"/>
  <c r="E775" i="121"/>
  <c r="D775" i="121"/>
  <c r="C775" i="121"/>
  <c r="B775" i="121"/>
  <c r="K774" i="121"/>
  <c r="J774" i="121"/>
  <c r="I774" i="121"/>
  <c r="H774" i="121"/>
  <c r="G774" i="121"/>
  <c r="F774" i="121"/>
  <c r="E774" i="121"/>
  <c r="D774" i="121"/>
  <c r="C774" i="121"/>
  <c r="B774" i="121"/>
  <c r="F823" i="121"/>
  <c r="F830" i="121" s="1"/>
  <c r="E823" i="121"/>
  <c r="D823" i="121"/>
  <c r="C823" i="121"/>
  <c r="C830" i="121" s="1"/>
  <c r="B823" i="121"/>
  <c r="B830" i="121" s="1"/>
  <c r="F822" i="121"/>
  <c r="E822" i="121"/>
  <c r="E829" i="121" s="1"/>
  <c r="D822" i="121"/>
  <c r="D829" i="121" s="1"/>
  <c r="C822" i="121"/>
  <c r="C829" i="121" s="1"/>
  <c r="B822" i="121"/>
  <c r="E830" i="121"/>
  <c r="F829" i="121"/>
  <c r="B829" i="121"/>
  <c r="K793" i="121"/>
  <c r="K800" i="121" s="1"/>
  <c r="J793" i="121"/>
  <c r="I793" i="121"/>
  <c r="H793" i="121"/>
  <c r="H800" i="121" s="1"/>
  <c r="G793" i="121"/>
  <c r="F793" i="121"/>
  <c r="E793" i="121"/>
  <c r="D793" i="121"/>
  <c r="D800" i="121" s="1"/>
  <c r="C793" i="121"/>
  <c r="C800" i="121" s="1"/>
  <c r="B793" i="121"/>
  <c r="K792" i="121"/>
  <c r="J792" i="121"/>
  <c r="J799" i="121" s="1"/>
  <c r="I792" i="121"/>
  <c r="I799" i="121" s="1"/>
  <c r="H792" i="121"/>
  <c r="G792" i="121"/>
  <c r="F792" i="121"/>
  <c r="F799" i="121" s="1"/>
  <c r="E792" i="121"/>
  <c r="E799" i="121" s="1"/>
  <c r="D792" i="121"/>
  <c r="C792" i="121"/>
  <c r="B792" i="121"/>
  <c r="B799" i="121" s="1"/>
  <c r="K764" i="121"/>
  <c r="J764" i="121"/>
  <c r="I764" i="121"/>
  <c r="H764" i="121"/>
  <c r="G764" i="121"/>
  <c r="K761" i="121"/>
  <c r="J761" i="121"/>
  <c r="I761" i="121"/>
  <c r="H761" i="121"/>
  <c r="G761" i="121"/>
  <c r="F761" i="121"/>
  <c r="E761" i="121"/>
  <c r="D761" i="121"/>
  <c r="C761" i="121"/>
  <c r="B761" i="121"/>
  <c r="K760" i="121"/>
  <c r="J760" i="121"/>
  <c r="J768" i="121" s="1"/>
  <c r="I760" i="121"/>
  <c r="H760" i="121"/>
  <c r="G760" i="121"/>
  <c r="F760" i="121"/>
  <c r="F768" i="121" s="1"/>
  <c r="E760" i="121"/>
  <c r="E768" i="121" s="1"/>
  <c r="D760" i="121"/>
  <c r="C760" i="121"/>
  <c r="B760" i="121"/>
  <c r="B729" i="121"/>
  <c r="K743" i="121"/>
  <c r="J743" i="121"/>
  <c r="I743" i="121"/>
  <c r="H743" i="121"/>
  <c r="G743" i="121"/>
  <c r="F743" i="121"/>
  <c r="E743" i="121"/>
  <c r="D743" i="121"/>
  <c r="C743" i="121"/>
  <c r="B743" i="121"/>
  <c r="K742" i="121"/>
  <c r="J742" i="121"/>
  <c r="I742" i="121"/>
  <c r="H742" i="121"/>
  <c r="G742" i="121"/>
  <c r="F742" i="121"/>
  <c r="E742" i="121"/>
  <c r="D742" i="121"/>
  <c r="C742" i="121"/>
  <c r="B742" i="121"/>
  <c r="K729" i="121"/>
  <c r="J729" i="121"/>
  <c r="I729" i="121"/>
  <c r="H729" i="121"/>
  <c r="G729" i="121"/>
  <c r="F729" i="121"/>
  <c r="E729" i="121"/>
  <c r="D729" i="121"/>
  <c r="C729" i="121"/>
  <c r="K728" i="121"/>
  <c r="J728" i="121"/>
  <c r="I728" i="121"/>
  <c r="H728" i="121"/>
  <c r="G728" i="121"/>
  <c r="F728" i="121"/>
  <c r="E728" i="121"/>
  <c r="D728" i="121"/>
  <c r="C728" i="121"/>
  <c r="B728" i="121"/>
  <c r="K710" i="121"/>
  <c r="K709" i="121"/>
  <c r="G710" i="121"/>
  <c r="G709" i="121"/>
  <c r="G706" i="121"/>
  <c r="B709" i="121"/>
  <c r="A698" i="121"/>
  <c r="Q695" i="121"/>
  <c r="N695" i="121"/>
  <c r="L695" i="121"/>
  <c r="J695" i="121"/>
  <c r="N693" i="121"/>
  <c r="K693" i="121"/>
  <c r="L688" i="121"/>
  <c r="L687" i="121"/>
  <c r="L686" i="121"/>
  <c r="L689" i="121" s="1"/>
  <c r="I682" i="121"/>
  <c r="I688" i="121"/>
  <c r="I672" i="121"/>
  <c r="L681" i="121"/>
  <c r="L682" i="121"/>
  <c r="L680" i="121"/>
  <c r="L679" i="121"/>
  <c r="L678" i="121"/>
  <c r="L677" i="121"/>
  <c r="L672" i="121"/>
  <c r="L671" i="121"/>
  <c r="L670" i="121"/>
  <c r="L669" i="121"/>
  <c r="L664" i="12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H657" i="121"/>
  <c r="L656" i="121"/>
  <c r="L658" i="121" s="1"/>
  <c r="K656" i="121"/>
  <c r="J656" i="121"/>
  <c r="J658" i="121" s="1"/>
  <c r="I656" i="121"/>
  <c r="H656" i="121"/>
  <c r="L653" i="121"/>
  <c r="K653" i="121"/>
  <c r="J653" i="121"/>
  <c r="I653" i="121"/>
  <c r="H653" i="121"/>
  <c r="L652" i="121"/>
  <c r="K652" i="121"/>
  <c r="J652" i="121"/>
  <c r="J654" i="121" s="1"/>
  <c r="I652" i="121"/>
  <c r="H652" i="121"/>
  <c r="Q648" i="121"/>
  <c r="P648" i="121"/>
  <c r="O648" i="121"/>
  <c r="N648" i="121"/>
  <c r="M648" i="121"/>
  <c r="L648" i="121"/>
  <c r="K648" i="121"/>
  <c r="J648" i="121"/>
  <c r="I648" i="121"/>
  <c r="H648" i="121"/>
  <c r="Q647" i="121"/>
  <c r="P647" i="121"/>
  <c r="O647" i="121"/>
  <c r="N647" i="121"/>
  <c r="M647" i="121"/>
  <c r="L647" i="121"/>
  <c r="K647" i="121"/>
  <c r="J647" i="121"/>
  <c r="I647" i="121"/>
  <c r="H647" i="121"/>
  <c r="Q644" i="121"/>
  <c r="P644" i="121"/>
  <c r="P645" i="121" s="1"/>
  <c r="O644" i="121"/>
  <c r="N644" i="121"/>
  <c r="M644" i="121"/>
  <c r="L644" i="121"/>
  <c r="L645" i="121" s="1"/>
  <c r="K644" i="121"/>
  <c r="J644" i="121"/>
  <c r="I644" i="121"/>
  <c r="H644" i="121"/>
  <c r="Q643" i="121"/>
  <c r="P643" i="121"/>
  <c r="O643" i="121"/>
  <c r="N643" i="121"/>
  <c r="M643" i="121"/>
  <c r="L643" i="121"/>
  <c r="K643" i="121"/>
  <c r="K645" i="121" s="1"/>
  <c r="J643" i="121"/>
  <c r="I643" i="121"/>
  <c r="H643" i="121"/>
  <c r="Q639" i="121"/>
  <c r="P639" i="121"/>
  <c r="O639" i="121"/>
  <c r="N639" i="121"/>
  <c r="M639" i="121"/>
  <c r="L639" i="121"/>
  <c r="K639" i="121"/>
  <c r="J639" i="121"/>
  <c r="I639" i="121"/>
  <c r="H639" i="121"/>
  <c r="Q638" i="121"/>
  <c r="Q640" i="121" s="1"/>
  <c r="P638" i="121"/>
  <c r="O638" i="121"/>
  <c r="O640" i="121" s="1"/>
  <c r="N638" i="121"/>
  <c r="M638" i="121"/>
  <c r="M640" i="121" s="1"/>
  <c r="L638" i="121"/>
  <c r="K638" i="121"/>
  <c r="K640" i="121" s="1"/>
  <c r="J638" i="121"/>
  <c r="I638" i="121"/>
  <c r="I640" i="121" s="1"/>
  <c r="H638" i="121"/>
  <c r="Q635" i="121"/>
  <c r="P635" i="121"/>
  <c r="O635" i="121"/>
  <c r="N635" i="121"/>
  <c r="M635" i="121"/>
  <c r="L635" i="121"/>
  <c r="K635" i="121"/>
  <c r="J635" i="121"/>
  <c r="I635" i="121"/>
  <c r="H635" i="121"/>
  <c r="Q634" i="121"/>
  <c r="P634" i="121"/>
  <c r="O634" i="121"/>
  <c r="O636" i="121" s="1"/>
  <c r="N634" i="121"/>
  <c r="N636" i="121" s="1"/>
  <c r="M634" i="121"/>
  <c r="L634" i="121"/>
  <c r="K634" i="121"/>
  <c r="J634" i="121"/>
  <c r="J636" i="121" s="1"/>
  <c r="I634" i="121"/>
  <c r="H634" i="121"/>
  <c r="Q630" i="121"/>
  <c r="P630" i="121"/>
  <c r="O630" i="121"/>
  <c r="N630" i="121"/>
  <c r="M630" i="121"/>
  <c r="L630" i="121"/>
  <c r="K630" i="121"/>
  <c r="J630" i="121"/>
  <c r="I630" i="121"/>
  <c r="H630" i="121"/>
  <c r="Q629" i="121"/>
  <c r="P629" i="121"/>
  <c r="O629" i="121"/>
  <c r="N629" i="121"/>
  <c r="M629" i="121"/>
  <c r="L629" i="121"/>
  <c r="K629" i="121"/>
  <c r="J629" i="121"/>
  <c r="I629" i="121"/>
  <c r="H629" i="121"/>
  <c r="I625" i="121"/>
  <c r="J625" i="121"/>
  <c r="J627" i="121" s="1"/>
  <c r="K625" i="121"/>
  <c r="L625" i="121"/>
  <c r="M625" i="121"/>
  <c r="N625" i="121"/>
  <c r="O625" i="121"/>
  <c r="P625" i="121"/>
  <c r="Q625" i="121"/>
  <c r="I626" i="121"/>
  <c r="J626" i="121"/>
  <c r="K626" i="121"/>
  <c r="K627" i="121" s="1"/>
  <c r="L626" i="121"/>
  <c r="M626" i="121"/>
  <c r="N626" i="121"/>
  <c r="O626" i="121"/>
  <c r="O627" i="121" s="1"/>
  <c r="P626" i="121"/>
  <c r="Q626" i="121"/>
  <c r="Q627" i="121" s="1"/>
  <c r="H626" i="121"/>
  <c r="H625" i="12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O453" i="121"/>
  <c r="P453" i="121"/>
  <c r="Q453" i="121"/>
  <c r="N454" i="121"/>
  <c r="O454" i="121"/>
  <c r="P454" i="121"/>
  <c r="Q454" i="121"/>
  <c r="N455" i="121"/>
  <c r="O455" i="121"/>
  <c r="P455" i="121"/>
  <c r="Q455" i="121"/>
  <c r="N456" i="121"/>
  <c r="O456" i="121"/>
  <c r="P456" i="121"/>
  <c r="Q456" i="121"/>
  <c r="N457" i="121"/>
  <c r="O457" i="121"/>
  <c r="P457" i="121"/>
  <c r="Q457" i="121"/>
  <c r="N458" i="121"/>
  <c r="O458" i="121"/>
  <c r="P458" i="121"/>
  <c r="Q458" i="121"/>
  <c r="N459" i="121"/>
  <c r="LL459" i="121" s="1"/>
  <c r="O459" i="121"/>
  <c r="P459" i="121"/>
  <c r="Q459" i="121"/>
  <c r="KM459" i="121" s="1"/>
  <c r="N460" i="121"/>
  <c r="O460" i="121"/>
  <c r="P460" i="121"/>
  <c r="Q460" i="121"/>
  <c r="N461" i="12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IB486" i="121" s="1"/>
  <c r="P486" i="121"/>
  <c r="Q486" i="121"/>
  <c r="Q449" i="121"/>
  <c r="P449" i="121"/>
  <c r="O449" i="121"/>
  <c r="N449" i="121"/>
  <c r="K450" i="121"/>
  <c r="K451" i="121"/>
  <c r="K452" i="121"/>
  <c r="K453" i="121"/>
  <c r="K454" i="121"/>
  <c r="K455" i="121"/>
  <c r="K456" i="121"/>
  <c r="K457" i="121"/>
  <c r="K458" i="121"/>
  <c r="K459" i="121"/>
  <c r="K460" i="121"/>
  <c r="K461" i="121"/>
  <c r="K462" i="12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D450" i="121"/>
  <c r="E450" i="121"/>
  <c r="F450" i="121"/>
  <c r="G450" i="121"/>
  <c r="H450" i="121"/>
  <c r="I450" i="121"/>
  <c r="C451" i="121"/>
  <c r="D451" i="121"/>
  <c r="E451" i="121"/>
  <c r="F451" i="121"/>
  <c r="G451" i="121"/>
  <c r="H451" i="121"/>
  <c r="I451" i="121"/>
  <c r="C452" i="121"/>
  <c r="D452" i="121"/>
  <c r="E452" i="121"/>
  <c r="F452" i="121"/>
  <c r="G452" i="121"/>
  <c r="H452" i="121"/>
  <c r="I452" i="121"/>
  <c r="C453" i="121"/>
  <c r="D453" i="121"/>
  <c r="E453" i="121"/>
  <c r="F453" i="121"/>
  <c r="G453" i="121"/>
  <c r="H453" i="121"/>
  <c r="I453" i="121"/>
  <c r="C454" i="121"/>
  <c r="D454" i="121"/>
  <c r="E454" i="121"/>
  <c r="MO454" i="121" s="1"/>
  <c r="F454" i="121"/>
  <c r="G454" i="121"/>
  <c r="H454" i="121"/>
  <c r="I454" i="121"/>
  <c r="C455" i="121"/>
  <c r="D455" i="121"/>
  <c r="E455" i="121"/>
  <c r="F455" i="121"/>
  <c r="FT455" i="121" s="1"/>
  <c r="G455" i="121"/>
  <c r="H455" i="121"/>
  <c r="L455" i="121" s="1"/>
  <c r="M455" i="121" s="1"/>
  <c r="I455" i="121"/>
  <c r="C456" i="121"/>
  <c r="D456" i="121"/>
  <c r="E456" i="121"/>
  <c r="MM456" i="121" s="1"/>
  <c r="F456" i="121"/>
  <c r="G456" i="121"/>
  <c r="H456" i="121"/>
  <c r="I456" i="121"/>
  <c r="C457" i="121"/>
  <c r="D457" i="121"/>
  <c r="E457" i="121"/>
  <c r="F457" i="121"/>
  <c r="G457" i="121"/>
  <c r="H457" i="121"/>
  <c r="I457" i="121"/>
  <c r="C458" i="121"/>
  <c r="LW458" i="121" s="1"/>
  <c r="D458" i="121"/>
  <c r="E458" i="121"/>
  <c r="F458" i="121"/>
  <c r="G458" i="121"/>
  <c r="H458" i="121"/>
  <c r="I458" i="121"/>
  <c r="C459" i="121"/>
  <c r="D459" i="121"/>
  <c r="E459" i="121"/>
  <c r="F459" i="121"/>
  <c r="G459" i="121"/>
  <c r="H459" i="121"/>
  <c r="I459" i="121"/>
  <c r="C460" i="121"/>
  <c r="D460" i="121"/>
  <c r="E460" i="12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MM465" i="121" s="1"/>
  <c r="F465" i="121"/>
  <c r="G465" i="121"/>
  <c r="H465" i="121"/>
  <c r="I465" i="121"/>
  <c r="C466" i="12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O486" i="121" s="1"/>
  <c r="F486" i="121"/>
  <c r="G486" i="121"/>
  <c r="H486" i="121"/>
  <c r="I486" i="121"/>
  <c r="J449" i="121"/>
  <c r="I449" i="121"/>
  <c r="H449" i="121"/>
  <c r="G449" i="121"/>
  <c r="F449" i="121"/>
  <c r="E449" i="121"/>
  <c r="D449" i="121"/>
  <c r="C449" i="121"/>
  <c r="B450" i="121"/>
  <c r="B451" i="121"/>
  <c r="B452" i="121"/>
  <c r="B453" i="121"/>
  <c r="MB453" i="121" s="1"/>
  <c r="B454" i="121"/>
  <c r="B455" i="121"/>
  <c r="B456" i="121"/>
  <c r="B457" i="121"/>
  <c r="B458" i="121"/>
  <c r="B459" i="121"/>
  <c r="MD459" i="121" s="1"/>
  <c r="B460" i="121"/>
  <c r="B461" i="121"/>
  <c r="B462" i="121"/>
  <c r="B463" i="121"/>
  <c r="B464" i="121"/>
  <c r="B465" i="121"/>
  <c r="LZ465" i="121" s="1"/>
  <c r="B466" i="121"/>
  <c r="B467" i="121"/>
  <c r="B468" i="121"/>
  <c r="B469" i="121"/>
  <c r="LT469" i="121" s="1"/>
  <c r="B470" i="121"/>
  <c r="B471" i="121"/>
  <c r="B472" i="121"/>
  <c r="B473" i="121"/>
  <c r="MD473" i="121" s="1"/>
  <c r="B474" i="121"/>
  <c r="B475" i="121"/>
  <c r="B476" i="121"/>
  <c r="B477" i="121"/>
  <c r="HH477" i="121" s="1"/>
  <c r="B478" i="121"/>
  <c r="B479" i="121"/>
  <c r="B480" i="121"/>
  <c r="B481" i="121"/>
  <c r="FP481" i="121" s="1"/>
  <c r="B482" i="121"/>
  <c r="B483" i="121"/>
  <c r="B484" i="121"/>
  <c r="B485" i="121"/>
  <c r="B486" i="121"/>
  <c r="B449" i="12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M429" i="121" s="1"/>
  <c r="L421" i="121"/>
  <c r="K421" i="121"/>
  <c r="J421" i="121"/>
  <c r="I421" i="121"/>
  <c r="I429" i="121" s="1"/>
  <c r="M420" i="121"/>
  <c r="L420" i="121"/>
  <c r="K420" i="121"/>
  <c r="J420" i="121"/>
  <c r="I420" i="121"/>
  <c r="M419" i="121"/>
  <c r="L419" i="121"/>
  <c r="K41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J292" i="121" s="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2" i="121"/>
  <c r="P253" i="121"/>
  <c r="P252" i="121"/>
  <c r="M253" i="121"/>
  <c r="M252" i="121"/>
  <c r="J253" i="121"/>
  <c r="J252" i="121"/>
  <c r="G253" i="121"/>
  <c r="A253" i="121" s="1"/>
  <c r="G252" i="121"/>
  <c r="C253" i="121"/>
  <c r="C244" i="121"/>
  <c r="S244" i="121"/>
  <c r="S243" i="121"/>
  <c r="S242" i="121"/>
  <c r="S241" i="121"/>
  <c r="S240" i="121"/>
  <c r="S239" i="121"/>
  <c r="P244" i="121"/>
  <c r="P243" i="121"/>
  <c r="M244" i="121"/>
  <c r="M243" i="121"/>
  <c r="J244" i="121"/>
  <c r="J243" i="121"/>
  <c r="G244" i="121"/>
  <c r="G243" i="121"/>
  <c r="G242" i="121"/>
  <c r="G241" i="121"/>
  <c r="J241" i="121" s="1"/>
  <c r="G240" i="121"/>
  <c r="J240" i="121" s="1"/>
  <c r="G239" i="121"/>
  <c r="F233" i="121"/>
  <c r="S232" i="121"/>
  <c r="P232" i="121"/>
  <c r="M232" i="121"/>
  <c r="J232" i="121"/>
  <c r="G232" i="121"/>
  <c r="G237" i="121" s="1"/>
  <c r="S236" i="121"/>
  <c r="S235" i="121"/>
  <c r="S234" i="121"/>
  <c r="P236" i="121"/>
  <c r="P235" i="121"/>
  <c r="P234" i="121"/>
  <c r="M236" i="121"/>
  <c r="M235" i="121"/>
  <c r="M234" i="121"/>
  <c r="J236" i="121"/>
  <c r="J235" i="121"/>
  <c r="J234" i="121"/>
  <c r="G236" i="121"/>
  <c r="G235" i="121"/>
  <c r="G234" i="121"/>
  <c r="S229" i="121"/>
  <c r="S228" i="121"/>
  <c r="S227" i="121"/>
  <c r="S226" i="121"/>
  <c r="G229" i="121"/>
  <c r="G228" i="121"/>
  <c r="G227" i="121"/>
  <c r="G226" i="121"/>
  <c r="S223" i="121"/>
  <c r="S222" i="121"/>
  <c r="S221" i="121"/>
  <c r="S220" i="121"/>
  <c r="S219" i="121"/>
  <c r="S218" i="121"/>
  <c r="S217" i="121"/>
  <c r="S216" i="121"/>
  <c r="S215" i="121"/>
  <c r="G223" i="121"/>
  <c r="A223" i="121" s="1"/>
  <c r="G222" i="121"/>
  <c r="G221" i="121"/>
  <c r="G220" i="121"/>
  <c r="G219" i="121"/>
  <c r="G218" i="121"/>
  <c r="G217" i="121"/>
  <c r="G216" i="121"/>
  <c r="G215" i="121"/>
  <c r="C229" i="121"/>
  <c r="C223" i="121"/>
  <c r="C222" i="121"/>
  <c r="C212" i="12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A195" i="121" s="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J182" i="121"/>
  <c r="J181" i="121"/>
  <c r="J180" i="121"/>
  <c r="J179" i="121"/>
  <c r="J178" i="121"/>
  <c r="J177" i="121"/>
  <c r="J176" i="121"/>
  <c r="J175" i="121"/>
  <c r="J174" i="121"/>
  <c r="J173" i="121"/>
  <c r="J172" i="121"/>
  <c r="J171" i="121"/>
  <c r="G182" i="121"/>
  <c r="G181" i="12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S137" i="121"/>
  <c r="S136" i="121"/>
  <c r="J137" i="121"/>
  <c r="J136" i="121"/>
  <c r="G137" i="121"/>
  <c r="G136" i="121"/>
  <c r="M133" i="121"/>
  <c r="M132" i="121"/>
  <c r="G143" i="121"/>
  <c r="G142" i="121"/>
  <c r="G141" i="121"/>
  <c r="G140" i="121"/>
  <c r="S133" i="121"/>
  <c r="S132" i="121"/>
  <c r="S131" i="121"/>
  <c r="S130" i="121"/>
  <c r="G133" i="121"/>
  <c r="G132" i="121"/>
  <c r="G131" i="121"/>
  <c r="G130" i="12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P85" i="121"/>
  <c r="P86"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J559" i="121" s="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K1526" i="121"/>
  <c r="Q1302" i="121"/>
  <c r="L1302" i="121"/>
  <c r="Q1301" i="121"/>
  <c r="L1301" i="121"/>
  <c r="J1300" i="121"/>
  <c r="R1298" i="121"/>
  <c r="L1289" i="121"/>
  <c r="L1288" i="121"/>
  <c r="L1287" i="121"/>
  <c r="L1286" i="121"/>
  <c r="L1285" i="121"/>
  <c r="L1283" i="121"/>
  <c r="L1282" i="121"/>
  <c r="L1281" i="121"/>
  <c r="O1280" i="121"/>
  <c r="O1279" i="121"/>
  <c r="Q1264" i="121"/>
  <c r="Q1261" i="121"/>
  <c r="O1233" i="121"/>
  <c r="M1233" i="121"/>
  <c r="O1232" i="121"/>
  <c r="M1228" i="121"/>
  <c r="M1232" i="121" s="1"/>
  <c r="Q1213" i="121"/>
  <c r="O1169" i="121"/>
  <c r="D1169" i="121"/>
  <c r="C1169" i="121"/>
  <c r="B1163" i="121"/>
  <c r="A1158" i="121"/>
  <c r="M1029" i="121"/>
  <c r="M1028" i="121"/>
  <c r="M1027" i="121"/>
  <c r="K933" i="121"/>
  <c r="J933" i="121"/>
  <c r="I933" i="121"/>
  <c r="E848" i="121"/>
  <c r="A846" i="121"/>
  <c r="H846" i="121" s="1"/>
  <c r="A844" i="121"/>
  <c r="D830" i="121"/>
  <c r="F816" i="121"/>
  <c r="F832" i="121" s="1"/>
  <c r="E816" i="121"/>
  <c r="E832" i="121" s="1"/>
  <c r="D816" i="121"/>
  <c r="D832" i="121" s="1"/>
  <c r="C816" i="121"/>
  <c r="C832" i="121" s="1"/>
  <c r="B816" i="121"/>
  <c r="B832" i="121" s="1"/>
  <c r="F813" i="121"/>
  <c r="E813" i="121"/>
  <c r="D813" i="121"/>
  <c r="C813" i="121"/>
  <c r="B813" i="121"/>
  <c r="F812" i="121"/>
  <c r="E812" i="121"/>
  <c r="D812" i="121"/>
  <c r="C812" i="121"/>
  <c r="B812" i="121"/>
  <c r="J800" i="121"/>
  <c r="I800" i="121"/>
  <c r="G800" i="121"/>
  <c r="F800" i="121"/>
  <c r="E800" i="121"/>
  <c r="B800" i="121"/>
  <c r="K799" i="121"/>
  <c r="H799" i="121"/>
  <c r="G799" i="121"/>
  <c r="D799" i="121"/>
  <c r="C799" i="121"/>
  <c r="K786" i="121"/>
  <c r="K802" i="121" s="1"/>
  <c r="J786" i="121"/>
  <c r="J802" i="121" s="1"/>
  <c r="I786" i="121"/>
  <c r="I802" i="121" s="1"/>
  <c r="H786" i="121"/>
  <c r="H802" i="121" s="1"/>
  <c r="G786" i="121"/>
  <c r="G802" i="121" s="1"/>
  <c r="F786" i="121"/>
  <c r="F802" i="121" s="1"/>
  <c r="E786" i="121"/>
  <c r="E802" i="121" s="1"/>
  <c r="D786" i="121"/>
  <c r="D802" i="121" s="1"/>
  <c r="C786" i="121"/>
  <c r="C802" i="121" s="1"/>
  <c r="B786" i="121"/>
  <c r="B802" i="121" s="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C768" i="121"/>
  <c r="K769" i="121"/>
  <c r="J769" i="121"/>
  <c r="I769" i="121"/>
  <c r="H769" i="121"/>
  <c r="G769" i="121"/>
  <c r="F769" i="121"/>
  <c r="E769" i="121"/>
  <c r="D769" i="121"/>
  <c r="C769" i="121"/>
  <c r="B769" i="121"/>
  <c r="A761" i="121"/>
  <c r="A793" i="121" s="1"/>
  <c r="A823" i="121" s="1"/>
  <c r="K768" i="121"/>
  <c r="I768" i="121"/>
  <c r="H768" i="121"/>
  <c r="G768" i="121"/>
  <c r="D768" i="121"/>
  <c r="B768" i="121"/>
  <c r="A760" i="121"/>
  <c r="A792" i="121" s="1"/>
  <c r="A822" i="121" s="1"/>
  <c r="A759" i="121"/>
  <c r="A791" i="121" s="1"/>
  <c r="A821" i="121" s="1"/>
  <c r="A758" i="121"/>
  <c r="A790" i="121" s="1"/>
  <c r="A820" i="121" s="1"/>
  <c r="K754" i="121"/>
  <c r="K771" i="121" s="1"/>
  <c r="J754" i="121"/>
  <c r="J771" i="121" s="1"/>
  <c r="I754" i="121"/>
  <c r="I771" i="121" s="1"/>
  <c r="H754" i="121"/>
  <c r="H771" i="121" s="1"/>
  <c r="G754" i="121"/>
  <c r="G771" i="121" s="1"/>
  <c r="F754" i="121"/>
  <c r="F771" i="121" s="1"/>
  <c r="E754" i="121"/>
  <c r="E771" i="121" s="1"/>
  <c r="D754" i="121"/>
  <c r="D771" i="121" s="1"/>
  <c r="C754" i="121"/>
  <c r="C771" i="121" s="1"/>
  <c r="B754" i="121"/>
  <c r="B771"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37" i="121"/>
  <c r="J737" i="121"/>
  <c r="I737" i="121"/>
  <c r="H737" i="121"/>
  <c r="G737" i="121"/>
  <c r="F737" i="121"/>
  <c r="E737" i="121"/>
  <c r="D737" i="121"/>
  <c r="C737" i="121"/>
  <c r="B737" i="121"/>
  <c r="K736" i="121"/>
  <c r="J736" i="121"/>
  <c r="I736" i="121"/>
  <c r="H736" i="121"/>
  <c r="G736" i="121"/>
  <c r="F736" i="121"/>
  <c r="E736" i="121"/>
  <c r="D736" i="121"/>
  <c r="C736" i="121"/>
  <c r="B736" i="121"/>
  <c r="K722" i="121"/>
  <c r="K739" i="121" s="1"/>
  <c r="J722" i="121"/>
  <c r="J739" i="121" s="1"/>
  <c r="I722" i="121"/>
  <c r="I739" i="121" s="1"/>
  <c r="H722" i="121"/>
  <c r="H739" i="121" s="1"/>
  <c r="G722" i="121"/>
  <c r="G739" i="121" s="1"/>
  <c r="F722" i="121"/>
  <c r="F739" i="121" s="1"/>
  <c r="E722" i="121"/>
  <c r="E739" i="121" s="1"/>
  <c r="D722" i="121"/>
  <c r="D739" i="121" s="1"/>
  <c r="C722" i="121"/>
  <c r="C739" i="121" s="1"/>
  <c r="B722" i="12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L665" i="121"/>
  <c r="S660" i="121"/>
  <c r="H658" i="121"/>
  <c r="S655" i="121"/>
  <c r="L654" i="121"/>
  <c r="K654" i="121"/>
  <c r="H654" i="121"/>
  <c r="T651" i="121"/>
  <c r="Q649" i="121"/>
  <c r="M649" i="121"/>
  <c r="I649" i="121"/>
  <c r="S646" i="121"/>
  <c r="Q645" i="121"/>
  <c r="O645" i="121"/>
  <c r="M645" i="121"/>
  <c r="I645" i="121"/>
  <c r="H645" i="121"/>
  <c r="T642" i="121"/>
  <c r="S637" i="121"/>
  <c r="Q636" i="121"/>
  <c r="M636" i="121"/>
  <c r="K636" i="121"/>
  <c r="I636" i="121"/>
  <c r="T633" i="121"/>
  <c r="Q631" i="121"/>
  <c r="M631" i="121"/>
  <c r="S628" i="121"/>
  <c r="P627" i="121"/>
  <c r="N627" i="121"/>
  <c r="M627" i="121"/>
  <c r="L627" i="121"/>
  <c r="I627" i="121"/>
  <c r="H627" i="121"/>
  <c r="S624" i="121"/>
  <c r="S623" i="121"/>
  <c r="S621" i="121"/>
  <c r="S598" i="121"/>
  <c r="S588" i="121"/>
  <c r="S587" i="121"/>
  <c r="L587" i="121"/>
  <c r="S568" i="121"/>
  <c r="S550" i="121"/>
  <c r="S541" i="121"/>
  <c r="S540" i="121"/>
  <c r="S530" i="121"/>
  <c r="S507" i="121"/>
  <c r="S491" i="121"/>
  <c r="MU487" i="121"/>
  <c r="ML486" i="121"/>
  <c r="ME486" i="121"/>
  <c r="MD486" i="121"/>
  <c r="MC486" i="121"/>
  <c r="MB486" i="121"/>
  <c r="MA486" i="121"/>
  <c r="LZ486" i="121"/>
  <c r="LY486" i="121"/>
  <c r="LX486" i="121"/>
  <c r="LW486" i="121"/>
  <c r="LV486" i="121"/>
  <c r="LU486" i="121"/>
  <c r="LT486" i="121"/>
  <c r="LS486" i="121"/>
  <c r="LR486" i="121"/>
  <c r="LQ486" i="121"/>
  <c r="LP486" i="121"/>
  <c r="LO486" i="121"/>
  <c r="LN486" i="121"/>
  <c r="LM486" i="121"/>
  <c r="LL486" i="121"/>
  <c r="LK486" i="121"/>
  <c r="LJ486" i="121"/>
  <c r="LI486" i="121"/>
  <c r="LH486" i="121"/>
  <c r="LG486" i="121"/>
  <c r="ID486" i="121"/>
  <c r="IC486" i="121"/>
  <c r="HZ486" i="121"/>
  <c r="HY486" i="121"/>
  <c r="HX486" i="121"/>
  <c r="HW486" i="121"/>
  <c r="HV486" i="121"/>
  <c r="HU486" i="121"/>
  <c r="HT486" i="121"/>
  <c r="HS486" i="121"/>
  <c r="HR486" i="121"/>
  <c r="HQ486" i="121"/>
  <c r="HP486" i="121"/>
  <c r="HO486" i="121"/>
  <c r="HN486" i="121"/>
  <c r="HM486" i="121"/>
  <c r="HL486" i="121"/>
  <c r="HK486" i="121"/>
  <c r="HJ486" i="121"/>
  <c r="HI486" i="121"/>
  <c r="HH486" i="121"/>
  <c r="HG486" i="121"/>
  <c r="HF486" i="121"/>
  <c r="HE486" i="121"/>
  <c r="HD486" i="121"/>
  <c r="HC486" i="121"/>
  <c r="HB486" i="121"/>
  <c r="HA486" i="121"/>
  <c r="GZ486" i="121"/>
  <c r="GY486" i="121"/>
  <c r="GX486" i="121"/>
  <c r="GW486" i="121"/>
  <c r="GV486" i="121"/>
  <c r="GU486" i="121"/>
  <c r="GT486" i="121"/>
  <c r="GS486" i="121"/>
  <c r="GR486" i="121"/>
  <c r="GQ486" i="121"/>
  <c r="GP486" i="121"/>
  <c r="GO486" i="121"/>
  <c r="GN486" i="121"/>
  <c r="GM486" i="121"/>
  <c r="GL486" i="121"/>
  <c r="GK486" i="121"/>
  <c r="GJ486" i="121"/>
  <c r="GI486" i="121"/>
  <c r="GH486" i="121"/>
  <c r="GG486" i="121"/>
  <c r="GF486" i="121"/>
  <c r="GE486" i="121"/>
  <c r="GD486" i="121"/>
  <c r="GC486" i="121"/>
  <c r="GB486" i="121"/>
  <c r="GA486" i="121"/>
  <c r="FZ486" i="121"/>
  <c r="FY486" i="121"/>
  <c r="FX486" i="121"/>
  <c r="FW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EC486" i="121"/>
  <c r="EB486" i="121"/>
  <c r="EA486" i="121"/>
  <c r="DZ486" i="121"/>
  <c r="DY486" i="121"/>
  <c r="DX486" i="121"/>
  <c r="DW486" i="121"/>
  <c r="DV486" i="121"/>
  <c r="DU486" i="121"/>
  <c r="DT486" i="121"/>
  <c r="DS486" i="121"/>
  <c r="DR486" i="121"/>
  <c r="DQ486" i="121"/>
  <c r="DP486" i="121"/>
  <c r="DO486" i="121"/>
  <c r="DN486" i="121"/>
  <c r="DM486" i="121"/>
  <c r="DL486" i="121"/>
  <c r="DK486" i="121"/>
  <c r="DJ486" i="121"/>
  <c r="DI486" i="121"/>
  <c r="DH486" i="121"/>
  <c r="DG486" i="121"/>
  <c r="DF486" i="121"/>
  <c r="DE486" i="121"/>
  <c r="DD486" i="121"/>
  <c r="DC486" i="121"/>
  <c r="DB486" i="121"/>
  <c r="DA486" i="121"/>
  <c r="CZ486" i="121"/>
  <c r="CY486" i="121"/>
  <c r="CX486" i="121"/>
  <c r="CW486" i="121"/>
  <c r="CV486" i="121"/>
  <c r="CU486" i="121"/>
  <c r="CT486" i="121"/>
  <c r="CS486" i="121"/>
  <c r="CR486" i="121"/>
  <c r="CQ486" i="121"/>
  <c r="CP486" i="121"/>
  <c r="CO486" i="121"/>
  <c r="CN486" i="121"/>
  <c r="CM486" i="121"/>
  <c r="CL486" i="121"/>
  <c r="CK486" i="121"/>
  <c r="CJ486" i="121"/>
  <c r="CI486" i="121"/>
  <c r="CH486" i="121"/>
  <c r="CG486" i="121"/>
  <c r="CF486" i="121"/>
  <c r="CE486" i="121"/>
  <c r="CD486" i="121"/>
  <c r="CC486" i="121"/>
  <c r="CB486" i="121"/>
  <c r="CA486" i="121"/>
  <c r="BZ486" i="121"/>
  <c r="BY486" i="121"/>
  <c r="BX486" i="121"/>
  <c r="BW486" i="121"/>
  <c r="BV486" i="121"/>
  <c r="BU486" i="121"/>
  <c r="BT486" i="121"/>
  <c r="BS486" i="121"/>
  <c r="BR486" i="121"/>
  <c r="BQ486" i="121"/>
  <c r="BP486" i="121"/>
  <c r="BO486" i="121"/>
  <c r="BN486" i="121"/>
  <c r="BM486" i="121"/>
  <c r="BL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MN485" i="121"/>
  <c r="MM485" i="121"/>
  <c r="ID485" i="121"/>
  <c r="IC485" i="121"/>
  <c r="IB485" i="121"/>
  <c r="IA485" i="121"/>
  <c r="HZ485" i="121"/>
  <c r="GF485" i="121"/>
  <c r="GE485" i="121"/>
  <c r="GD485" i="121"/>
  <c r="GC485" i="121"/>
  <c r="GB485" i="121"/>
  <c r="FY485" i="121"/>
  <c r="FX485" i="121"/>
  <c r="EH485" i="121"/>
  <c r="EG485" i="121"/>
  <c r="EF485" i="121"/>
  <c r="EE485" i="121"/>
  <c r="ED485" i="121"/>
  <c r="MO484" i="121"/>
  <c r="MN484" i="121"/>
  <c r="MM484" i="121"/>
  <c r="ML484" i="121"/>
  <c r="MK484" i="121"/>
  <c r="ME484" i="121"/>
  <c r="MD484" i="121"/>
  <c r="MC484" i="121"/>
  <c r="MB484" i="121"/>
  <c r="MA484" i="121"/>
  <c r="LZ484" i="121"/>
  <c r="LY484" i="121"/>
  <c r="LX484" i="121"/>
  <c r="LW484" i="121"/>
  <c r="LV484" i="121"/>
  <c r="LU484" i="121"/>
  <c r="LT484" i="121"/>
  <c r="LS484" i="121"/>
  <c r="LR484" i="121"/>
  <c r="LQ484" i="121"/>
  <c r="LP484" i="121"/>
  <c r="LO484" i="121"/>
  <c r="LN484" i="121"/>
  <c r="LM484" i="121"/>
  <c r="LL484" i="121"/>
  <c r="LK484" i="121"/>
  <c r="LJ484" i="121"/>
  <c r="LI484" i="121"/>
  <c r="LH484" i="121"/>
  <c r="LG484" i="121"/>
  <c r="ID484" i="121"/>
  <c r="IC484" i="121"/>
  <c r="IB484" i="121"/>
  <c r="IA484" i="121"/>
  <c r="HZ484" i="121"/>
  <c r="HY484" i="121"/>
  <c r="HX484" i="121"/>
  <c r="HW484" i="121"/>
  <c r="HV484" i="121"/>
  <c r="HU484" i="121"/>
  <c r="HT484" i="121"/>
  <c r="HS484" i="121"/>
  <c r="HR484" i="121"/>
  <c r="HQ484" i="121"/>
  <c r="HP484" i="121"/>
  <c r="HO484" i="121"/>
  <c r="HN484" i="121"/>
  <c r="HM484" i="121"/>
  <c r="HL484" i="121"/>
  <c r="HK484" i="121"/>
  <c r="HJ484" i="121"/>
  <c r="HI484" i="121"/>
  <c r="HH484" i="121"/>
  <c r="HG484" i="121"/>
  <c r="HF484" i="121"/>
  <c r="HE484" i="121"/>
  <c r="HD484" i="121"/>
  <c r="HC484" i="121"/>
  <c r="HB484" i="121"/>
  <c r="HA484" i="121"/>
  <c r="GZ484" i="121"/>
  <c r="GY484" i="121"/>
  <c r="GX484" i="121"/>
  <c r="GW484" i="121"/>
  <c r="GV484" i="121"/>
  <c r="GU484" i="121"/>
  <c r="GT484" i="121"/>
  <c r="GS484" i="121"/>
  <c r="GR484" i="121"/>
  <c r="GQ484" i="121"/>
  <c r="GP484" i="121"/>
  <c r="GO484" i="121"/>
  <c r="GN484" i="121"/>
  <c r="GM484" i="121"/>
  <c r="GL484" i="121"/>
  <c r="GK484" i="121"/>
  <c r="GJ484" i="121"/>
  <c r="GI484" i="121"/>
  <c r="GH484" i="121"/>
  <c r="GG484" i="121"/>
  <c r="GF484" i="121"/>
  <c r="GE484" i="121"/>
  <c r="GD484" i="121"/>
  <c r="GC484" i="121"/>
  <c r="GB484" i="121"/>
  <c r="FZ484" i="121"/>
  <c r="FY484" i="121"/>
  <c r="FV484" i="121"/>
  <c r="FU484" i="121"/>
  <c r="FT484" i="121"/>
  <c r="FS484" i="121"/>
  <c r="FR484" i="121"/>
  <c r="FQ484" i="121"/>
  <c r="FP484" i="121"/>
  <c r="FO484" i="121"/>
  <c r="FN484" i="121"/>
  <c r="FM484" i="121"/>
  <c r="FL484" i="121"/>
  <c r="FK484" i="121"/>
  <c r="FJ484" i="121"/>
  <c r="FI484" i="121"/>
  <c r="FH484" i="121"/>
  <c r="FG484" i="121"/>
  <c r="FF484" i="121"/>
  <c r="FE484" i="121"/>
  <c r="FD484" i="121"/>
  <c r="FC484" i="121"/>
  <c r="FB484" i="121"/>
  <c r="FA484" i="121"/>
  <c r="EZ484" i="121"/>
  <c r="EY484" i="121"/>
  <c r="EX484" i="121"/>
  <c r="EW484" i="121"/>
  <c r="EV484" i="121"/>
  <c r="EU484" i="121"/>
  <c r="ET484" i="121"/>
  <c r="ES484" i="121"/>
  <c r="ER484" i="121"/>
  <c r="EQ484" i="121"/>
  <c r="EP484" i="121"/>
  <c r="EO484" i="121"/>
  <c r="EN484" i="121"/>
  <c r="EM484" i="121"/>
  <c r="EL484" i="121"/>
  <c r="EK484" i="121"/>
  <c r="EJ484" i="121"/>
  <c r="EI484" i="121"/>
  <c r="EH484" i="121"/>
  <c r="EG484" i="121"/>
  <c r="EF484" i="121"/>
  <c r="EE484" i="121"/>
  <c r="ED484" i="121"/>
  <c r="EC484" i="121"/>
  <c r="DZ484" i="121"/>
  <c r="DY484" i="121"/>
  <c r="DV484" i="121"/>
  <c r="DU484" i="121"/>
  <c r="DR484" i="121"/>
  <c r="DQ484" i="121"/>
  <c r="DN484" i="121"/>
  <c r="DM484" i="121"/>
  <c r="DJ484" i="121"/>
  <c r="DI484" i="121"/>
  <c r="DF484" i="121"/>
  <c r="DE484" i="121"/>
  <c r="DB484" i="121"/>
  <c r="DA484" i="121"/>
  <c r="CX484" i="121"/>
  <c r="CW484" i="121"/>
  <c r="CT484" i="121"/>
  <c r="CS484" i="121"/>
  <c r="CP484" i="121"/>
  <c r="CO484" i="121"/>
  <c r="CL484" i="121"/>
  <c r="CK484" i="121"/>
  <c r="CH484" i="121"/>
  <c r="CG484" i="121"/>
  <c r="CD484" i="121"/>
  <c r="CC484" i="121"/>
  <c r="BZ484" i="121"/>
  <c r="BY484" i="121"/>
  <c r="BV484" i="121"/>
  <c r="BU484" i="121"/>
  <c r="BR484" i="121"/>
  <c r="BQ484" i="121"/>
  <c r="BN484" i="121"/>
  <c r="BM484" i="121"/>
  <c r="BK484" i="121"/>
  <c r="BJ484" i="121"/>
  <c r="BI484" i="121"/>
  <c r="BH484" i="121"/>
  <c r="BG484" i="121"/>
  <c r="BF484" i="121"/>
  <c r="BE484" i="121"/>
  <c r="BD484" i="121"/>
  <c r="BC484" i="121"/>
  <c r="BB484" i="121"/>
  <c r="BA484" i="121"/>
  <c r="AZ484" i="121"/>
  <c r="AY484" i="121"/>
  <c r="AX484" i="121"/>
  <c r="AW484" i="121"/>
  <c r="AV484" i="121"/>
  <c r="AU484" i="121"/>
  <c r="AT484" i="121"/>
  <c r="AS484" i="121"/>
  <c r="AR484" i="121"/>
  <c r="AQ484" i="121"/>
  <c r="AP484" i="121"/>
  <c r="AO484" i="121"/>
  <c r="AN484" i="121"/>
  <c r="AM484" i="121"/>
  <c r="AL484" i="121"/>
  <c r="AK484" i="121"/>
  <c r="AJ484" i="121"/>
  <c r="AI484" i="121"/>
  <c r="AH484" i="121"/>
  <c r="AG484" i="121"/>
  <c r="AF484" i="121"/>
  <c r="AE484" i="121"/>
  <c r="AD484" i="121"/>
  <c r="AC484" i="121"/>
  <c r="AB484" i="121"/>
  <c r="AA484" i="121"/>
  <c r="Z484" i="121"/>
  <c r="Y484" i="121"/>
  <c r="X484" i="121"/>
  <c r="MO483" i="121"/>
  <c r="MN483" i="121"/>
  <c r="ML483" i="121"/>
  <c r="MK483" i="121"/>
  <c r="MD483" i="121"/>
  <c r="MC483" i="121"/>
  <c r="MB483" i="121"/>
  <c r="LZ483" i="121"/>
  <c r="LY483" i="121"/>
  <c r="LX483" i="121"/>
  <c r="LV483" i="121"/>
  <c r="LU483" i="121"/>
  <c r="LT483" i="121"/>
  <c r="LR483" i="121"/>
  <c r="LQ483" i="121"/>
  <c r="LP483" i="121"/>
  <c r="LN483" i="121"/>
  <c r="LM483" i="121"/>
  <c r="LL483" i="121"/>
  <c r="LJ483" i="121"/>
  <c r="LI483" i="121"/>
  <c r="LH483" i="121"/>
  <c r="ID483" i="121"/>
  <c r="IC483" i="121"/>
  <c r="IB483" i="121"/>
  <c r="HZ483" i="121"/>
  <c r="HY483" i="121"/>
  <c r="HX483" i="121"/>
  <c r="HV483" i="121"/>
  <c r="HU483" i="121"/>
  <c r="HT483" i="121"/>
  <c r="HR483" i="121"/>
  <c r="HQ483" i="121"/>
  <c r="HP483" i="121"/>
  <c r="HN483" i="121"/>
  <c r="HM483" i="121"/>
  <c r="HL483" i="121"/>
  <c r="HJ483" i="121"/>
  <c r="HI483" i="121"/>
  <c r="HH483" i="121"/>
  <c r="HF483" i="121"/>
  <c r="HE483" i="121"/>
  <c r="HD483" i="121"/>
  <c r="HB483" i="121"/>
  <c r="HA483" i="121"/>
  <c r="GZ483" i="121"/>
  <c r="GX483" i="121"/>
  <c r="GW483" i="121"/>
  <c r="GV483" i="121"/>
  <c r="GT483" i="121"/>
  <c r="GS483" i="121"/>
  <c r="GR483" i="121"/>
  <c r="GP483" i="121"/>
  <c r="GO483" i="121"/>
  <c r="GN483" i="121"/>
  <c r="GL483" i="121"/>
  <c r="GK483" i="121"/>
  <c r="GJ483" i="121"/>
  <c r="GH483" i="121"/>
  <c r="GG483" i="121"/>
  <c r="GF483" i="121"/>
  <c r="GD483" i="121"/>
  <c r="GC483" i="121"/>
  <c r="GB483" i="121"/>
  <c r="FZ483" i="121"/>
  <c r="FY483" i="121"/>
  <c r="FX483" i="121"/>
  <c r="FV483" i="121"/>
  <c r="FU483" i="121"/>
  <c r="FT483" i="121"/>
  <c r="FR483" i="121"/>
  <c r="FQ483" i="121"/>
  <c r="FP483" i="121"/>
  <c r="FN483" i="121"/>
  <c r="FM483" i="121"/>
  <c r="FL483" i="121"/>
  <c r="FJ483" i="121"/>
  <c r="FI483" i="121"/>
  <c r="FH483" i="121"/>
  <c r="FF483" i="121"/>
  <c r="FE483" i="121"/>
  <c r="FD483" i="121"/>
  <c r="FB483" i="121"/>
  <c r="FA483" i="121"/>
  <c r="EZ483" i="121"/>
  <c r="EX483" i="121"/>
  <c r="EW483" i="121"/>
  <c r="EV483" i="121"/>
  <c r="ET483" i="121"/>
  <c r="ES483" i="121"/>
  <c r="ER483" i="121"/>
  <c r="EP483" i="121"/>
  <c r="EO483" i="121"/>
  <c r="EN483" i="121"/>
  <c r="EL483" i="121"/>
  <c r="EK483" i="121"/>
  <c r="EJ483" i="121"/>
  <c r="EH483" i="121"/>
  <c r="EG483" i="121"/>
  <c r="EF483" i="121"/>
  <c r="ED483" i="121"/>
  <c r="EC483" i="121"/>
  <c r="EB483" i="121"/>
  <c r="DZ483" i="121"/>
  <c r="DY483" i="121"/>
  <c r="DX483" i="121"/>
  <c r="DV483" i="121"/>
  <c r="DU483" i="121"/>
  <c r="DT483" i="121"/>
  <c r="DS483" i="121"/>
  <c r="DR483" i="121"/>
  <c r="DQ483" i="121"/>
  <c r="DP483" i="121"/>
  <c r="DO483" i="121"/>
  <c r="DN483" i="121"/>
  <c r="DM483" i="121"/>
  <c r="DL483" i="121"/>
  <c r="DK483" i="121"/>
  <c r="DJ483" i="121"/>
  <c r="DI483" i="121"/>
  <c r="DH483" i="121"/>
  <c r="DG483" i="121"/>
  <c r="DF483" i="121"/>
  <c r="DE483" i="121"/>
  <c r="DD483" i="121"/>
  <c r="DC483" i="121"/>
  <c r="DB483" i="121"/>
  <c r="DA483" i="121"/>
  <c r="CZ483" i="121"/>
  <c r="CY483" i="121"/>
  <c r="CX483" i="121"/>
  <c r="CW483" i="121"/>
  <c r="CV483" i="121"/>
  <c r="CU483" i="121"/>
  <c r="CT483" i="121"/>
  <c r="CS483" i="121"/>
  <c r="CR483" i="121"/>
  <c r="CQ483" i="121"/>
  <c r="CP483" i="121"/>
  <c r="CO483" i="121"/>
  <c r="CN483" i="121"/>
  <c r="CM483" i="121"/>
  <c r="CL483" i="121"/>
  <c r="CK483" i="121"/>
  <c r="CJ483" i="121"/>
  <c r="CI483" i="121"/>
  <c r="CH483" i="121"/>
  <c r="CG483" i="121"/>
  <c r="CF483" i="121"/>
  <c r="CE483" i="121"/>
  <c r="CD483" i="121"/>
  <c r="CC483" i="121"/>
  <c r="CB483" i="121"/>
  <c r="CA483" i="121"/>
  <c r="BZ483" i="121"/>
  <c r="BY483" i="121"/>
  <c r="BX483" i="121"/>
  <c r="BW483" i="121"/>
  <c r="BV483" i="121"/>
  <c r="BU483" i="121"/>
  <c r="BT483" i="121"/>
  <c r="BS483" i="121"/>
  <c r="BR483" i="121"/>
  <c r="BQ483" i="121"/>
  <c r="BP483" i="121"/>
  <c r="BO483" i="121"/>
  <c r="BN483" i="121"/>
  <c r="BM483" i="121"/>
  <c r="BL483" i="121"/>
  <c r="BK483" i="121"/>
  <c r="BJ483" i="121"/>
  <c r="BI483" i="121"/>
  <c r="BH483" i="121"/>
  <c r="BG483" i="121"/>
  <c r="BF483" i="121"/>
  <c r="BE483" i="121"/>
  <c r="BD483" i="121"/>
  <c r="BC483" i="121"/>
  <c r="BB483" i="121"/>
  <c r="BA483" i="121"/>
  <c r="AZ483" i="121"/>
  <c r="AY483" i="121"/>
  <c r="AX483" i="121"/>
  <c r="AW483" i="121"/>
  <c r="AV483" i="121"/>
  <c r="AU483" i="121"/>
  <c r="AT483" i="121"/>
  <c r="AS483" i="121"/>
  <c r="AR483" i="121"/>
  <c r="AQ483" i="121"/>
  <c r="AP483" i="121"/>
  <c r="AO483" i="121"/>
  <c r="AN483" i="121"/>
  <c r="AM483" i="121"/>
  <c r="AL483" i="121"/>
  <c r="AK483" i="121"/>
  <c r="AJ483" i="121"/>
  <c r="AI483" i="121"/>
  <c r="AH483" i="121"/>
  <c r="AG483" i="121"/>
  <c r="AF483" i="121"/>
  <c r="AE483" i="121"/>
  <c r="AD483" i="121"/>
  <c r="AC483" i="121"/>
  <c r="AB483" i="121"/>
  <c r="AA483" i="121"/>
  <c r="Z483" i="121"/>
  <c r="Y483" i="121"/>
  <c r="X483" i="121"/>
  <c r="MO482" i="121"/>
  <c r="MN482" i="121"/>
  <c r="MM482" i="121"/>
  <c r="ML482" i="121"/>
  <c r="MK482" i="121"/>
  <c r="ME482" i="121"/>
  <c r="MD482" i="121"/>
  <c r="MC482" i="121"/>
  <c r="MB482" i="121"/>
  <c r="MA482" i="121"/>
  <c r="LZ482" i="121"/>
  <c r="LY482" i="121"/>
  <c r="LX482" i="121"/>
  <c r="LW482" i="121"/>
  <c r="LV482" i="121"/>
  <c r="LU482" i="121"/>
  <c r="LT482" i="121"/>
  <c r="LS482" i="121"/>
  <c r="LR482" i="121"/>
  <c r="LQ482" i="121"/>
  <c r="LP482" i="121"/>
  <c r="LO482" i="121"/>
  <c r="LN482" i="121"/>
  <c r="LM482" i="121"/>
  <c r="LL482" i="121"/>
  <c r="LK482" i="121"/>
  <c r="LJ482" i="121"/>
  <c r="LI482" i="121"/>
  <c r="LH482" i="121"/>
  <c r="LG482" i="121"/>
  <c r="ID482" i="121"/>
  <c r="IC482" i="121"/>
  <c r="IB482" i="121"/>
  <c r="IA482" i="121"/>
  <c r="HZ482" i="121"/>
  <c r="HY482" i="121"/>
  <c r="HX482" i="121"/>
  <c r="HW482" i="121"/>
  <c r="HV482" i="121"/>
  <c r="HU482" i="121"/>
  <c r="HT482" i="121"/>
  <c r="HS482" i="121"/>
  <c r="HR482" i="121"/>
  <c r="HQ482" i="121"/>
  <c r="HP482" i="121"/>
  <c r="HO482" i="121"/>
  <c r="HN482" i="121"/>
  <c r="HM482" i="121"/>
  <c r="HL482" i="121"/>
  <c r="HK482" i="121"/>
  <c r="HJ482" i="121"/>
  <c r="HI482" i="121"/>
  <c r="HH482" i="121"/>
  <c r="HG482" i="121"/>
  <c r="HF482" i="121"/>
  <c r="HE482" i="121"/>
  <c r="HD482" i="121"/>
  <c r="HC482" i="121"/>
  <c r="HB482" i="121"/>
  <c r="HA482" i="121"/>
  <c r="GZ482" i="121"/>
  <c r="GY482" i="121"/>
  <c r="GX482" i="121"/>
  <c r="GW482" i="121"/>
  <c r="GV482" i="121"/>
  <c r="GU482" i="121"/>
  <c r="GT482" i="121"/>
  <c r="GS482" i="121"/>
  <c r="GR482" i="121"/>
  <c r="GQ482" i="121"/>
  <c r="GP482" i="121"/>
  <c r="GO482" i="121"/>
  <c r="GN482" i="121"/>
  <c r="GM482" i="121"/>
  <c r="GL482" i="121"/>
  <c r="GK482" i="121"/>
  <c r="GJ482" i="121"/>
  <c r="GI482" i="121"/>
  <c r="GH482" i="121"/>
  <c r="GG482" i="121"/>
  <c r="GF482" i="121"/>
  <c r="GE482" i="121"/>
  <c r="GD482" i="121"/>
  <c r="GC482" i="121"/>
  <c r="GB482" i="121"/>
  <c r="GA482" i="121"/>
  <c r="FZ482" i="121"/>
  <c r="FY482" i="121"/>
  <c r="FX482" i="121"/>
  <c r="FW482" i="121"/>
  <c r="FV482" i="121"/>
  <c r="FU482" i="121"/>
  <c r="FT482" i="121"/>
  <c r="FS482" i="121"/>
  <c r="FR482" i="121"/>
  <c r="FQ482" i="121"/>
  <c r="FP482" i="121"/>
  <c r="FO482" i="121"/>
  <c r="FN482" i="121"/>
  <c r="FM482" i="121"/>
  <c r="FL482" i="121"/>
  <c r="FK482" i="121"/>
  <c r="FJ482" i="121"/>
  <c r="FI482" i="121"/>
  <c r="FH482" i="121"/>
  <c r="FG482" i="121"/>
  <c r="FF482" i="121"/>
  <c r="FE482" i="121"/>
  <c r="FD482" i="121"/>
  <c r="FC482" i="121"/>
  <c r="FB482" i="121"/>
  <c r="FA482" i="121"/>
  <c r="EZ482" i="121"/>
  <c r="EY482" i="121"/>
  <c r="EX482" i="121"/>
  <c r="EW482" i="121"/>
  <c r="EV482" i="121"/>
  <c r="EU482" i="121"/>
  <c r="ET482" i="121"/>
  <c r="ES482" i="121"/>
  <c r="ER482" i="121"/>
  <c r="EQ482" i="121"/>
  <c r="EP482" i="121"/>
  <c r="EO482" i="121"/>
  <c r="EN482" i="121"/>
  <c r="EM482" i="121"/>
  <c r="EL482" i="121"/>
  <c r="EK482" i="121"/>
  <c r="EJ482" i="121"/>
  <c r="EI482" i="121"/>
  <c r="EH482" i="121"/>
  <c r="EG482" i="121"/>
  <c r="EF482" i="121"/>
  <c r="EE482" i="121"/>
  <c r="ED482" i="121"/>
  <c r="EC482" i="121"/>
  <c r="EB482" i="121"/>
  <c r="EA482" i="121"/>
  <c r="DZ482" i="121"/>
  <c r="DY482" i="121"/>
  <c r="DX482" i="121"/>
  <c r="DW482" i="121"/>
  <c r="DV482" i="121"/>
  <c r="DU482" i="121"/>
  <c r="DT482" i="121"/>
  <c r="DS482" i="121"/>
  <c r="DR482" i="121"/>
  <c r="DQ482" i="121"/>
  <c r="DP482" i="121"/>
  <c r="DO482" i="121"/>
  <c r="DN482" i="121"/>
  <c r="DM482" i="121"/>
  <c r="DL482" i="121"/>
  <c r="DK482" i="121"/>
  <c r="DJ482" i="121"/>
  <c r="DI482" i="121"/>
  <c r="DH482" i="121"/>
  <c r="DG482" i="121"/>
  <c r="DF482" i="121"/>
  <c r="DE482" i="121"/>
  <c r="DD482" i="121"/>
  <c r="DC482" i="121"/>
  <c r="DB482" i="121"/>
  <c r="DA482" i="121"/>
  <c r="CZ482" i="121"/>
  <c r="CY482" i="121"/>
  <c r="CX482" i="121"/>
  <c r="CW482" i="121"/>
  <c r="CV482" i="121"/>
  <c r="CU482" i="121"/>
  <c r="CT482" i="121"/>
  <c r="CS482" i="121"/>
  <c r="CR482" i="121"/>
  <c r="CQ482" i="121"/>
  <c r="CP482" i="121"/>
  <c r="CO482" i="121"/>
  <c r="CN482" i="121"/>
  <c r="CM482" i="121"/>
  <c r="CL482" i="121"/>
  <c r="CK482" i="121"/>
  <c r="CJ482" i="121"/>
  <c r="CI482" i="121"/>
  <c r="CH482" i="121"/>
  <c r="CG482" i="121"/>
  <c r="CF482" i="121"/>
  <c r="CE482" i="121"/>
  <c r="CD482" i="121"/>
  <c r="CC482" i="121"/>
  <c r="CB482" i="121"/>
  <c r="CA482" i="121"/>
  <c r="BZ482" i="121"/>
  <c r="BY482" i="121"/>
  <c r="BX482" i="121"/>
  <c r="BW482" i="121"/>
  <c r="BV482" i="121"/>
  <c r="BU482" i="121"/>
  <c r="BT482" i="121"/>
  <c r="BS482" i="121"/>
  <c r="BR482" i="121"/>
  <c r="BQ482" i="121"/>
  <c r="BP482" i="121"/>
  <c r="BO482" i="121"/>
  <c r="BN482" i="121"/>
  <c r="BM482" i="121"/>
  <c r="BL482" i="121"/>
  <c r="BK482" i="121"/>
  <c r="BJ482" i="121"/>
  <c r="BI482" i="121"/>
  <c r="BH482" i="121"/>
  <c r="BG482" i="121"/>
  <c r="BF482" i="121"/>
  <c r="BE482" i="121"/>
  <c r="BD482" i="121"/>
  <c r="BC482" i="121"/>
  <c r="BB482" i="121"/>
  <c r="BA482" i="121"/>
  <c r="AZ482" i="121"/>
  <c r="AY482" i="121"/>
  <c r="AX482" i="121"/>
  <c r="AW482" i="121"/>
  <c r="AV482" i="121"/>
  <c r="AU482" i="121"/>
  <c r="AT482" i="121"/>
  <c r="AS482" i="121"/>
  <c r="AR482" i="121"/>
  <c r="AQ482" i="121"/>
  <c r="AP482" i="121"/>
  <c r="AO482" i="121"/>
  <c r="AN482" i="121"/>
  <c r="AM482" i="121"/>
  <c r="AL482" i="121"/>
  <c r="AK482" i="121"/>
  <c r="AJ482" i="121"/>
  <c r="AI482" i="121"/>
  <c r="AH482" i="121"/>
  <c r="AG482" i="121"/>
  <c r="AF482" i="121"/>
  <c r="AE482" i="121"/>
  <c r="AD482" i="121"/>
  <c r="AC482" i="121"/>
  <c r="AB482" i="121"/>
  <c r="AA482" i="121"/>
  <c r="Z482" i="121"/>
  <c r="Y482" i="121"/>
  <c r="X482" i="121"/>
  <c r="MO481" i="121"/>
  <c r="MN481" i="121"/>
  <c r="MM481" i="121"/>
  <c r="ML481" i="121"/>
  <c r="MK481" i="121"/>
  <c r="ID481" i="121"/>
  <c r="IC481" i="121"/>
  <c r="IB481" i="121"/>
  <c r="IA481" i="121"/>
  <c r="HZ481" i="121"/>
  <c r="GF481" i="121"/>
  <c r="GE481" i="121"/>
  <c r="GD481" i="121"/>
  <c r="GC481" i="121"/>
  <c r="GB481" i="121"/>
  <c r="GA481" i="121"/>
  <c r="FZ481" i="121"/>
  <c r="FW481" i="121"/>
  <c r="EH481" i="121"/>
  <c r="EG481" i="121"/>
  <c r="EF481" i="121"/>
  <c r="EE481" i="121"/>
  <c r="ED481" i="121"/>
  <c r="MO480" i="121"/>
  <c r="MN480" i="121"/>
  <c r="MM480" i="121"/>
  <c r="ML480" i="121"/>
  <c r="MK480" i="121"/>
  <c r="ME480" i="121"/>
  <c r="MD480" i="121"/>
  <c r="MC480" i="121"/>
  <c r="MB480" i="121"/>
  <c r="MA480" i="121"/>
  <c r="LZ480" i="121"/>
  <c r="LY480" i="121"/>
  <c r="LX480" i="121"/>
  <c r="LW480" i="121"/>
  <c r="LV480" i="121"/>
  <c r="LU480" i="121"/>
  <c r="LT480" i="121"/>
  <c r="LS480" i="121"/>
  <c r="LR480" i="121"/>
  <c r="LQ480" i="121"/>
  <c r="LP480" i="121"/>
  <c r="LO480" i="121"/>
  <c r="LN480" i="121"/>
  <c r="LM480" i="121"/>
  <c r="LL480" i="121"/>
  <c r="LK480" i="121"/>
  <c r="LJ480" i="121"/>
  <c r="LI480" i="121"/>
  <c r="LH480" i="121"/>
  <c r="LG480" i="121"/>
  <c r="ID480" i="121"/>
  <c r="IC480" i="121"/>
  <c r="IB480" i="121"/>
  <c r="IA480" i="121"/>
  <c r="HZ480" i="121"/>
  <c r="HY480" i="121"/>
  <c r="HX480" i="121"/>
  <c r="HW480" i="121"/>
  <c r="HV480" i="121"/>
  <c r="HU480" i="121"/>
  <c r="HT480" i="121"/>
  <c r="HS480" i="121"/>
  <c r="HR480" i="121"/>
  <c r="HQ480" i="121"/>
  <c r="HP480" i="121"/>
  <c r="HO480" i="121"/>
  <c r="HN480" i="121"/>
  <c r="HM480" i="121"/>
  <c r="HL480" i="121"/>
  <c r="HK480" i="121"/>
  <c r="HJ480" i="121"/>
  <c r="HI480" i="121"/>
  <c r="HH480" i="121"/>
  <c r="HG480" i="121"/>
  <c r="HF480" i="121"/>
  <c r="HE480" i="121"/>
  <c r="HD480" i="121"/>
  <c r="HC480" i="121"/>
  <c r="HB480" i="121"/>
  <c r="HA480" i="121"/>
  <c r="GZ480" i="121"/>
  <c r="GY480" i="121"/>
  <c r="GX480" i="121"/>
  <c r="GW480" i="121"/>
  <c r="GV480" i="121"/>
  <c r="GU480" i="121"/>
  <c r="GT480" i="121"/>
  <c r="GS480" i="121"/>
  <c r="GR480" i="121"/>
  <c r="GQ480" i="121"/>
  <c r="GP480" i="121"/>
  <c r="GO480" i="121"/>
  <c r="GN480" i="121"/>
  <c r="GM480" i="121"/>
  <c r="GL480" i="121"/>
  <c r="GK480" i="121"/>
  <c r="GJ480" i="121"/>
  <c r="GI480" i="121"/>
  <c r="GH480" i="121"/>
  <c r="GG480" i="121"/>
  <c r="GF480" i="121"/>
  <c r="GE480" i="121"/>
  <c r="GD480" i="121"/>
  <c r="GC480" i="121"/>
  <c r="GB480" i="121"/>
  <c r="FY480" i="121"/>
  <c r="FX480" i="121"/>
  <c r="FV480" i="121"/>
  <c r="FU480" i="121"/>
  <c r="FT480" i="121"/>
  <c r="FS480" i="121"/>
  <c r="FR480" i="121"/>
  <c r="FQ480" i="121"/>
  <c r="FP480" i="121"/>
  <c r="FO480" i="121"/>
  <c r="FN480" i="121"/>
  <c r="FM480" i="121"/>
  <c r="FL480" i="121"/>
  <c r="FK480" i="121"/>
  <c r="FJ480" i="121"/>
  <c r="FI480" i="121"/>
  <c r="FH480" i="121"/>
  <c r="FG480" i="121"/>
  <c r="FF480" i="121"/>
  <c r="FE480" i="121"/>
  <c r="FD480" i="121"/>
  <c r="FC480" i="121"/>
  <c r="FB480" i="121"/>
  <c r="FA480" i="121"/>
  <c r="EZ480" i="121"/>
  <c r="EY480" i="121"/>
  <c r="EX480" i="121"/>
  <c r="EW480" i="121"/>
  <c r="EV480" i="121"/>
  <c r="EU480" i="121"/>
  <c r="ET480" i="121"/>
  <c r="ES480" i="121"/>
  <c r="ER480" i="121"/>
  <c r="EQ480" i="121"/>
  <c r="EP480" i="121"/>
  <c r="EO480" i="121"/>
  <c r="EN480" i="121"/>
  <c r="EM480" i="121"/>
  <c r="EL480" i="121"/>
  <c r="EK480" i="121"/>
  <c r="EJ480" i="121"/>
  <c r="EI480" i="121"/>
  <c r="EH480" i="121"/>
  <c r="EG480" i="121"/>
  <c r="EF480" i="121"/>
  <c r="EE480" i="121"/>
  <c r="ED480" i="121"/>
  <c r="EC480" i="121"/>
  <c r="EB480" i="121"/>
  <c r="DY480" i="121"/>
  <c r="DX480" i="121"/>
  <c r="DU480" i="121"/>
  <c r="DT480" i="121"/>
  <c r="DQ480" i="121"/>
  <c r="DP480" i="121"/>
  <c r="DM480" i="121"/>
  <c r="DL480" i="121"/>
  <c r="DI480" i="121"/>
  <c r="DH480" i="121"/>
  <c r="DE480" i="121"/>
  <c r="DD480" i="121"/>
  <c r="DA480" i="121"/>
  <c r="CZ480" i="121"/>
  <c r="CW480" i="121"/>
  <c r="CV480" i="121"/>
  <c r="CS480" i="121"/>
  <c r="CR480" i="121"/>
  <c r="CO480" i="121"/>
  <c r="CN480" i="121"/>
  <c r="CK480" i="121"/>
  <c r="CJ480" i="121"/>
  <c r="CG480" i="121"/>
  <c r="CF480" i="121"/>
  <c r="CC480" i="121"/>
  <c r="CB480" i="121"/>
  <c r="BY480" i="121"/>
  <c r="BX480" i="121"/>
  <c r="BU480" i="121"/>
  <c r="BT480" i="121"/>
  <c r="BQ480" i="121"/>
  <c r="BP480" i="121"/>
  <c r="BM480" i="121"/>
  <c r="BL480" i="121"/>
  <c r="BK480" i="121"/>
  <c r="BJ480" i="121"/>
  <c r="BI480" i="121"/>
  <c r="BH480" i="121"/>
  <c r="BG480" i="121"/>
  <c r="BF480" i="121"/>
  <c r="BE480" i="121"/>
  <c r="BD480" i="121"/>
  <c r="BC480" i="121"/>
  <c r="BB480" i="121"/>
  <c r="BA480" i="121"/>
  <c r="AZ480" i="121"/>
  <c r="AY480" i="121"/>
  <c r="AX480" i="121"/>
  <c r="AW480" i="121"/>
  <c r="AV480" i="121"/>
  <c r="AU480" i="121"/>
  <c r="AT480" i="121"/>
  <c r="AS480" i="121"/>
  <c r="AR480" i="121"/>
  <c r="AQ480" i="121"/>
  <c r="AP480" i="121"/>
  <c r="AO480" i="121"/>
  <c r="AN480" i="121"/>
  <c r="AM480" i="121"/>
  <c r="AL480" i="121"/>
  <c r="AK480" i="121"/>
  <c r="AJ480" i="121"/>
  <c r="AI480" i="121"/>
  <c r="AH480" i="121"/>
  <c r="AG480" i="121"/>
  <c r="AF480" i="121"/>
  <c r="AE480" i="121"/>
  <c r="AD480" i="121"/>
  <c r="AC480" i="121"/>
  <c r="AB480" i="121"/>
  <c r="AA480" i="121"/>
  <c r="Z480" i="121"/>
  <c r="Y480" i="121"/>
  <c r="X480" i="121"/>
  <c r="MO479" i="121"/>
  <c r="MN479" i="121"/>
  <c r="MM479" i="121"/>
  <c r="ML479" i="121"/>
  <c r="MK479" i="121"/>
  <c r="ME479" i="121"/>
  <c r="MD479" i="121"/>
  <c r="MC479" i="121"/>
  <c r="MB479" i="121"/>
  <c r="MA479" i="121"/>
  <c r="LZ479" i="121"/>
  <c r="LY479" i="121"/>
  <c r="LX479" i="121"/>
  <c r="LW479" i="121"/>
  <c r="LV479" i="121"/>
  <c r="LU479" i="121"/>
  <c r="LT479" i="121"/>
  <c r="LS479" i="121"/>
  <c r="LR479" i="121"/>
  <c r="LQ479" i="121"/>
  <c r="LP479" i="121"/>
  <c r="LO479" i="121"/>
  <c r="LN479" i="121"/>
  <c r="LM479" i="121"/>
  <c r="LL479" i="121"/>
  <c r="LK479" i="121"/>
  <c r="LJ479" i="121"/>
  <c r="LI479" i="121"/>
  <c r="LH479" i="121"/>
  <c r="LG479" i="121"/>
  <c r="ID479" i="121"/>
  <c r="IC479" i="121"/>
  <c r="IB479" i="121"/>
  <c r="IA479" i="121"/>
  <c r="HZ479" i="121"/>
  <c r="HY479" i="121"/>
  <c r="HX479" i="121"/>
  <c r="HW479" i="121"/>
  <c r="HV479" i="121"/>
  <c r="HU479" i="121"/>
  <c r="HT479" i="121"/>
  <c r="HS479" i="121"/>
  <c r="HR479" i="121"/>
  <c r="HQ479" i="121"/>
  <c r="HP479" i="121"/>
  <c r="HO479" i="121"/>
  <c r="HN479" i="121"/>
  <c r="HM479" i="121"/>
  <c r="HL479" i="121"/>
  <c r="HK479" i="121"/>
  <c r="HJ479" i="121"/>
  <c r="HI479" i="121"/>
  <c r="HH479" i="121"/>
  <c r="HG479" i="121"/>
  <c r="HF479" i="121"/>
  <c r="HE479" i="121"/>
  <c r="HD479" i="121"/>
  <c r="HC479" i="121"/>
  <c r="HB479" i="121"/>
  <c r="HA479" i="121"/>
  <c r="GZ479" i="121"/>
  <c r="GY479" i="121"/>
  <c r="GX479" i="121"/>
  <c r="GW479" i="121"/>
  <c r="GV479" i="121"/>
  <c r="GU479" i="121"/>
  <c r="GT479" i="121"/>
  <c r="GS479" i="121"/>
  <c r="GR479" i="121"/>
  <c r="GQ479" i="121"/>
  <c r="GP479" i="121"/>
  <c r="GO479" i="121"/>
  <c r="GN479" i="121"/>
  <c r="GM479" i="121"/>
  <c r="GL479" i="121"/>
  <c r="GK479" i="121"/>
  <c r="GJ479" i="121"/>
  <c r="GI479" i="121"/>
  <c r="GH479" i="121"/>
  <c r="GG479" i="121"/>
  <c r="GF479" i="121"/>
  <c r="GE479" i="121"/>
  <c r="GD479" i="121"/>
  <c r="GC479" i="121"/>
  <c r="GB479" i="121"/>
  <c r="GA479" i="121"/>
  <c r="FZ479" i="121"/>
  <c r="FY479" i="121"/>
  <c r="FX479" i="121"/>
  <c r="FW479" i="121"/>
  <c r="FV479" i="121"/>
  <c r="FU479" i="121"/>
  <c r="FT479" i="121"/>
  <c r="FS479" i="121"/>
  <c r="FR479" i="121"/>
  <c r="FQ479" i="121"/>
  <c r="FP479" i="121"/>
  <c r="FO479" i="121"/>
  <c r="FN479" i="121"/>
  <c r="FM479" i="121"/>
  <c r="FL479" i="121"/>
  <c r="FK479" i="121"/>
  <c r="FJ479" i="121"/>
  <c r="FI479" i="121"/>
  <c r="FH479" i="121"/>
  <c r="FG479" i="121"/>
  <c r="FF479" i="121"/>
  <c r="FE479" i="121"/>
  <c r="FD479" i="121"/>
  <c r="FC479" i="121"/>
  <c r="FB479" i="121"/>
  <c r="FA479" i="121"/>
  <c r="EZ479" i="121"/>
  <c r="EY479" i="121"/>
  <c r="EX479" i="121"/>
  <c r="EW479" i="121"/>
  <c r="EV479" i="121"/>
  <c r="EU479" i="121"/>
  <c r="ET479" i="121"/>
  <c r="ES479" i="121"/>
  <c r="ER479" i="121"/>
  <c r="EQ479" i="121"/>
  <c r="EP479" i="121"/>
  <c r="EO479" i="121"/>
  <c r="EN479" i="121"/>
  <c r="EM479" i="121"/>
  <c r="EL479" i="121"/>
  <c r="EK479" i="121"/>
  <c r="EJ479" i="121"/>
  <c r="EI479" i="121"/>
  <c r="EH479" i="121"/>
  <c r="EG479" i="121"/>
  <c r="EF479" i="121"/>
  <c r="EE479" i="121"/>
  <c r="ED479" i="121"/>
  <c r="EC479" i="121"/>
  <c r="EB479" i="121"/>
  <c r="EA479" i="121"/>
  <c r="DZ479" i="121"/>
  <c r="DY479" i="121"/>
  <c r="DX479" i="121"/>
  <c r="DW479" i="121"/>
  <c r="DV479" i="121"/>
  <c r="DU479" i="121"/>
  <c r="DT479" i="121"/>
  <c r="DS479" i="121"/>
  <c r="DR479" i="121"/>
  <c r="DQ479" i="121"/>
  <c r="DP479" i="121"/>
  <c r="DO479" i="121"/>
  <c r="DN479" i="121"/>
  <c r="DM479" i="121"/>
  <c r="DL479" i="121"/>
  <c r="DK479" i="121"/>
  <c r="DJ479" i="121"/>
  <c r="DI479" i="121"/>
  <c r="DH479" i="121"/>
  <c r="DG479" i="121"/>
  <c r="DF479" i="121"/>
  <c r="DE479" i="121"/>
  <c r="DD479" i="121"/>
  <c r="DC479" i="121"/>
  <c r="DB479" i="121"/>
  <c r="DA479" i="121"/>
  <c r="CZ479" i="121"/>
  <c r="CY479" i="121"/>
  <c r="CX479" i="121"/>
  <c r="CW479" i="121"/>
  <c r="CV479" i="121"/>
  <c r="CU479" i="121"/>
  <c r="CT479" i="121"/>
  <c r="CS479" i="121"/>
  <c r="CR479" i="121"/>
  <c r="CQ479" i="121"/>
  <c r="CP479" i="121"/>
  <c r="CO479" i="121"/>
  <c r="CN479" i="121"/>
  <c r="CM479" i="121"/>
  <c r="CL479" i="121"/>
  <c r="CK479" i="121"/>
  <c r="CJ479" i="121"/>
  <c r="CI479" i="121"/>
  <c r="CH479" i="121"/>
  <c r="CG479" i="121"/>
  <c r="CF479" i="121"/>
  <c r="CE479" i="121"/>
  <c r="CD479" i="121"/>
  <c r="CC479" i="121"/>
  <c r="CB479" i="121"/>
  <c r="CA479" i="121"/>
  <c r="BZ479" i="121"/>
  <c r="BY479" i="121"/>
  <c r="BX479" i="121"/>
  <c r="BW479" i="121"/>
  <c r="BV479" i="121"/>
  <c r="BU479" i="121"/>
  <c r="BT479" i="121"/>
  <c r="BS479" i="121"/>
  <c r="BR479" i="121"/>
  <c r="BQ479" i="121"/>
  <c r="BP479" i="121"/>
  <c r="BO479" i="121"/>
  <c r="BN479" i="121"/>
  <c r="BM479" i="121"/>
  <c r="BL479" i="121"/>
  <c r="BK479" i="121"/>
  <c r="BJ479" i="121"/>
  <c r="BI479" i="121"/>
  <c r="BH479" i="121"/>
  <c r="BG479" i="121"/>
  <c r="BF479" i="121"/>
  <c r="BE479" i="121"/>
  <c r="BD479" i="121"/>
  <c r="BC479" i="121"/>
  <c r="BB479" i="121"/>
  <c r="BA479" i="121"/>
  <c r="AZ479" i="121"/>
  <c r="AY479" i="121"/>
  <c r="AX479" i="121"/>
  <c r="AW479" i="121"/>
  <c r="AV479" i="121"/>
  <c r="AU479" i="121"/>
  <c r="AT479" i="121"/>
  <c r="AS479" i="121"/>
  <c r="AR479" i="121"/>
  <c r="AQ479" i="121"/>
  <c r="AP479" i="121"/>
  <c r="AO479" i="121"/>
  <c r="AN479" i="121"/>
  <c r="AM479" i="121"/>
  <c r="AL479" i="121"/>
  <c r="AK479" i="121"/>
  <c r="AJ479" i="121"/>
  <c r="AI479" i="121"/>
  <c r="AH479" i="121"/>
  <c r="AG479" i="121"/>
  <c r="AF479" i="121"/>
  <c r="AE479" i="121"/>
  <c r="AD479" i="121"/>
  <c r="AC479" i="121"/>
  <c r="AB479" i="121"/>
  <c r="AA479" i="121"/>
  <c r="Z479" i="121"/>
  <c r="Y479" i="121"/>
  <c r="X479" i="121"/>
  <c r="MO478" i="121"/>
  <c r="MN478" i="121"/>
  <c r="MM478" i="121"/>
  <c r="ML478" i="121"/>
  <c r="MK478" i="121"/>
  <c r="ME478" i="121"/>
  <c r="MD478" i="121"/>
  <c r="MC478" i="121"/>
  <c r="MB478" i="121"/>
  <c r="MA478" i="121"/>
  <c r="LZ478" i="121"/>
  <c r="LY478" i="121"/>
  <c r="LX478" i="121"/>
  <c r="LW478" i="121"/>
  <c r="LV478" i="121"/>
  <c r="LU478" i="121"/>
  <c r="LT478" i="121"/>
  <c r="LS478" i="121"/>
  <c r="LR478" i="121"/>
  <c r="LQ478" i="121"/>
  <c r="LP478" i="121"/>
  <c r="LO478" i="121"/>
  <c r="LN478" i="121"/>
  <c r="LM478" i="121"/>
  <c r="LL478" i="121"/>
  <c r="LK478" i="121"/>
  <c r="LJ478" i="121"/>
  <c r="LI478" i="121"/>
  <c r="LH478" i="121"/>
  <c r="LG478" i="121"/>
  <c r="ID478" i="121"/>
  <c r="IC478" i="121"/>
  <c r="IB478" i="121"/>
  <c r="IA478" i="121"/>
  <c r="HZ478" i="121"/>
  <c r="HY478" i="121"/>
  <c r="HX478" i="121"/>
  <c r="HW478" i="121"/>
  <c r="HV478" i="121"/>
  <c r="HU478" i="121"/>
  <c r="HT478" i="121"/>
  <c r="HS478" i="121"/>
  <c r="HR478" i="121"/>
  <c r="HQ478" i="121"/>
  <c r="HP478" i="121"/>
  <c r="HO478" i="121"/>
  <c r="HN478" i="121"/>
  <c r="HM478" i="121"/>
  <c r="HL478" i="121"/>
  <c r="HK478" i="121"/>
  <c r="HJ478" i="121"/>
  <c r="HI478" i="121"/>
  <c r="HH478" i="121"/>
  <c r="HG478" i="121"/>
  <c r="HF478" i="121"/>
  <c r="HE478" i="121"/>
  <c r="HD478" i="121"/>
  <c r="HC478" i="121"/>
  <c r="HB478" i="121"/>
  <c r="HA478" i="121"/>
  <c r="GZ478" i="121"/>
  <c r="GY478" i="121"/>
  <c r="GX478" i="121"/>
  <c r="GW478" i="121"/>
  <c r="GV478" i="121"/>
  <c r="GU478" i="121"/>
  <c r="GT478" i="121"/>
  <c r="GS478" i="121"/>
  <c r="GR478" i="121"/>
  <c r="GQ478" i="121"/>
  <c r="GP478" i="121"/>
  <c r="GO478" i="121"/>
  <c r="GN478" i="121"/>
  <c r="GM478" i="121"/>
  <c r="GL478" i="121"/>
  <c r="GK478" i="121"/>
  <c r="GJ478" i="121"/>
  <c r="GI478" i="121"/>
  <c r="GH478" i="121"/>
  <c r="GG478" i="121"/>
  <c r="GF478" i="121"/>
  <c r="GE478" i="121"/>
  <c r="GD478" i="121"/>
  <c r="GC478" i="121"/>
  <c r="GB478" i="121"/>
  <c r="GA478" i="121"/>
  <c r="FZ478" i="121"/>
  <c r="FY478" i="121"/>
  <c r="FX478" i="121"/>
  <c r="FW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EC478" i="121"/>
  <c r="EB478" i="121"/>
  <c r="EA478" i="121"/>
  <c r="DZ478" i="121"/>
  <c r="DY478" i="121"/>
  <c r="DX478" i="121"/>
  <c r="DW478" i="121"/>
  <c r="DV478" i="121"/>
  <c r="DU478" i="121"/>
  <c r="DT478" i="121"/>
  <c r="DS478" i="121"/>
  <c r="DR478" i="121"/>
  <c r="DQ478" i="121"/>
  <c r="DP478" i="121"/>
  <c r="DO478" i="121"/>
  <c r="DN478" i="121"/>
  <c r="DM478" i="121"/>
  <c r="DL478" i="121"/>
  <c r="DK478" i="121"/>
  <c r="DJ478" i="121"/>
  <c r="DI478" i="121"/>
  <c r="DH478" i="121"/>
  <c r="DG478" i="121"/>
  <c r="DF478" i="121"/>
  <c r="DE478" i="121"/>
  <c r="DD478" i="121"/>
  <c r="DC478" i="121"/>
  <c r="DB478" i="121"/>
  <c r="DA478" i="121"/>
  <c r="CZ478" i="121"/>
  <c r="CY478" i="121"/>
  <c r="CX478" i="121"/>
  <c r="CW478" i="121"/>
  <c r="CV478" i="121"/>
  <c r="CU478" i="121"/>
  <c r="CT478" i="121"/>
  <c r="CS478" i="121"/>
  <c r="CR478" i="121"/>
  <c r="CQ478" i="121"/>
  <c r="CP478" i="121"/>
  <c r="CO478" i="121"/>
  <c r="CN478" i="121"/>
  <c r="CM478" i="121"/>
  <c r="CL478" i="121"/>
  <c r="CK478" i="121"/>
  <c r="CJ478" i="121"/>
  <c r="CI478" i="121"/>
  <c r="CH478" i="121"/>
  <c r="CG478" i="121"/>
  <c r="CF478" i="121"/>
  <c r="CE478" i="121"/>
  <c r="CD478" i="121"/>
  <c r="CC478" i="121"/>
  <c r="CB478" i="121"/>
  <c r="CA478" i="121"/>
  <c r="BZ478" i="121"/>
  <c r="BY478" i="121"/>
  <c r="BX478" i="121"/>
  <c r="BW478" i="121"/>
  <c r="BV478" i="121"/>
  <c r="BU478" i="121"/>
  <c r="BT478" i="121"/>
  <c r="BS478" i="121"/>
  <c r="BR478" i="121"/>
  <c r="BQ478" i="121"/>
  <c r="BP478" i="121"/>
  <c r="BO478" i="121"/>
  <c r="BN478" i="121"/>
  <c r="BM478" i="121"/>
  <c r="BL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MO477" i="121"/>
  <c r="MN477" i="121"/>
  <c r="MM477" i="121"/>
  <c r="ML477" i="121"/>
  <c r="MK477" i="121"/>
  <c r="ID477" i="121"/>
  <c r="IC477" i="121"/>
  <c r="IB477" i="121"/>
  <c r="IA477" i="121"/>
  <c r="HZ477" i="121"/>
  <c r="GF477" i="121"/>
  <c r="GE477" i="121"/>
  <c r="GD477" i="121"/>
  <c r="GC477" i="121"/>
  <c r="GB477" i="121"/>
  <c r="FY477" i="121"/>
  <c r="FX477" i="121"/>
  <c r="EH477" i="121"/>
  <c r="EG477" i="121"/>
  <c r="EF477" i="121"/>
  <c r="EE477" i="121"/>
  <c r="ED477" i="121"/>
  <c r="BF477" i="121"/>
  <c r="MO476" i="121"/>
  <c r="MN476" i="121"/>
  <c r="MM476" i="121"/>
  <c r="ML476" i="121"/>
  <c r="MK476" i="121"/>
  <c r="ME476" i="121"/>
  <c r="MD476" i="121"/>
  <c r="MC476" i="121"/>
  <c r="MB476" i="121"/>
  <c r="MA476" i="121"/>
  <c r="LZ476" i="121"/>
  <c r="LY476" i="121"/>
  <c r="LX476" i="121"/>
  <c r="LW476" i="121"/>
  <c r="LV476" i="121"/>
  <c r="LU476" i="121"/>
  <c r="LT476" i="121"/>
  <c r="LS476" i="121"/>
  <c r="LR476" i="121"/>
  <c r="LQ476" i="121"/>
  <c r="LP476" i="121"/>
  <c r="LO476" i="121"/>
  <c r="LN476" i="121"/>
  <c r="LM476" i="121"/>
  <c r="LL476" i="121"/>
  <c r="LK476" i="121"/>
  <c r="LJ476" i="121"/>
  <c r="LI476" i="121"/>
  <c r="LH476" i="121"/>
  <c r="LG476" i="121"/>
  <c r="ID476" i="121"/>
  <c r="IC476" i="121"/>
  <c r="IB476" i="121"/>
  <c r="IA476" i="121"/>
  <c r="HZ476" i="121"/>
  <c r="HY476" i="121"/>
  <c r="HX476" i="121"/>
  <c r="HW476" i="121"/>
  <c r="HV476" i="121"/>
  <c r="HU476" i="121"/>
  <c r="HT476" i="121"/>
  <c r="HS476" i="121"/>
  <c r="HR476" i="121"/>
  <c r="HQ476" i="121"/>
  <c r="HP476" i="121"/>
  <c r="HO476" i="121"/>
  <c r="HN476" i="121"/>
  <c r="HM476" i="121"/>
  <c r="HL476" i="121"/>
  <c r="HK476" i="121"/>
  <c r="HJ476" i="121"/>
  <c r="HI476" i="121"/>
  <c r="HH476" i="121"/>
  <c r="HG476" i="121"/>
  <c r="HF476" i="121"/>
  <c r="HE476" i="121"/>
  <c r="HD476" i="121"/>
  <c r="HC476" i="121"/>
  <c r="HB476" i="121"/>
  <c r="HA476" i="121"/>
  <c r="GZ476" i="121"/>
  <c r="GY476" i="121"/>
  <c r="GX476" i="121"/>
  <c r="GW476" i="121"/>
  <c r="GV476" i="121"/>
  <c r="GU476" i="121"/>
  <c r="GT476" i="121"/>
  <c r="GS476" i="121"/>
  <c r="GR476" i="121"/>
  <c r="GQ476" i="121"/>
  <c r="GP476" i="121"/>
  <c r="GO476" i="121"/>
  <c r="GN476" i="121"/>
  <c r="GM476" i="121"/>
  <c r="GL476" i="121"/>
  <c r="GK476" i="121"/>
  <c r="GJ476" i="121"/>
  <c r="GI476" i="121"/>
  <c r="GH476" i="121"/>
  <c r="GG476" i="121"/>
  <c r="GF476" i="121"/>
  <c r="GE476" i="121"/>
  <c r="GD476" i="121"/>
  <c r="GC476" i="121"/>
  <c r="GB476" i="121"/>
  <c r="GA476" i="121"/>
  <c r="FZ476" i="121"/>
  <c r="FW476" i="121"/>
  <c r="FV476" i="121"/>
  <c r="FU476" i="121"/>
  <c r="FT476" i="121"/>
  <c r="FS476" i="121"/>
  <c r="FR476" i="121"/>
  <c r="FQ476" i="121"/>
  <c r="FP476" i="121"/>
  <c r="FO476" i="121"/>
  <c r="FN476" i="121"/>
  <c r="FM476" i="121"/>
  <c r="FL476" i="121"/>
  <c r="FK476" i="121"/>
  <c r="FJ476" i="121"/>
  <c r="FI476" i="121"/>
  <c r="FH476" i="121"/>
  <c r="FG476" i="121"/>
  <c r="FF476" i="121"/>
  <c r="FE476" i="121"/>
  <c r="FD476" i="121"/>
  <c r="FC476" i="121"/>
  <c r="FB476" i="121"/>
  <c r="FA476" i="121"/>
  <c r="EZ476" i="121"/>
  <c r="EY476" i="121"/>
  <c r="EX476" i="121"/>
  <c r="EW476" i="121"/>
  <c r="EV476" i="121"/>
  <c r="EU476" i="121"/>
  <c r="ET476" i="121"/>
  <c r="ES476" i="121"/>
  <c r="ER476" i="121"/>
  <c r="EQ476" i="121"/>
  <c r="EP476" i="121"/>
  <c r="EO476" i="121"/>
  <c r="EN476" i="121"/>
  <c r="EM476" i="121"/>
  <c r="EL476" i="121"/>
  <c r="EK476" i="121"/>
  <c r="EJ476" i="121"/>
  <c r="EI476" i="121"/>
  <c r="EH476" i="121"/>
  <c r="EG476" i="121"/>
  <c r="EF476" i="121"/>
  <c r="EE476" i="121"/>
  <c r="ED476" i="121"/>
  <c r="EA476" i="121"/>
  <c r="DZ476" i="121"/>
  <c r="DW476" i="121"/>
  <c r="DV476" i="121"/>
  <c r="DS476" i="121"/>
  <c r="DR476" i="121"/>
  <c r="DO476" i="121"/>
  <c r="DN476" i="121"/>
  <c r="DK476" i="121"/>
  <c r="DJ476" i="121"/>
  <c r="DG476" i="121"/>
  <c r="DF476" i="121"/>
  <c r="DC476" i="121"/>
  <c r="DB476" i="121"/>
  <c r="CY476" i="121"/>
  <c r="CX476" i="121"/>
  <c r="CU476" i="121"/>
  <c r="CT476" i="121"/>
  <c r="CQ476" i="121"/>
  <c r="CP476" i="121"/>
  <c r="CM476" i="121"/>
  <c r="CL476" i="121"/>
  <c r="CI476" i="121"/>
  <c r="CH476" i="121"/>
  <c r="CE476" i="121"/>
  <c r="CD476" i="121"/>
  <c r="CA476" i="121"/>
  <c r="BZ476" i="121"/>
  <c r="BW476" i="121"/>
  <c r="BV476" i="121"/>
  <c r="BS476" i="121"/>
  <c r="BR476" i="121"/>
  <c r="BO476" i="121"/>
  <c r="BN476" i="121"/>
  <c r="BK476" i="121"/>
  <c r="BJ476" i="121"/>
  <c r="BI476" i="121"/>
  <c r="BH476" i="121"/>
  <c r="BG476" i="121"/>
  <c r="BF476" i="121"/>
  <c r="BE476" i="121"/>
  <c r="BD476" i="121"/>
  <c r="BC476" i="121"/>
  <c r="BB476" i="121"/>
  <c r="BA476" i="121"/>
  <c r="AZ476" i="121"/>
  <c r="AY476" i="121"/>
  <c r="AX476" i="121"/>
  <c r="AW476" i="121"/>
  <c r="AV476" i="121"/>
  <c r="AU476" i="121"/>
  <c r="AT476" i="121"/>
  <c r="AS476" i="121"/>
  <c r="AR476" i="121"/>
  <c r="AQ476" i="121"/>
  <c r="AP476" i="121"/>
  <c r="AO476" i="121"/>
  <c r="AN476" i="121"/>
  <c r="AM476" i="121"/>
  <c r="AL476" i="121"/>
  <c r="AK476" i="121"/>
  <c r="AJ476" i="121"/>
  <c r="AI476" i="121"/>
  <c r="AH476" i="121"/>
  <c r="AG476" i="121"/>
  <c r="AF476" i="121"/>
  <c r="AE476" i="121"/>
  <c r="AD476" i="121"/>
  <c r="AC476" i="121"/>
  <c r="AB476" i="121"/>
  <c r="AA476" i="121"/>
  <c r="Z476" i="121"/>
  <c r="Y476" i="121"/>
  <c r="X476" i="121"/>
  <c r="MO475" i="121"/>
  <c r="MN475" i="121"/>
  <c r="MM475" i="121"/>
  <c r="ML475" i="121"/>
  <c r="MK475" i="121"/>
  <c r="ME475" i="121"/>
  <c r="MD475" i="121"/>
  <c r="MC475" i="121"/>
  <c r="MB475" i="121"/>
  <c r="MA475" i="121"/>
  <c r="LZ475" i="121"/>
  <c r="LY475" i="121"/>
  <c r="LX475" i="121"/>
  <c r="LW475" i="121"/>
  <c r="LV475" i="121"/>
  <c r="LU475" i="121"/>
  <c r="LT475" i="121"/>
  <c r="LS475" i="121"/>
  <c r="LR475" i="121"/>
  <c r="LQ475" i="121"/>
  <c r="LP475" i="121"/>
  <c r="LO475" i="121"/>
  <c r="LN475" i="121"/>
  <c r="LM475" i="121"/>
  <c r="LL475" i="121"/>
  <c r="LK475" i="121"/>
  <c r="LJ475" i="121"/>
  <c r="LI475" i="121"/>
  <c r="LH475" i="121"/>
  <c r="LG475" i="121"/>
  <c r="ID475" i="121"/>
  <c r="IC475" i="121"/>
  <c r="IB475" i="121"/>
  <c r="IA475" i="121"/>
  <c r="HZ475" i="121"/>
  <c r="HY475" i="121"/>
  <c r="HX475" i="121"/>
  <c r="HW475" i="121"/>
  <c r="HV475" i="121"/>
  <c r="HU475" i="121"/>
  <c r="HT475" i="121"/>
  <c r="HS475" i="121"/>
  <c r="HR475" i="121"/>
  <c r="HQ475" i="121"/>
  <c r="HP475" i="121"/>
  <c r="HO475" i="121"/>
  <c r="HN475" i="121"/>
  <c r="HM475" i="121"/>
  <c r="HL475" i="121"/>
  <c r="HK475" i="121"/>
  <c r="HJ475" i="121"/>
  <c r="HI475" i="121"/>
  <c r="HH475" i="121"/>
  <c r="HG475" i="121"/>
  <c r="HF475" i="121"/>
  <c r="HE475" i="121"/>
  <c r="HD475" i="121"/>
  <c r="HC475" i="121"/>
  <c r="HB475" i="121"/>
  <c r="HA475" i="121"/>
  <c r="GZ475" i="121"/>
  <c r="GY475" i="121"/>
  <c r="GX475" i="121"/>
  <c r="GW475" i="121"/>
  <c r="GV475" i="121"/>
  <c r="GU475" i="121"/>
  <c r="GT475" i="121"/>
  <c r="GS475" i="121"/>
  <c r="GR475" i="121"/>
  <c r="GQ475" i="121"/>
  <c r="GP475" i="121"/>
  <c r="GO475" i="121"/>
  <c r="GN475" i="121"/>
  <c r="GM475" i="121"/>
  <c r="GL475" i="121"/>
  <c r="GK475" i="121"/>
  <c r="GJ475" i="121"/>
  <c r="GI475" i="121"/>
  <c r="GH475" i="121"/>
  <c r="GG475" i="121"/>
  <c r="GF475" i="121"/>
  <c r="GE475" i="121"/>
  <c r="GD475" i="121"/>
  <c r="GC475" i="121"/>
  <c r="GB475" i="121"/>
  <c r="GA475" i="121"/>
  <c r="FZ475" i="121"/>
  <c r="FY475" i="121"/>
  <c r="FX475" i="121"/>
  <c r="FW475" i="121"/>
  <c r="FV475" i="121"/>
  <c r="FU475" i="121"/>
  <c r="FT475" i="121"/>
  <c r="FS475" i="121"/>
  <c r="FR475" i="121"/>
  <c r="FQ475" i="121"/>
  <c r="FP475" i="121"/>
  <c r="FO475" i="121"/>
  <c r="FN475" i="121"/>
  <c r="FM475" i="121"/>
  <c r="FL475" i="121"/>
  <c r="FK475" i="121"/>
  <c r="FJ475" i="121"/>
  <c r="FI475" i="121"/>
  <c r="FH475" i="121"/>
  <c r="FG475" i="121"/>
  <c r="FF475" i="121"/>
  <c r="FE475" i="121"/>
  <c r="FD475" i="121"/>
  <c r="FC475" i="121"/>
  <c r="FB475" i="121"/>
  <c r="FA475" i="121"/>
  <c r="EZ475" i="121"/>
  <c r="EY475" i="121"/>
  <c r="EX475" i="121"/>
  <c r="EW475" i="121"/>
  <c r="EV475" i="121"/>
  <c r="EU475" i="121"/>
  <c r="ET475" i="121"/>
  <c r="ES475" i="121"/>
  <c r="ER475" i="121"/>
  <c r="EQ475" i="121"/>
  <c r="EP475" i="121"/>
  <c r="EO475" i="121"/>
  <c r="EN475" i="121"/>
  <c r="EM475" i="121"/>
  <c r="EL475" i="121"/>
  <c r="EK475" i="121"/>
  <c r="EJ475" i="121"/>
  <c r="EI475" i="121"/>
  <c r="EH475" i="121"/>
  <c r="EG475" i="121"/>
  <c r="EF475" i="121"/>
  <c r="EE475" i="121"/>
  <c r="ED475" i="121"/>
  <c r="EC475" i="121"/>
  <c r="EB475" i="121"/>
  <c r="EA475" i="121"/>
  <c r="DZ475" i="121"/>
  <c r="DY475" i="121"/>
  <c r="DX475" i="121"/>
  <c r="DW475" i="121"/>
  <c r="DV475" i="121"/>
  <c r="DU475" i="121"/>
  <c r="DT475" i="121"/>
  <c r="DS475" i="121"/>
  <c r="DR475" i="121"/>
  <c r="DQ475" i="121"/>
  <c r="DP475" i="121"/>
  <c r="DO475" i="121"/>
  <c r="DN475" i="121"/>
  <c r="DM475" i="121"/>
  <c r="DL475" i="121"/>
  <c r="DK475" i="121"/>
  <c r="DJ475" i="121"/>
  <c r="DI475" i="121"/>
  <c r="DH475" i="121"/>
  <c r="DG475" i="121"/>
  <c r="DF475" i="121"/>
  <c r="DE475" i="121"/>
  <c r="DD475" i="121"/>
  <c r="DC475" i="121"/>
  <c r="DB475" i="121"/>
  <c r="DA475" i="121"/>
  <c r="CZ475" i="121"/>
  <c r="CY475" i="121"/>
  <c r="CX475" i="121"/>
  <c r="CW475" i="121"/>
  <c r="CV475" i="121"/>
  <c r="CU475" i="121"/>
  <c r="CT475" i="121"/>
  <c r="CS475" i="121"/>
  <c r="CR475" i="121"/>
  <c r="CQ475" i="121"/>
  <c r="CP475" i="121"/>
  <c r="CO475" i="121"/>
  <c r="CN475" i="121"/>
  <c r="CM475" i="121"/>
  <c r="CL475" i="121"/>
  <c r="CK475" i="121"/>
  <c r="CJ475" i="121"/>
  <c r="CI475" i="121"/>
  <c r="CH475" i="121"/>
  <c r="CG475" i="121"/>
  <c r="CF475" i="121"/>
  <c r="CE475" i="121"/>
  <c r="CD475" i="121"/>
  <c r="CC475" i="121"/>
  <c r="CB475" i="121"/>
  <c r="CA475" i="121"/>
  <c r="BZ475" i="121"/>
  <c r="BY475" i="121"/>
  <c r="BX475" i="121"/>
  <c r="BW475" i="121"/>
  <c r="BV475" i="121"/>
  <c r="BU475" i="121"/>
  <c r="BT475" i="121"/>
  <c r="BS475" i="121"/>
  <c r="BR475" i="121"/>
  <c r="BQ475" i="121"/>
  <c r="BP475" i="121"/>
  <c r="BO475" i="121"/>
  <c r="BN475" i="121"/>
  <c r="BM475" i="121"/>
  <c r="BL475" i="121"/>
  <c r="BK475" i="121"/>
  <c r="BJ475" i="121"/>
  <c r="BI475" i="121"/>
  <c r="BH475" i="121"/>
  <c r="BG475" i="121"/>
  <c r="BF475" i="121"/>
  <c r="BE475" i="121"/>
  <c r="BD475" i="121"/>
  <c r="BC475" i="121"/>
  <c r="BB475" i="121"/>
  <c r="BA475" i="121"/>
  <c r="AZ475" i="121"/>
  <c r="AY475" i="121"/>
  <c r="AX475" i="121"/>
  <c r="AW475" i="121"/>
  <c r="AV475" i="121"/>
  <c r="AU475" i="121"/>
  <c r="AT475" i="121"/>
  <c r="AS475" i="121"/>
  <c r="AR475" i="121"/>
  <c r="AQ475" i="121"/>
  <c r="AP475" i="121"/>
  <c r="AO475" i="121"/>
  <c r="AN475" i="121"/>
  <c r="AM475" i="121"/>
  <c r="AL475" i="121"/>
  <c r="AK475" i="121"/>
  <c r="AJ475" i="121"/>
  <c r="AI475" i="121"/>
  <c r="AH475" i="121"/>
  <c r="AG475" i="121"/>
  <c r="AF475" i="121"/>
  <c r="AE475" i="121"/>
  <c r="AD475" i="121"/>
  <c r="AC475" i="121"/>
  <c r="AB475" i="121"/>
  <c r="AA475" i="121"/>
  <c r="Z475" i="121"/>
  <c r="Y475" i="121"/>
  <c r="X475" i="121"/>
  <c r="MO474" i="121"/>
  <c r="MN474" i="121"/>
  <c r="MM474" i="121"/>
  <c r="ML474" i="121"/>
  <c r="MK474" i="121"/>
  <c r="ME474" i="121"/>
  <c r="MD474" i="121"/>
  <c r="MC474" i="121"/>
  <c r="MB474" i="121"/>
  <c r="MA474" i="121"/>
  <c r="LZ474" i="121"/>
  <c r="LY474" i="121"/>
  <c r="LX474" i="121"/>
  <c r="LW474" i="121"/>
  <c r="LV474" i="121"/>
  <c r="LU474" i="121"/>
  <c r="LT474" i="121"/>
  <c r="LS474" i="121"/>
  <c r="LR474" i="121"/>
  <c r="LQ474" i="121"/>
  <c r="LP474" i="121"/>
  <c r="LO474" i="121"/>
  <c r="LN474" i="121"/>
  <c r="LM474" i="121"/>
  <c r="LL474" i="121"/>
  <c r="LK474" i="121"/>
  <c r="LJ474" i="121"/>
  <c r="LI474" i="121"/>
  <c r="LH474" i="121"/>
  <c r="LG474" i="121"/>
  <c r="ID474" i="121"/>
  <c r="IC474" i="121"/>
  <c r="IB474" i="121"/>
  <c r="IA474" i="121"/>
  <c r="HZ474" i="121"/>
  <c r="HY474" i="121"/>
  <c r="HX474" i="121"/>
  <c r="HW474" i="121"/>
  <c r="HV474" i="121"/>
  <c r="HU474" i="121"/>
  <c r="HT474" i="121"/>
  <c r="HS474" i="121"/>
  <c r="HR474" i="121"/>
  <c r="HQ474" i="121"/>
  <c r="HP474" i="121"/>
  <c r="HO474" i="121"/>
  <c r="HN474" i="121"/>
  <c r="HM474" i="121"/>
  <c r="HL474" i="121"/>
  <c r="HK474" i="121"/>
  <c r="HJ474" i="121"/>
  <c r="HI474" i="121"/>
  <c r="HH474" i="121"/>
  <c r="HG474" i="121"/>
  <c r="HF474" i="121"/>
  <c r="HE474" i="121"/>
  <c r="HD474" i="121"/>
  <c r="HC474" i="121"/>
  <c r="HB474" i="121"/>
  <c r="HA474" i="121"/>
  <c r="GZ474" i="121"/>
  <c r="GY474" i="121"/>
  <c r="GX474" i="121"/>
  <c r="GW474" i="121"/>
  <c r="GV474" i="121"/>
  <c r="GU474" i="121"/>
  <c r="GT474" i="121"/>
  <c r="GS474" i="121"/>
  <c r="GR474" i="121"/>
  <c r="GQ474" i="121"/>
  <c r="GP474" i="121"/>
  <c r="GO474" i="121"/>
  <c r="GN474" i="121"/>
  <c r="GM474" i="121"/>
  <c r="GL474" i="121"/>
  <c r="GK474" i="121"/>
  <c r="GJ474" i="121"/>
  <c r="GI474" i="121"/>
  <c r="GH474" i="121"/>
  <c r="GG474" i="121"/>
  <c r="GF474" i="121"/>
  <c r="GE474" i="121"/>
  <c r="GD474" i="121"/>
  <c r="GC474" i="121"/>
  <c r="GB474" i="121"/>
  <c r="GA474" i="121"/>
  <c r="FZ474" i="121"/>
  <c r="FY474" i="121"/>
  <c r="FX474" i="121"/>
  <c r="FW474" i="121"/>
  <c r="FV474" i="121"/>
  <c r="FU474" i="121"/>
  <c r="FT474" i="121"/>
  <c r="FS474" i="121"/>
  <c r="FR474" i="121"/>
  <c r="FQ474" i="121"/>
  <c r="FP474" i="121"/>
  <c r="FO474" i="121"/>
  <c r="FN474" i="121"/>
  <c r="FM474" i="121"/>
  <c r="FL474" i="121"/>
  <c r="FK474" i="121"/>
  <c r="FJ474" i="121"/>
  <c r="FI474" i="121"/>
  <c r="FH474" i="121"/>
  <c r="FG474" i="121"/>
  <c r="FF474" i="121"/>
  <c r="FE474" i="121"/>
  <c r="FD474" i="121"/>
  <c r="FC474" i="121"/>
  <c r="FB474" i="121"/>
  <c r="FA474" i="121"/>
  <c r="EZ474" i="121"/>
  <c r="EY474" i="121"/>
  <c r="EX474" i="121"/>
  <c r="EW474" i="121"/>
  <c r="EV474" i="121"/>
  <c r="EU474" i="121"/>
  <c r="ET474" i="121"/>
  <c r="ES474" i="121"/>
  <c r="ER474" i="121"/>
  <c r="EQ474" i="121"/>
  <c r="EP474" i="121"/>
  <c r="EO474" i="121"/>
  <c r="EN474" i="121"/>
  <c r="EM474" i="121"/>
  <c r="EL474" i="121"/>
  <c r="EK474" i="121"/>
  <c r="EJ474" i="121"/>
  <c r="EI474" i="121"/>
  <c r="EH474" i="121"/>
  <c r="EG474" i="121"/>
  <c r="EF474" i="121"/>
  <c r="EE474" i="121"/>
  <c r="ED474" i="121"/>
  <c r="EC474" i="121"/>
  <c r="EB474" i="121"/>
  <c r="EA474" i="121"/>
  <c r="DZ474" i="121"/>
  <c r="DY474" i="121"/>
  <c r="DX474" i="121"/>
  <c r="DW474" i="121"/>
  <c r="DV474" i="121"/>
  <c r="DU474" i="121"/>
  <c r="DT474" i="121"/>
  <c r="DS474" i="121"/>
  <c r="DR474" i="121"/>
  <c r="DQ474" i="121"/>
  <c r="DP474" i="121"/>
  <c r="DO474" i="121"/>
  <c r="DN474" i="121"/>
  <c r="DM474" i="121"/>
  <c r="DL474" i="121"/>
  <c r="DK474" i="121"/>
  <c r="DJ474" i="121"/>
  <c r="DI474" i="121"/>
  <c r="DH474" i="121"/>
  <c r="DG474" i="121"/>
  <c r="DF474" i="121"/>
  <c r="DE474" i="121"/>
  <c r="DD474" i="121"/>
  <c r="DC474" i="121"/>
  <c r="DB474" i="121"/>
  <c r="DA474" i="121"/>
  <c r="CZ474" i="121"/>
  <c r="CY474" i="121"/>
  <c r="CX474" i="121"/>
  <c r="CW474" i="121"/>
  <c r="CV474" i="121"/>
  <c r="CU474" i="121"/>
  <c r="CT474" i="121"/>
  <c r="CS474" i="121"/>
  <c r="CR474" i="121"/>
  <c r="CQ474" i="121"/>
  <c r="CP474" i="121"/>
  <c r="CO474" i="121"/>
  <c r="CN474" i="121"/>
  <c r="CM474" i="121"/>
  <c r="CL474" i="121"/>
  <c r="CK474" i="121"/>
  <c r="CJ474" i="121"/>
  <c r="CI474" i="121"/>
  <c r="CH474" i="121"/>
  <c r="CG474" i="121"/>
  <c r="CF474" i="121"/>
  <c r="CE474" i="121"/>
  <c r="CD474" i="121"/>
  <c r="CC474" i="121"/>
  <c r="CB474" i="121"/>
  <c r="CA474" i="121"/>
  <c r="BZ474" i="121"/>
  <c r="BY474" i="121"/>
  <c r="BX474" i="121"/>
  <c r="BW474" i="121"/>
  <c r="BV474" i="121"/>
  <c r="BU474" i="121"/>
  <c r="BT474" i="121"/>
  <c r="BS474" i="121"/>
  <c r="BR474" i="121"/>
  <c r="BQ474" i="121"/>
  <c r="BP474" i="121"/>
  <c r="BO474" i="121"/>
  <c r="BN474" i="121"/>
  <c r="BM474" i="121"/>
  <c r="BL474" i="121"/>
  <c r="BK474" i="121"/>
  <c r="BJ474" i="121"/>
  <c r="BI474" i="121"/>
  <c r="BH474" i="121"/>
  <c r="BG474" i="121"/>
  <c r="BF474" i="121"/>
  <c r="BE474" i="121"/>
  <c r="BD474" i="121"/>
  <c r="BC474" i="121"/>
  <c r="BB474" i="121"/>
  <c r="BA474" i="121"/>
  <c r="AZ474" i="121"/>
  <c r="AY474" i="121"/>
  <c r="AX474" i="121"/>
  <c r="AW474" i="121"/>
  <c r="AV474" i="121"/>
  <c r="AU474" i="121"/>
  <c r="AT474" i="121"/>
  <c r="AS474" i="121"/>
  <c r="AR474" i="121"/>
  <c r="AQ474" i="121"/>
  <c r="AP474" i="121"/>
  <c r="AO474" i="121"/>
  <c r="AN474" i="121"/>
  <c r="AM474" i="121"/>
  <c r="AL474" i="121"/>
  <c r="AK474" i="121"/>
  <c r="AJ474" i="121"/>
  <c r="AI474" i="121"/>
  <c r="AH474" i="121"/>
  <c r="AG474" i="121"/>
  <c r="AF474" i="121"/>
  <c r="AE474" i="121"/>
  <c r="AD474" i="121"/>
  <c r="AC474" i="121"/>
  <c r="AB474" i="121"/>
  <c r="AA474" i="121"/>
  <c r="Z474" i="121"/>
  <c r="Y474" i="121"/>
  <c r="X474" i="121"/>
  <c r="MO473" i="121"/>
  <c r="MN473" i="121"/>
  <c r="MM473" i="121"/>
  <c r="ML473" i="121"/>
  <c r="MK473" i="121"/>
  <c r="LN473" i="121"/>
  <c r="IE473" i="121"/>
  <c r="ID473" i="121"/>
  <c r="IC473" i="121"/>
  <c r="IB473" i="121"/>
  <c r="IA473" i="121"/>
  <c r="HZ473" i="121"/>
  <c r="HB473" i="121"/>
  <c r="GF473" i="121"/>
  <c r="GE473" i="121"/>
  <c r="GD473" i="121"/>
  <c r="GC473" i="121"/>
  <c r="GB473" i="121"/>
  <c r="GA473" i="121"/>
  <c r="FX473" i="121"/>
  <c r="FW473" i="121"/>
  <c r="EQ473" i="121"/>
  <c r="EH473" i="121"/>
  <c r="EG473" i="121"/>
  <c r="EF473" i="121"/>
  <c r="EE473" i="121"/>
  <c r="ED473" i="121"/>
  <c r="DO473" i="121"/>
  <c r="CN473" i="121"/>
  <c r="AX473" i="121"/>
  <c r="AB473" i="121"/>
  <c r="MO472" i="121"/>
  <c r="MN472" i="121"/>
  <c r="MM472" i="121"/>
  <c r="ML472" i="121"/>
  <c r="MK472" i="121"/>
  <c r="ME472" i="121"/>
  <c r="MD472" i="121"/>
  <c r="MC472" i="121"/>
  <c r="MB472" i="121"/>
  <c r="MA472" i="121"/>
  <c r="LZ472" i="121"/>
  <c r="LY472" i="121"/>
  <c r="LX472" i="121"/>
  <c r="LW472" i="121"/>
  <c r="LV472" i="121"/>
  <c r="LU472" i="121"/>
  <c r="LT472" i="121"/>
  <c r="LS472" i="121"/>
  <c r="LR472" i="121"/>
  <c r="LQ472" i="121"/>
  <c r="LP472" i="121"/>
  <c r="LO472" i="121"/>
  <c r="LN472" i="121"/>
  <c r="LM472" i="121"/>
  <c r="LL472" i="121"/>
  <c r="LK472" i="121"/>
  <c r="LJ472" i="121"/>
  <c r="LI472" i="121"/>
  <c r="LH472" i="121"/>
  <c r="LG472" i="121"/>
  <c r="KG472" i="121"/>
  <c r="ID472" i="121"/>
  <c r="IC472" i="121"/>
  <c r="IB472" i="121"/>
  <c r="IA472" i="121"/>
  <c r="HZ472" i="121"/>
  <c r="HY472" i="121"/>
  <c r="HX472" i="121"/>
  <c r="HW472" i="121"/>
  <c r="HV472" i="121"/>
  <c r="HU472" i="121"/>
  <c r="HT472" i="121"/>
  <c r="HS472" i="121"/>
  <c r="HR472" i="121"/>
  <c r="HQ472" i="121"/>
  <c r="HP472" i="121"/>
  <c r="HO472" i="121"/>
  <c r="HN472" i="121"/>
  <c r="HM472" i="121"/>
  <c r="HL472" i="121"/>
  <c r="HK472" i="121"/>
  <c r="HJ472" i="121"/>
  <c r="HI472" i="121"/>
  <c r="HH472" i="121"/>
  <c r="HG472" i="121"/>
  <c r="HF472" i="121"/>
  <c r="HE472" i="121"/>
  <c r="HD472" i="121"/>
  <c r="HC472" i="121"/>
  <c r="HB472" i="121"/>
  <c r="HA472" i="121"/>
  <c r="GZ472" i="121"/>
  <c r="GY472" i="121"/>
  <c r="GX472" i="121"/>
  <c r="GW472" i="121"/>
  <c r="GV472" i="121"/>
  <c r="GU472" i="121"/>
  <c r="GT472" i="121"/>
  <c r="GS472" i="121"/>
  <c r="GR472" i="121"/>
  <c r="GQ472" i="121"/>
  <c r="GP472" i="121"/>
  <c r="GO472" i="121"/>
  <c r="GN472" i="121"/>
  <c r="GM472" i="121"/>
  <c r="GL472" i="121"/>
  <c r="GK472" i="121"/>
  <c r="GJ472" i="121"/>
  <c r="GI472" i="121"/>
  <c r="GH472" i="121"/>
  <c r="GG472" i="121"/>
  <c r="GF472" i="121"/>
  <c r="GE472" i="121"/>
  <c r="GD472" i="121"/>
  <c r="GC472" i="121"/>
  <c r="GB472" i="121"/>
  <c r="GA472" i="121"/>
  <c r="FZ472" i="121"/>
  <c r="FW472" i="121"/>
  <c r="FV472" i="121"/>
  <c r="FU472" i="121"/>
  <c r="FT472" i="121"/>
  <c r="FS472" i="121"/>
  <c r="FR472" i="121"/>
  <c r="FQ472" i="121"/>
  <c r="FP472" i="121"/>
  <c r="FO472" i="121"/>
  <c r="FN472" i="121"/>
  <c r="FM472" i="121"/>
  <c r="FL472" i="121"/>
  <c r="FK472" i="121"/>
  <c r="FJ472" i="121"/>
  <c r="FI472" i="121"/>
  <c r="FH472" i="121"/>
  <c r="FG472" i="121"/>
  <c r="FF472" i="121"/>
  <c r="FE472" i="121"/>
  <c r="FD472" i="121"/>
  <c r="FC472" i="121"/>
  <c r="FB472" i="121"/>
  <c r="FA472" i="121"/>
  <c r="EZ472" i="121"/>
  <c r="EY472" i="121"/>
  <c r="EX472" i="121"/>
  <c r="EW472" i="121"/>
  <c r="EV472" i="121"/>
  <c r="EU472" i="121"/>
  <c r="ET472" i="121"/>
  <c r="ES472" i="121"/>
  <c r="ER472" i="121"/>
  <c r="EQ472" i="121"/>
  <c r="EP472" i="121"/>
  <c r="EO472" i="121"/>
  <c r="EN472" i="121"/>
  <c r="EM472" i="121"/>
  <c r="EL472" i="121"/>
  <c r="EK472" i="121"/>
  <c r="EJ472" i="121"/>
  <c r="EI472" i="121"/>
  <c r="EH472" i="121"/>
  <c r="EG472" i="121"/>
  <c r="EF472" i="121"/>
  <c r="EE472" i="121"/>
  <c r="ED472" i="121"/>
  <c r="EA472" i="121"/>
  <c r="DZ472" i="121"/>
  <c r="DW472" i="121"/>
  <c r="DV472" i="121"/>
  <c r="DS472" i="121"/>
  <c r="DR472" i="121"/>
  <c r="DO472" i="121"/>
  <c r="DN472" i="121"/>
  <c r="DK472" i="121"/>
  <c r="DJ472" i="121"/>
  <c r="DG472" i="121"/>
  <c r="DF472" i="121"/>
  <c r="DC472" i="121"/>
  <c r="DB472" i="121"/>
  <c r="CY472" i="121"/>
  <c r="CX472" i="121"/>
  <c r="CU472" i="121"/>
  <c r="CT472" i="121"/>
  <c r="CQ472" i="121"/>
  <c r="CP472" i="121"/>
  <c r="CM472" i="121"/>
  <c r="CL472" i="121"/>
  <c r="CI472" i="121"/>
  <c r="CH472" i="121"/>
  <c r="CE472" i="121"/>
  <c r="CD472" i="121"/>
  <c r="CA472" i="121"/>
  <c r="BZ472" i="121"/>
  <c r="BW472" i="121"/>
  <c r="BV472" i="121"/>
  <c r="BS472" i="121"/>
  <c r="BR472" i="121"/>
  <c r="BO472" i="121"/>
  <c r="BN472" i="121"/>
  <c r="BK472" i="121"/>
  <c r="BJ472" i="121"/>
  <c r="BI472" i="121"/>
  <c r="BH472" i="121"/>
  <c r="BG472" i="121"/>
  <c r="BF472" i="121"/>
  <c r="BE472" i="121"/>
  <c r="BD472" i="121"/>
  <c r="BC472" i="121"/>
  <c r="BB472" i="121"/>
  <c r="BA472" i="121"/>
  <c r="AZ472" i="121"/>
  <c r="AY472" i="121"/>
  <c r="AX472" i="121"/>
  <c r="AW472" i="121"/>
  <c r="AV472" i="121"/>
  <c r="AU472" i="121"/>
  <c r="AT472" i="121"/>
  <c r="AS472" i="121"/>
  <c r="AR472" i="121"/>
  <c r="AQ472" i="121"/>
  <c r="AP472" i="121"/>
  <c r="AO472" i="121"/>
  <c r="AN472" i="121"/>
  <c r="AM472" i="121"/>
  <c r="AL472" i="121"/>
  <c r="AK472" i="121"/>
  <c r="AJ472" i="121"/>
  <c r="AI472" i="121"/>
  <c r="AH472" i="121"/>
  <c r="AG472" i="121"/>
  <c r="AF472" i="121"/>
  <c r="AE472" i="121"/>
  <c r="AD472" i="121"/>
  <c r="AC472" i="121"/>
  <c r="AB472" i="121"/>
  <c r="AA472" i="121"/>
  <c r="Z472" i="121"/>
  <c r="Y472" i="121"/>
  <c r="X472" i="121"/>
  <c r="MO471" i="121"/>
  <c r="MN471" i="121"/>
  <c r="MM471" i="121"/>
  <c r="ML471" i="121"/>
  <c r="MK471" i="121"/>
  <c r="ME471" i="121"/>
  <c r="MD471" i="121"/>
  <c r="MC471" i="121"/>
  <c r="MB471" i="121"/>
  <c r="MA471" i="121"/>
  <c r="LZ471" i="121"/>
  <c r="LY471" i="121"/>
  <c r="LX471" i="121"/>
  <c r="LW471" i="121"/>
  <c r="LV471" i="121"/>
  <c r="LU471" i="121"/>
  <c r="LT471" i="121"/>
  <c r="LS471" i="121"/>
  <c r="LR471" i="121"/>
  <c r="LQ471" i="121"/>
  <c r="LP471" i="121"/>
  <c r="LO471" i="121"/>
  <c r="LN471" i="121"/>
  <c r="LM471" i="121"/>
  <c r="LL471" i="121"/>
  <c r="LK471" i="121"/>
  <c r="LJ471" i="121"/>
  <c r="LI471" i="121"/>
  <c r="LH471" i="121"/>
  <c r="LG471" i="121"/>
  <c r="KE471" i="121"/>
  <c r="ID471" i="121"/>
  <c r="IC471" i="121"/>
  <c r="IB471" i="121"/>
  <c r="IA471" i="121"/>
  <c r="HZ471" i="121"/>
  <c r="HY471" i="121"/>
  <c r="HX471" i="121"/>
  <c r="HW471" i="121"/>
  <c r="HV471" i="121"/>
  <c r="HU471" i="121"/>
  <c r="HT471" i="121"/>
  <c r="HS471" i="121"/>
  <c r="HR471" i="121"/>
  <c r="HQ471" i="121"/>
  <c r="HP471" i="121"/>
  <c r="HO471" i="121"/>
  <c r="HN471" i="121"/>
  <c r="HM471" i="121"/>
  <c r="HL471" i="121"/>
  <c r="HK471" i="121"/>
  <c r="HJ471" i="121"/>
  <c r="HI471" i="121"/>
  <c r="HH471" i="121"/>
  <c r="HG471" i="121"/>
  <c r="HF471" i="121"/>
  <c r="HE471" i="121"/>
  <c r="HD471" i="121"/>
  <c r="HC471" i="121"/>
  <c r="HB471" i="121"/>
  <c r="HA471" i="121"/>
  <c r="GZ471" i="121"/>
  <c r="GY471" i="121"/>
  <c r="GX471" i="121"/>
  <c r="GW471" i="121"/>
  <c r="GV471" i="121"/>
  <c r="GU471" i="121"/>
  <c r="GT471" i="121"/>
  <c r="GS471" i="121"/>
  <c r="GR471" i="121"/>
  <c r="GQ471" i="121"/>
  <c r="GP471" i="121"/>
  <c r="GO471" i="121"/>
  <c r="GN471" i="121"/>
  <c r="GM471" i="121"/>
  <c r="GL471" i="121"/>
  <c r="GK471" i="121"/>
  <c r="GJ471" i="121"/>
  <c r="GI471" i="121"/>
  <c r="GH471" i="121"/>
  <c r="GG471" i="121"/>
  <c r="GF471" i="121"/>
  <c r="GE471" i="121"/>
  <c r="GD471" i="121"/>
  <c r="GC471" i="121"/>
  <c r="GB471" i="121"/>
  <c r="GA471" i="121"/>
  <c r="FZ471" i="121"/>
  <c r="FY471" i="121"/>
  <c r="FX471" i="121"/>
  <c r="FW471" i="121"/>
  <c r="FV471" i="121"/>
  <c r="FU471" i="121"/>
  <c r="FT471" i="121"/>
  <c r="FS471" i="121"/>
  <c r="FR471" i="121"/>
  <c r="FQ471" i="121"/>
  <c r="FP471" i="121"/>
  <c r="FO471" i="121"/>
  <c r="FN471" i="121"/>
  <c r="FM471" i="121"/>
  <c r="FL471" i="121"/>
  <c r="FK471" i="121"/>
  <c r="FJ471" i="121"/>
  <c r="FI471" i="121"/>
  <c r="FH471" i="121"/>
  <c r="FG471" i="121"/>
  <c r="FF471" i="121"/>
  <c r="FE471" i="121"/>
  <c r="FD471" i="121"/>
  <c r="FC471" i="121"/>
  <c r="FB471" i="121"/>
  <c r="FA471" i="121"/>
  <c r="EZ471" i="121"/>
  <c r="EY471" i="121"/>
  <c r="EX471" i="121"/>
  <c r="EW471" i="121"/>
  <c r="EV471" i="121"/>
  <c r="EU471" i="121"/>
  <c r="ET471" i="121"/>
  <c r="ES471" i="121"/>
  <c r="ER471" i="121"/>
  <c r="EQ471" i="121"/>
  <c r="EP471" i="121"/>
  <c r="EO471" i="121"/>
  <c r="EN471" i="121"/>
  <c r="EM471" i="121"/>
  <c r="EL471" i="121"/>
  <c r="EK471" i="121"/>
  <c r="EJ471" i="121"/>
  <c r="EI471" i="121"/>
  <c r="EH471" i="121"/>
  <c r="EG471" i="121"/>
  <c r="EF471" i="121"/>
  <c r="EE471" i="121"/>
  <c r="ED471" i="121"/>
  <c r="EC471" i="121"/>
  <c r="EB471" i="121"/>
  <c r="EA471" i="121"/>
  <c r="DZ471" i="121"/>
  <c r="DY471" i="121"/>
  <c r="DX471" i="121"/>
  <c r="DW471" i="121"/>
  <c r="DV471" i="121"/>
  <c r="DU471" i="121"/>
  <c r="DT471" i="121"/>
  <c r="DS471" i="121"/>
  <c r="DR471" i="121"/>
  <c r="DQ471" i="121"/>
  <c r="DP471" i="121"/>
  <c r="DO471" i="121"/>
  <c r="DN471" i="121"/>
  <c r="DM471" i="121"/>
  <c r="DL471" i="121"/>
  <c r="DK471" i="121"/>
  <c r="DJ471" i="121"/>
  <c r="DI471" i="121"/>
  <c r="DH471" i="121"/>
  <c r="DG471" i="121"/>
  <c r="DF471" i="121"/>
  <c r="DE471" i="121"/>
  <c r="DD471" i="121"/>
  <c r="DC471" i="121"/>
  <c r="DB471" i="121"/>
  <c r="DA471" i="121"/>
  <c r="CZ471" i="121"/>
  <c r="CY471" i="121"/>
  <c r="CX471" i="121"/>
  <c r="CW471" i="121"/>
  <c r="CV471" i="121"/>
  <c r="CU471" i="121"/>
  <c r="CT471" i="121"/>
  <c r="CS471" i="121"/>
  <c r="CR471" i="121"/>
  <c r="CQ471" i="121"/>
  <c r="CP471" i="121"/>
  <c r="CO471" i="121"/>
  <c r="CN471" i="121"/>
  <c r="CM471" i="121"/>
  <c r="CL471" i="121"/>
  <c r="CK471" i="121"/>
  <c r="CJ471" i="121"/>
  <c r="CI471" i="121"/>
  <c r="CH471" i="121"/>
  <c r="CG471" i="121"/>
  <c r="CF471" i="121"/>
  <c r="CE471" i="121"/>
  <c r="CD471" i="121"/>
  <c r="CC471" i="121"/>
  <c r="CB471" i="121"/>
  <c r="CA471" i="121"/>
  <c r="BZ471" i="121"/>
  <c r="BY471" i="121"/>
  <c r="BX471" i="121"/>
  <c r="BW471" i="121"/>
  <c r="BV471" i="121"/>
  <c r="BU471" i="121"/>
  <c r="BT471" i="121"/>
  <c r="BS471" i="121"/>
  <c r="BR471" i="121"/>
  <c r="BQ471" i="121"/>
  <c r="BP471" i="121"/>
  <c r="BO471" i="121"/>
  <c r="BN471" i="121"/>
  <c r="BM471" i="121"/>
  <c r="BL471" i="121"/>
  <c r="BK471" i="121"/>
  <c r="BJ471" i="121"/>
  <c r="BI471" i="121"/>
  <c r="BH471" i="121"/>
  <c r="BG471" i="121"/>
  <c r="BF471" i="121"/>
  <c r="BE471" i="121"/>
  <c r="BD471" i="121"/>
  <c r="BC471" i="121"/>
  <c r="BB471" i="121"/>
  <c r="BA471" i="121"/>
  <c r="AZ471" i="121"/>
  <c r="AY471" i="121"/>
  <c r="AX471" i="121"/>
  <c r="AW471" i="121"/>
  <c r="AV471" i="121"/>
  <c r="AU471" i="121"/>
  <c r="AT471" i="121"/>
  <c r="AS471" i="121"/>
  <c r="AR471" i="121"/>
  <c r="AQ471" i="121"/>
  <c r="AP471" i="121"/>
  <c r="AO471" i="121"/>
  <c r="AN471" i="121"/>
  <c r="AM471" i="121"/>
  <c r="AL471" i="121"/>
  <c r="AK471" i="121"/>
  <c r="AJ471" i="121"/>
  <c r="AI471" i="121"/>
  <c r="AH471" i="121"/>
  <c r="AG471" i="121"/>
  <c r="AF471" i="121"/>
  <c r="AE471" i="121"/>
  <c r="AD471" i="121"/>
  <c r="AC471" i="121"/>
  <c r="AB471" i="121"/>
  <c r="AA471" i="121"/>
  <c r="Z471" i="121"/>
  <c r="Y471" i="121"/>
  <c r="X471" i="121"/>
  <c r="MO470" i="121"/>
  <c r="MN470" i="121"/>
  <c r="MM470" i="121"/>
  <c r="ML470" i="121"/>
  <c r="MK470" i="121"/>
  <c r="MI470" i="121"/>
  <c r="ME470" i="121"/>
  <c r="MD470" i="121"/>
  <c r="MC470" i="121"/>
  <c r="MB470" i="121"/>
  <c r="MA470" i="121"/>
  <c r="LZ470" i="121"/>
  <c r="LY470" i="121"/>
  <c r="LX470" i="121"/>
  <c r="LW470" i="121"/>
  <c r="LV470" i="121"/>
  <c r="LU470" i="121"/>
  <c r="LT470" i="121"/>
  <c r="LS470" i="121"/>
  <c r="LR470" i="121"/>
  <c r="LQ470" i="121"/>
  <c r="LP470" i="121"/>
  <c r="LO470" i="121"/>
  <c r="LN470" i="121"/>
  <c r="LM470" i="121"/>
  <c r="LL470" i="121"/>
  <c r="LK470" i="121"/>
  <c r="LJ470" i="121"/>
  <c r="LI470" i="121"/>
  <c r="LH470" i="121"/>
  <c r="LG470" i="121"/>
  <c r="JO470" i="121"/>
  <c r="ID470" i="121"/>
  <c r="IC470" i="121"/>
  <c r="IB470" i="121"/>
  <c r="IA470" i="121"/>
  <c r="HZ470" i="121"/>
  <c r="HY470" i="121"/>
  <c r="HX470" i="121"/>
  <c r="HW470" i="121"/>
  <c r="HV470" i="121"/>
  <c r="HU470" i="121"/>
  <c r="HT470" i="121"/>
  <c r="HS470" i="121"/>
  <c r="HR470" i="121"/>
  <c r="HQ470" i="121"/>
  <c r="HP470" i="121"/>
  <c r="HO470" i="121"/>
  <c r="HN470" i="121"/>
  <c r="HM470" i="121"/>
  <c r="HL470" i="121"/>
  <c r="HK470" i="121"/>
  <c r="HJ470" i="121"/>
  <c r="HI470" i="121"/>
  <c r="HH470" i="121"/>
  <c r="HG470" i="121"/>
  <c r="HF470" i="121"/>
  <c r="HE470" i="121"/>
  <c r="HD470" i="121"/>
  <c r="HC470" i="121"/>
  <c r="HB470" i="121"/>
  <c r="HA470" i="121"/>
  <c r="GZ470" i="121"/>
  <c r="GY470" i="121"/>
  <c r="GX470" i="121"/>
  <c r="GW470" i="121"/>
  <c r="GV470" i="121"/>
  <c r="GU470" i="121"/>
  <c r="GT470" i="121"/>
  <c r="GS470" i="121"/>
  <c r="GR470" i="121"/>
  <c r="GQ470" i="121"/>
  <c r="GP470" i="121"/>
  <c r="GO470" i="121"/>
  <c r="GN470" i="121"/>
  <c r="GM470" i="121"/>
  <c r="GL470" i="121"/>
  <c r="GK470" i="121"/>
  <c r="GJ470" i="121"/>
  <c r="GI470" i="121"/>
  <c r="GH470" i="121"/>
  <c r="GG470" i="121"/>
  <c r="GF470" i="121"/>
  <c r="GE470" i="121"/>
  <c r="GD470" i="121"/>
  <c r="GC470" i="121"/>
  <c r="GB470" i="121"/>
  <c r="GA470" i="121"/>
  <c r="FZ470" i="121"/>
  <c r="FY470" i="121"/>
  <c r="FX470" i="121"/>
  <c r="FW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EC470" i="121"/>
  <c r="EB470" i="121"/>
  <c r="EA470" i="121"/>
  <c r="DZ470" i="121"/>
  <c r="DY470" i="121"/>
  <c r="DX470" i="121"/>
  <c r="DW470" i="121"/>
  <c r="DV470" i="121"/>
  <c r="DU470" i="121"/>
  <c r="DT470" i="121"/>
  <c r="DS470" i="121"/>
  <c r="DR470" i="121"/>
  <c r="DQ470" i="121"/>
  <c r="DP470" i="121"/>
  <c r="DO470" i="121"/>
  <c r="DN470" i="121"/>
  <c r="DM470" i="121"/>
  <c r="DL470" i="121"/>
  <c r="DK470" i="121"/>
  <c r="DJ470" i="121"/>
  <c r="DI470" i="121"/>
  <c r="DH470" i="121"/>
  <c r="DG470" i="121"/>
  <c r="DF470" i="121"/>
  <c r="DE470" i="121"/>
  <c r="DD470" i="121"/>
  <c r="DC470" i="121"/>
  <c r="DB470" i="121"/>
  <c r="DA470" i="121"/>
  <c r="CZ470" i="121"/>
  <c r="CY470" i="121"/>
  <c r="CX470" i="121"/>
  <c r="CW470" i="121"/>
  <c r="CV470" i="121"/>
  <c r="CU470" i="121"/>
  <c r="CT470" i="121"/>
  <c r="CS470" i="121"/>
  <c r="CR470" i="121"/>
  <c r="CQ470" i="121"/>
  <c r="CP470" i="121"/>
  <c r="CO470" i="121"/>
  <c r="CN470" i="121"/>
  <c r="CM470" i="121"/>
  <c r="CL470" i="121"/>
  <c r="CK470" i="121"/>
  <c r="CJ470" i="121"/>
  <c r="CI470" i="121"/>
  <c r="CH470" i="121"/>
  <c r="CG470" i="121"/>
  <c r="CF470" i="121"/>
  <c r="CE470" i="121"/>
  <c r="CD470" i="121"/>
  <c r="CC470" i="121"/>
  <c r="CB470" i="121"/>
  <c r="CA470" i="121"/>
  <c r="BZ470" i="121"/>
  <c r="BY470" i="121"/>
  <c r="BX470" i="121"/>
  <c r="BW470" i="121"/>
  <c r="BV470" i="121"/>
  <c r="BU470" i="121"/>
  <c r="BT470" i="121"/>
  <c r="BS470" i="121"/>
  <c r="BR470" i="121"/>
  <c r="BQ470" i="121"/>
  <c r="BP470" i="121"/>
  <c r="BO470" i="121"/>
  <c r="BN470" i="121"/>
  <c r="BM470" i="121"/>
  <c r="BL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MO469" i="121"/>
  <c r="MN469" i="121"/>
  <c r="MM469" i="121"/>
  <c r="ML469" i="121"/>
  <c r="MK469" i="121"/>
  <c r="MJ469" i="121"/>
  <c r="LP469" i="121"/>
  <c r="JT469" i="121"/>
  <c r="ID469" i="121"/>
  <c r="IC469" i="121"/>
  <c r="IB469" i="121"/>
  <c r="IA469" i="121"/>
  <c r="HZ469" i="121"/>
  <c r="HX469" i="121"/>
  <c r="HH469" i="121"/>
  <c r="GR469" i="121"/>
  <c r="GF469" i="121"/>
  <c r="GE469" i="121"/>
  <c r="GD469" i="121"/>
  <c r="GC469" i="121"/>
  <c r="GB469" i="121"/>
  <c r="FZ469" i="121"/>
  <c r="FY469" i="121"/>
  <c r="FH469" i="121"/>
  <c r="ER469" i="121"/>
  <c r="EH469" i="121"/>
  <c r="EG469" i="121"/>
  <c r="EF469" i="121"/>
  <c r="EE469" i="121"/>
  <c r="ED469" i="121"/>
  <c r="EB469" i="121"/>
  <c r="DL469" i="121"/>
  <c r="CV469" i="121"/>
  <c r="CF469" i="121"/>
  <c r="BP469" i="121"/>
  <c r="AZ469" i="121"/>
  <c r="AJ469" i="121"/>
  <c r="MS468" i="121"/>
  <c r="MO468" i="121"/>
  <c r="MN468" i="121"/>
  <c r="MM468" i="121"/>
  <c r="ML468" i="121"/>
  <c r="MK468" i="121"/>
  <c r="ME468" i="121"/>
  <c r="MD468" i="121"/>
  <c r="MC468" i="121"/>
  <c r="MB468" i="121"/>
  <c r="MA468" i="121"/>
  <c r="LZ468" i="121"/>
  <c r="LY468" i="121"/>
  <c r="LX468" i="121"/>
  <c r="LW468" i="121"/>
  <c r="LV468" i="121"/>
  <c r="LU468" i="121"/>
  <c r="LT468" i="121"/>
  <c r="LS468" i="121"/>
  <c r="LR468" i="121"/>
  <c r="LQ468" i="121"/>
  <c r="LP468" i="121"/>
  <c r="LO468" i="121"/>
  <c r="LN468" i="121"/>
  <c r="LM468" i="121"/>
  <c r="LL468" i="121"/>
  <c r="LK468" i="121"/>
  <c r="LJ468" i="121"/>
  <c r="LI468" i="121"/>
  <c r="LH468" i="121"/>
  <c r="LG468" i="121"/>
  <c r="KO468" i="121"/>
  <c r="ID468" i="121"/>
  <c r="IC468" i="121"/>
  <c r="IB468" i="121"/>
  <c r="IA468" i="121"/>
  <c r="HZ468" i="121"/>
  <c r="HY468" i="121"/>
  <c r="HX468" i="121"/>
  <c r="HW468" i="121"/>
  <c r="HV468" i="121"/>
  <c r="HU468" i="121"/>
  <c r="HT468" i="121"/>
  <c r="HS468" i="121"/>
  <c r="HR468" i="121"/>
  <c r="HQ468" i="121"/>
  <c r="HP468" i="121"/>
  <c r="HO468" i="121"/>
  <c r="HN468" i="121"/>
  <c r="HM468" i="121"/>
  <c r="HL468" i="121"/>
  <c r="HK468" i="121"/>
  <c r="HJ468" i="121"/>
  <c r="HI468" i="121"/>
  <c r="HH468" i="121"/>
  <c r="HG468" i="121"/>
  <c r="HF468" i="121"/>
  <c r="HE468" i="121"/>
  <c r="HD468" i="121"/>
  <c r="HC468" i="121"/>
  <c r="HB468" i="121"/>
  <c r="HA468" i="121"/>
  <c r="GZ468" i="121"/>
  <c r="GY468" i="121"/>
  <c r="GX468" i="121"/>
  <c r="GW468" i="121"/>
  <c r="GV468" i="121"/>
  <c r="GU468" i="121"/>
  <c r="GT468" i="121"/>
  <c r="GS468" i="121"/>
  <c r="GR468" i="121"/>
  <c r="GQ468" i="121"/>
  <c r="GP468" i="121"/>
  <c r="GO468" i="121"/>
  <c r="GN468" i="121"/>
  <c r="GM468" i="121"/>
  <c r="GL468" i="121"/>
  <c r="GK468" i="121"/>
  <c r="GJ468" i="121"/>
  <c r="GI468" i="121"/>
  <c r="GH468" i="121"/>
  <c r="GG468" i="121"/>
  <c r="GF468" i="121"/>
  <c r="GE468" i="121"/>
  <c r="GD468" i="121"/>
  <c r="GC468" i="121"/>
  <c r="GB468" i="121"/>
  <c r="GA468" i="121"/>
  <c r="FZ468" i="121"/>
  <c r="FY468" i="121"/>
  <c r="FX468" i="121"/>
  <c r="FW468" i="121"/>
  <c r="FV468" i="121"/>
  <c r="FU468" i="121"/>
  <c r="FT468" i="121"/>
  <c r="FS468" i="121"/>
  <c r="FR468" i="121"/>
  <c r="FQ468" i="121"/>
  <c r="FP468" i="121"/>
  <c r="FO468" i="121"/>
  <c r="FN468" i="121"/>
  <c r="FM468" i="121"/>
  <c r="FL468" i="121"/>
  <c r="FK468" i="121"/>
  <c r="FJ468" i="121"/>
  <c r="FI468" i="121"/>
  <c r="FH468" i="121"/>
  <c r="FG468" i="121"/>
  <c r="FF468" i="121"/>
  <c r="FE468" i="121"/>
  <c r="FD468" i="121"/>
  <c r="FC468" i="121"/>
  <c r="FB468" i="121"/>
  <c r="FA468" i="121"/>
  <c r="EZ468" i="121"/>
  <c r="EY468" i="121"/>
  <c r="EX468" i="121"/>
  <c r="EW468" i="121"/>
  <c r="EV468" i="121"/>
  <c r="EU468" i="121"/>
  <c r="ET468" i="121"/>
  <c r="ES468" i="121"/>
  <c r="ER468" i="121"/>
  <c r="EQ468" i="121"/>
  <c r="EP468" i="121"/>
  <c r="EO468" i="121"/>
  <c r="EN468" i="121"/>
  <c r="EM468" i="121"/>
  <c r="EL468" i="121"/>
  <c r="EK468" i="121"/>
  <c r="EJ468" i="121"/>
  <c r="EI468" i="121"/>
  <c r="EH468" i="121"/>
  <c r="EG468" i="121"/>
  <c r="EF468" i="121"/>
  <c r="EE468" i="121"/>
  <c r="ED468" i="121"/>
  <c r="EC468" i="121"/>
  <c r="EB468" i="121"/>
  <c r="EA468" i="121"/>
  <c r="DZ468" i="121"/>
  <c r="DY468" i="121"/>
  <c r="DX468" i="121"/>
  <c r="DW468" i="121"/>
  <c r="DV468" i="121"/>
  <c r="DU468" i="121"/>
  <c r="DT468" i="121"/>
  <c r="DS468" i="121"/>
  <c r="DR468" i="121"/>
  <c r="DQ468" i="121"/>
  <c r="DP468" i="121"/>
  <c r="DO468" i="121"/>
  <c r="DN468" i="121"/>
  <c r="DM468" i="121"/>
  <c r="DL468" i="121"/>
  <c r="DK468" i="121"/>
  <c r="DJ468" i="121"/>
  <c r="DI468" i="121"/>
  <c r="DH468" i="121"/>
  <c r="DG468" i="121"/>
  <c r="DF468" i="121"/>
  <c r="DE468" i="121"/>
  <c r="DD468" i="121"/>
  <c r="DC468" i="121"/>
  <c r="DB468" i="121"/>
  <c r="DA468" i="121"/>
  <c r="CZ468" i="121"/>
  <c r="CY468" i="121"/>
  <c r="CX468" i="121"/>
  <c r="CW468" i="121"/>
  <c r="CV468" i="121"/>
  <c r="CU468" i="121"/>
  <c r="CT468" i="121"/>
  <c r="CS468" i="121"/>
  <c r="CR468" i="121"/>
  <c r="CQ468" i="121"/>
  <c r="CP468" i="121"/>
  <c r="CO468" i="121"/>
  <c r="CN468" i="121"/>
  <c r="CM468" i="121"/>
  <c r="CL468" i="121"/>
  <c r="CK468" i="121"/>
  <c r="CJ468" i="121"/>
  <c r="CI468" i="121"/>
  <c r="CH468" i="121"/>
  <c r="CG468" i="121"/>
  <c r="CF468" i="121"/>
  <c r="CE468" i="121"/>
  <c r="CD468" i="121"/>
  <c r="CC468" i="121"/>
  <c r="CB468" i="121"/>
  <c r="CA468" i="121"/>
  <c r="BZ468" i="121"/>
  <c r="BY468" i="121"/>
  <c r="BX468" i="121"/>
  <c r="BW468" i="121"/>
  <c r="BV468" i="121"/>
  <c r="BU468" i="121"/>
  <c r="BT468" i="121"/>
  <c r="BS468" i="121"/>
  <c r="BR468" i="121"/>
  <c r="BQ468" i="121"/>
  <c r="BP468" i="121"/>
  <c r="BO468" i="121"/>
  <c r="BN468" i="121"/>
  <c r="BM468" i="121"/>
  <c r="BL468" i="121"/>
  <c r="BK468" i="121"/>
  <c r="BJ468" i="121"/>
  <c r="BI468" i="121"/>
  <c r="BH468" i="121"/>
  <c r="BG468" i="121"/>
  <c r="BF468" i="121"/>
  <c r="BE468" i="121"/>
  <c r="BD468" i="121"/>
  <c r="BC468" i="121"/>
  <c r="BB468" i="121"/>
  <c r="BA468" i="121"/>
  <c r="AZ468" i="121"/>
  <c r="AY468" i="121"/>
  <c r="AX468" i="121"/>
  <c r="AW468" i="121"/>
  <c r="AV468" i="121"/>
  <c r="AU468" i="121"/>
  <c r="AT468" i="121"/>
  <c r="AS468" i="121"/>
  <c r="AR468" i="121"/>
  <c r="AQ468" i="121"/>
  <c r="AP468" i="121"/>
  <c r="AO468" i="121"/>
  <c r="AN468" i="121"/>
  <c r="AM468" i="121"/>
  <c r="AL468" i="121"/>
  <c r="AK468" i="121"/>
  <c r="AJ468" i="121"/>
  <c r="AI468" i="121"/>
  <c r="AH468" i="121"/>
  <c r="AG468" i="121"/>
  <c r="AF468" i="121"/>
  <c r="AE468" i="121"/>
  <c r="AD468" i="121"/>
  <c r="AC468" i="121"/>
  <c r="AB468" i="121"/>
  <c r="AA468" i="121"/>
  <c r="Z468" i="121"/>
  <c r="Y468" i="121"/>
  <c r="X468" i="121"/>
  <c r="MO467" i="121"/>
  <c r="MN467" i="121"/>
  <c r="MM467" i="121"/>
  <c r="ML467" i="121"/>
  <c r="MK467" i="121"/>
  <c r="ME467" i="121"/>
  <c r="MD467" i="121"/>
  <c r="MC467" i="121"/>
  <c r="MB467" i="121"/>
  <c r="MA467" i="121"/>
  <c r="LZ467" i="121"/>
  <c r="LY467" i="121"/>
  <c r="LX467" i="121"/>
  <c r="LW467" i="121"/>
  <c r="LV467" i="121"/>
  <c r="LU467" i="121"/>
  <c r="LT467" i="121"/>
  <c r="LS467" i="121"/>
  <c r="LR467" i="121"/>
  <c r="LQ467" i="121"/>
  <c r="LP467" i="121"/>
  <c r="LO467" i="121"/>
  <c r="LN467" i="121"/>
  <c r="LM467" i="121"/>
  <c r="LL467" i="121"/>
  <c r="LK467" i="121"/>
  <c r="LJ467" i="121"/>
  <c r="LI467" i="121"/>
  <c r="LH467" i="121"/>
  <c r="LG467" i="121"/>
  <c r="KW467" i="121"/>
  <c r="KB467" i="121"/>
  <c r="JI467" i="121"/>
  <c r="IS467" i="121"/>
  <c r="ID467" i="121"/>
  <c r="IC467" i="121"/>
  <c r="IB467" i="121"/>
  <c r="IA467" i="121"/>
  <c r="HZ467" i="121"/>
  <c r="HY467" i="121"/>
  <c r="HX467" i="121"/>
  <c r="HW467" i="121"/>
  <c r="HV467" i="121"/>
  <c r="HU467" i="121"/>
  <c r="HT467" i="121"/>
  <c r="HS467" i="121"/>
  <c r="HR467" i="121"/>
  <c r="HQ467" i="121"/>
  <c r="HP467" i="121"/>
  <c r="HO467" i="121"/>
  <c r="HN467" i="121"/>
  <c r="HM467" i="121"/>
  <c r="HL467" i="121"/>
  <c r="HK467" i="121"/>
  <c r="HJ467" i="121"/>
  <c r="HI467" i="121"/>
  <c r="HH467" i="121"/>
  <c r="HG467" i="121"/>
  <c r="HF467" i="121"/>
  <c r="HE467" i="121"/>
  <c r="HD467" i="121"/>
  <c r="HC467" i="121"/>
  <c r="HB467" i="121"/>
  <c r="HA467" i="121"/>
  <c r="GZ467" i="121"/>
  <c r="GY467" i="121"/>
  <c r="GX467" i="121"/>
  <c r="GW467" i="121"/>
  <c r="GV467" i="121"/>
  <c r="GU467" i="121"/>
  <c r="GT467" i="121"/>
  <c r="GS467" i="121"/>
  <c r="GR467" i="121"/>
  <c r="GQ467" i="121"/>
  <c r="GP467" i="121"/>
  <c r="GO467" i="121"/>
  <c r="GN467" i="121"/>
  <c r="GM467" i="121"/>
  <c r="GL467" i="121"/>
  <c r="GK467" i="121"/>
  <c r="GJ467" i="121"/>
  <c r="GI467" i="121"/>
  <c r="GH467" i="121"/>
  <c r="GG467" i="121"/>
  <c r="GF467" i="121"/>
  <c r="GE467" i="121"/>
  <c r="GD467" i="121"/>
  <c r="GC467" i="121"/>
  <c r="GB467" i="121"/>
  <c r="GA467" i="121"/>
  <c r="FZ467" i="121"/>
  <c r="FY467" i="121"/>
  <c r="FX467" i="121"/>
  <c r="FW467" i="121"/>
  <c r="FV467" i="121"/>
  <c r="FU467" i="121"/>
  <c r="FT467" i="121"/>
  <c r="FS467" i="121"/>
  <c r="FR467" i="121"/>
  <c r="FQ467" i="121"/>
  <c r="FP467" i="121"/>
  <c r="FO467" i="121"/>
  <c r="FN467" i="121"/>
  <c r="FM467" i="121"/>
  <c r="FL467" i="121"/>
  <c r="FK467" i="121"/>
  <c r="FJ467" i="121"/>
  <c r="FI467" i="121"/>
  <c r="FH467" i="121"/>
  <c r="FG467" i="121"/>
  <c r="FF467" i="121"/>
  <c r="FE467" i="121"/>
  <c r="FD467" i="121"/>
  <c r="FC467" i="121"/>
  <c r="FB467" i="121"/>
  <c r="FA467" i="121"/>
  <c r="EZ467" i="121"/>
  <c r="EY467" i="121"/>
  <c r="EX467" i="121"/>
  <c r="EW467" i="121"/>
  <c r="EV467" i="121"/>
  <c r="EU467" i="121"/>
  <c r="ET467" i="121"/>
  <c r="ES467" i="121"/>
  <c r="ER467" i="121"/>
  <c r="EQ467" i="121"/>
  <c r="EP467" i="121"/>
  <c r="EO467" i="121"/>
  <c r="EN467" i="121"/>
  <c r="EM467" i="121"/>
  <c r="EL467" i="121"/>
  <c r="EK467" i="121"/>
  <c r="EJ467" i="121"/>
  <c r="EI467" i="121"/>
  <c r="EH467" i="121"/>
  <c r="EG467" i="121"/>
  <c r="EF467" i="121"/>
  <c r="EE467" i="121"/>
  <c r="ED467" i="121"/>
  <c r="EC467" i="121"/>
  <c r="EB467" i="121"/>
  <c r="EA467" i="121"/>
  <c r="DZ467" i="121"/>
  <c r="DY467" i="121"/>
  <c r="DX467" i="121"/>
  <c r="DW467" i="121"/>
  <c r="DV467" i="121"/>
  <c r="DU467" i="121"/>
  <c r="DT467" i="121"/>
  <c r="DS467" i="121"/>
  <c r="DR467" i="121"/>
  <c r="DQ467" i="121"/>
  <c r="DP467" i="121"/>
  <c r="DO467" i="121"/>
  <c r="DN467" i="121"/>
  <c r="DM467" i="121"/>
  <c r="DL467" i="121"/>
  <c r="DK467" i="121"/>
  <c r="DJ467" i="121"/>
  <c r="DI467" i="121"/>
  <c r="DH467" i="121"/>
  <c r="DG467" i="121"/>
  <c r="DF467" i="121"/>
  <c r="DE467" i="121"/>
  <c r="DD467" i="121"/>
  <c r="DC467" i="121"/>
  <c r="DB467" i="121"/>
  <c r="DA467" i="121"/>
  <c r="CZ467" i="121"/>
  <c r="CY467" i="121"/>
  <c r="CX467" i="121"/>
  <c r="CW467" i="121"/>
  <c r="CV467" i="121"/>
  <c r="CU467" i="121"/>
  <c r="CT467" i="121"/>
  <c r="CS467" i="121"/>
  <c r="CR467" i="121"/>
  <c r="CQ467" i="121"/>
  <c r="CP467" i="121"/>
  <c r="CO467" i="121"/>
  <c r="CN467" i="121"/>
  <c r="CM467" i="121"/>
  <c r="CL467" i="121"/>
  <c r="CK467" i="121"/>
  <c r="CJ467" i="121"/>
  <c r="CI467" i="121"/>
  <c r="CH467" i="121"/>
  <c r="CG467" i="121"/>
  <c r="CF467" i="121"/>
  <c r="CE467" i="121"/>
  <c r="CD467" i="121"/>
  <c r="CC467" i="121"/>
  <c r="CB467" i="121"/>
  <c r="CA467" i="121"/>
  <c r="BZ467" i="121"/>
  <c r="BY467" i="121"/>
  <c r="BX467" i="121"/>
  <c r="BW467" i="121"/>
  <c r="BV467" i="121"/>
  <c r="BU467" i="121"/>
  <c r="BT467" i="121"/>
  <c r="BS467" i="121"/>
  <c r="BR467" i="121"/>
  <c r="BQ467" i="121"/>
  <c r="BP467" i="121"/>
  <c r="BO467" i="121"/>
  <c r="BN467" i="121"/>
  <c r="BM467" i="121"/>
  <c r="BL467" i="121"/>
  <c r="BK467" i="121"/>
  <c r="BJ467" i="121"/>
  <c r="BI467" i="121"/>
  <c r="BH467" i="121"/>
  <c r="BG467" i="121"/>
  <c r="BF467" i="121"/>
  <c r="BE467" i="121"/>
  <c r="BD467" i="121"/>
  <c r="BC467" i="121"/>
  <c r="BB467" i="121"/>
  <c r="BA467" i="121"/>
  <c r="AZ467" i="121"/>
  <c r="AY467" i="121"/>
  <c r="AX467" i="121"/>
  <c r="AW467" i="121"/>
  <c r="AV467" i="121"/>
  <c r="AU467" i="121"/>
  <c r="AT467" i="121"/>
  <c r="AS467" i="121"/>
  <c r="AR467" i="121"/>
  <c r="AQ467" i="121"/>
  <c r="AP467" i="121"/>
  <c r="AO467" i="121"/>
  <c r="AN467" i="121"/>
  <c r="AM467" i="121"/>
  <c r="AL467" i="121"/>
  <c r="AK467" i="121"/>
  <c r="AJ467" i="121"/>
  <c r="AI467" i="121"/>
  <c r="AH467" i="121"/>
  <c r="AG467" i="121"/>
  <c r="AF467" i="121"/>
  <c r="AE467" i="121"/>
  <c r="AD467" i="121"/>
  <c r="AC467" i="121"/>
  <c r="AB467" i="121"/>
  <c r="AA467" i="121"/>
  <c r="Z467" i="121"/>
  <c r="Y467" i="121"/>
  <c r="X467" i="121"/>
  <c r="MT466" i="121"/>
  <c r="MO466" i="121"/>
  <c r="MN466" i="121"/>
  <c r="MM466" i="121"/>
  <c r="ML466" i="121"/>
  <c r="MK466" i="121"/>
  <c r="ME466" i="121"/>
  <c r="MD466" i="121"/>
  <c r="MC466" i="121"/>
  <c r="MB466" i="121"/>
  <c r="MA466" i="121"/>
  <c r="LZ466" i="121"/>
  <c r="LY466" i="121"/>
  <c r="LX466" i="121"/>
  <c r="LW466" i="121"/>
  <c r="LV466" i="121"/>
  <c r="LU466" i="121"/>
  <c r="LT466" i="121"/>
  <c r="LS466" i="121"/>
  <c r="LR466" i="121"/>
  <c r="LQ466" i="121"/>
  <c r="LP466" i="121"/>
  <c r="LO466" i="121"/>
  <c r="LN466" i="121"/>
  <c r="LM466" i="121"/>
  <c r="LL466" i="121"/>
  <c r="LK466" i="121"/>
  <c r="LJ466" i="121"/>
  <c r="LI466" i="121"/>
  <c r="LH466" i="121"/>
  <c r="LG466" i="121"/>
  <c r="KT466" i="121"/>
  <c r="KD466" i="121"/>
  <c r="JN466" i="121"/>
  <c r="IX466" i="121"/>
  <c r="IH466" i="121"/>
  <c r="ID466" i="121"/>
  <c r="IC466" i="121"/>
  <c r="IB466" i="121"/>
  <c r="IA466" i="121"/>
  <c r="HZ466" i="121"/>
  <c r="HY466" i="121"/>
  <c r="HX466" i="121"/>
  <c r="HW466" i="121"/>
  <c r="HV466" i="121"/>
  <c r="HU466" i="121"/>
  <c r="HT466" i="121"/>
  <c r="HS466" i="121"/>
  <c r="HR466" i="121"/>
  <c r="HQ466" i="121"/>
  <c r="HP466" i="121"/>
  <c r="HO466" i="121"/>
  <c r="HN466" i="121"/>
  <c r="HM466" i="121"/>
  <c r="HL466" i="121"/>
  <c r="HK466" i="121"/>
  <c r="HJ466" i="121"/>
  <c r="HI466" i="121"/>
  <c r="HH466" i="121"/>
  <c r="HG466" i="121"/>
  <c r="HF466" i="121"/>
  <c r="HE466" i="121"/>
  <c r="HD466" i="121"/>
  <c r="HC466" i="121"/>
  <c r="HB466" i="121"/>
  <c r="HA466" i="121"/>
  <c r="GZ466" i="121"/>
  <c r="GY466" i="121"/>
  <c r="GX466" i="121"/>
  <c r="GW466" i="121"/>
  <c r="GV466" i="121"/>
  <c r="GU466" i="121"/>
  <c r="GT466" i="121"/>
  <c r="GS466" i="121"/>
  <c r="GR466" i="121"/>
  <c r="GQ466" i="121"/>
  <c r="GP466" i="121"/>
  <c r="GO466" i="121"/>
  <c r="GN466" i="121"/>
  <c r="GM466" i="121"/>
  <c r="GL466" i="121"/>
  <c r="GK466" i="121"/>
  <c r="GJ466" i="121"/>
  <c r="GI466" i="121"/>
  <c r="GH466" i="121"/>
  <c r="GG466" i="121"/>
  <c r="GF466" i="121"/>
  <c r="GE466" i="121"/>
  <c r="GD466" i="121"/>
  <c r="GC466" i="121"/>
  <c r="GB466" i="121"/>
  <c r="GA466" i="121"/>
  <c r="FZ466" i="121"/>
  <c r="FY466" i="121"/>
  <c r="FX466" i="121"/>
  <c r="FW466" i="121"/>
  <c r="FV466" i="121"/>
  <c r="FU466" i="121"/>
  <c r="FT466" i="121"/>
  <c r="FS466" i="121"/>
  <c r="FR466" i="121"/>
  <c r="FQ466" i="121"/>
  <c r="FP466" i="121"/>
  <c r="FO466" i="121"/>
  <c r="FN466" i="121"/>
  <c r="FM466" i="121"/>
  <c r="FL466" i="121"/>
  <c r="FK466" i="121"/>
  <c r="FJ466" i="121"/>
  <c r="FI466" i="121"/>
  <c r="FH466" i="121"/>
  <c r="FG466" i="121"/>
  <c r="FF466" i="121"/>
  <c r="FE466" i="121"/>
  <c r="FD466" i="121"/>
  <c r="FC466" i="121"/>
  <c r="FB466" i="121"/>
  <c r="FA466" i="121"/>
  <c r="EZ466" i="121"/>
  <c r="EY466" i="121"/>
  <c r="EX466" i="121"/>
  <c r="EW466" i="121"/>
  <c r="EV466" i="121"/>
  <c r="EU466" i="121"/>
  <c r="ET466" i="121"/>
  <c r="ES466" i="121"/>
  <c r="ER466" i="121"/>
  <c r="EQ466" i="121"/>
  <c r="EP466" i="121"/>
  <c r="EO466" i="121"/>
  <c r="EN466" i="121"/>
  <c r="EM466" i="121"/>
  <c r="EL466" i="121"/>
  <c r="EK466" i="121"/>
  <c r="EJ466" i="121"/>
  <c r="EI466" i="121"/>
  <c r="EH466" i="121"/>
  <c r="EG466" i="121"/>
  <c r="EF466" i="121"/>
  <c r="EE466" i="121"/>
  <c r="ED466" i="121"/>
  <c r="EC466" i="121"/>
  <c r="EB466" i="121"/>
  <c r="EA466" i="121"/>
  <c r="DZ466" i="121"/>
  <c r="DY466" i="121"/>
  <c r="DX466" i="121"/>
  <c r="DW466" i="121"/>
  <c r="DV466" i="121"/>
  <c r="DU466" i="121"/>
  <c r="DT466" i="121"/>
  <c r="DS466" i="121"/>
  <c r="DR466" i="121"/>
  <c r="DQ466" i="121"/>
  <c r="DP466" i="121"/>
  <c r="DO466" i="121"/>
  <c r="DN466" i="121"/>
  <c r="DM466" i="121"/>
  <c r="DL466" i="121"/>
  <c r="DK466" i="121"/>
  <c r="DJ466" i="121"/>
  <c r="DI466" i="121"/>
  <c r="DH466" i="121"/>
  <c r="DG466" i="121"/>
  <c r="DF466" i="121"/>
  <c r="DE466" i="121"/>
  <c r="DD466" i="121"/>
  <c r="DC466" i="121"/>
  <c r="DB466" i="121"/>
  <c r="DA466" i="121"/>
  <c r="CZ466" i="121"/>
  <c r="CY466" i="121"/>
  <c r="CX466" i="121"/>
  <c r="CW466" i="121"/>
  <c r="CV466" i="121"/>
  <c r="CU466" i="121"/>
  <c r="CT466" i="121"/>
  <c r="CS466" i="121"/>
  <c r="CR466" i="121"/>
  <c r="CQ466" i="121"/>
  <c r="CP466" i="121"/>
  <c r="CO466" i="121"/>
  <c r="CN466" i="121"/>
  <c r="CM466" i="121"/>
  <c r="CL466" i="121"/>
  <c r="CK466" i="121"/>
  <c r="CJ466" i="121"/>
  <c r="CI466" i="121"/>
  <c r="CH466" i="121"/>
  <c r="CG466" i="121"/>
  <c r="CF466" i="121"/>
  <c r="CE466" i="121"/>
  <c r="CD466" i="121"/>
  <c r="CC466" i="121"/>
  <c r="CB466" i="121"/>
  <c r="CA466" i="121"/>
  <c r="BZ466" i="121"/>
  <c r="BY466" i="121"/>
  <c r="BX466" i="121"/>
  <c r="BW466" i="121"/>
  <c r="BV466" i="121"/>
  <c r="BU466" i="121"/>
  <c r="BT466" i="121"/>
  <c r="BS466" i="121"/>
  <c r="BR466" i="121"/>
  <c r="BQ466" i="121"/>
  <c r="BP466" i="121"/>
  <c r="BO466" i="121"/>
  <c r="BN466" i="121"/>
  <c r="BM466" i="121"/>
  <c r="BL466" i="121"/>
  <c r="BK466" i="121"/>
  <c r="BJ466" i="121"/>
  <c r="BI466" i="121"/>
  <c r="BH466" i="121"/>
  <c r="BG466" i="121"/>
  <c r="BF466" i="121"/>
  <c r="BE466" i="121"/>
  <c r="BD466" i="121"/>
  <c r="BC466" i="121"/>
  <c r="BB466" i="121"/>
  <c r="BA466" i="121"/>
  <c r="AZ466" i="121"/>
  <c r="AY466" i="121"/>
  <c r="AX466" i="121"/>
  <c r="AW466" i="121"/>
  <c r="AV466" i="121"/>
  <c r="AU466" i="121"/>
  <c r="AT466" i="121"/>
  <c r="AS466" i="121"/>
  <c r="AR466" i="121"/>
  <c r="AQ466" i="121"/>
  <c r="AP466" i="121"/>
  <c r="AO466" i="121"/>
  <c r="AN466" i="121"/>
  <c r="AM466" i="121"/>
  <c r="AL466" i="121"/>
  <c r="AK466" i="121"/>
  <c r="AJ466" i="121"/>
  <c r="AI466" i="121"/>
  <c r="AH466" i="121"/>
  <c r="AG466" i="121"/>
  <c r="AF466" i="121"/>
  <c r="AE466" i="121"/>
  <c r="AD466" i="121"/>
  <c r="AC466" i="121"/>
  <c r="AB466" i="121"/>
  <c r="AA466" i="121"/>
  <c r="Z466" i="121"/>
  <c r="Y466" i="121"/>
  <c r="X466" i="121"/>
  <c r="MN465" i="121"/>
  <c r="ML465" i="121"/>
  <c r="MI465" i="121"/>
  <c r="MD465" i="121"/>
  <c r="LV465" i="121"/>
  <c r="LN465" i="121"/>
  <c r="LE465" i="121"/>
  <c r="KO465" i="121"/>
  <c r="JY465" i="121"/>
  <c r="JI465" i="121"/>
  <c r="IS465" i="121"/>
  <c r="ID465" i="121"/>
  <c r="IC465" i="121"/>
  <c r="IB465" i="121"/>
  <c r="IA465" i="121"/>
  <c r="HZ465" i="121"/>
  <c r="HR465" i="121"/>
  <c r="HJ465" i="121"/>
  <c r="HB465" i="121"/>
  <c r="GT465" i="121"/>
  <c r="GL465" i="121"/>
  <c r="GF465" i="121"/>
  <c r="GE465" i="121"/>
  <c r="GD465" i="121"/>
  <c r="GC465" i="121"/>
  <c r="GB465" i="121"/>
  <c r="GA465" i="121"/>
  <c r="FZ465" i="121"/>
  <c r="FY465" i="121"/>
  <c r="FX465" i="121"/>
  <c r="FW465" i="121"/>
  <c r="FR465" i="121"/>
  <c r="FJ465" i="121"/>
  <c r="FB465" i="121"/>
  <c r="ET465" i="121"/>
  <c r="EL465" i="121"/>
  <c r="EH465" i="121"/>
  <c r="EG465" i="121"/>
  <c r="EF465" i="121"/>
  <c r="EE465" i="121"/>
  <c r="ED465" i="121"/>
  <c r="DZ465" i="121"/>
  <c r="DR465" i="121"/>
  <c r="DJ465" i="121"/>
  <c r="DB465" i="121"/>
  <c r="CT465" i="121"/>
  <c r="CL465" i="121"/>
  <c r="CD465" i="121"/>
  <c r="BV465" i="121"/>
  <c r="BN465" i="121"/>
  <c r="BF465" i="121"/>
  <c r="AX465" i="121"/>
  <c r="AP465" i="121"/>
  <c r="AH465" i="121"/>
  <c r="Z465" i="121"/>
  <c r="MS464" i="121"/>
  <c r="MO464" i="121"/>
  <c r="MN464" i="121"/>
  <c r="MM464" i="121"/>
  <c r="ML464" i="121"/>
  <c r="MK464" i="121"/>
  <c r="ME464" i="121"/>
  <c r="MD464" i="121"/>
  <c r="MC464" i="121"/>
  <c r="MB464" i="121"/>
  <c r="MA464" i="121"/>
  <c r="LZ464" i="121"/>
  <c r="LY464" i="121"/>
  <c r="LX464" i="121"/>
  <c r="LW464" i="121"/>
  <c r="LV464" i="121"/>
  <c r="LU464" i="121"/>
  <c r="LT464" i="121"/>
  <c r="LS464" i="121"/>
  <c r="LR464" i="121"/>
  <c r="LQ464" i="121"/>
  <c r="LP464" i="121"/>
  <c r="LO464" i="121"/>
  <c r="LN464" i="121"/>
  <c r="LM464" i="121"/>
  <c r="LL464" i="121"/>
  <c r="LK464" i="121"/>
  <c r="LJ464" i="121"/>
  <c r="LI464" i="121"/>
  <c r="LH464" i="121"/>
  <c r="LG464" i="121"/>
  <c r="LE464" i="121"/>
  <c r="KO464" i="121"/>
  <c r="JY464" i="121"/>
  <c r="JI464" i="121"/>
  <c r="IS464" i="121"/>
  <c r="ID464" i="121"/>
  <c r="IC464" i="121"/>
  <c r="IB464" i="121"/>
  <c r="IA464" i="121"/>
  <c r="HZ464" i="121"/>
  <c r="HY464" i="121"/>
  <c r="HX464" i="121"/>
  <c r="HW464" i="121"/>
  <c r="HV464" i="121"/>
  <c r="HU464" i="121"/>
  <c r="HT464" i="121"/>
  <c r="HS464" i="121"/>
  <c r="HR464" i="121"/>
  <c r="HQ464" i="121"/>
  <c r="HP464" i="121"/>
  <c r="HO464" i="121"/>
  <c r="HN464" i="121"/>
  <c r="HM464" i="121"/>
  <c r="HL464" i="121"/>
  <c r="HK464" i="121"/>
  <c r="HJ464" i="121"/>
  <c r="HI464" i="121"/>
  <c r="HH464" i="121"/>
  <c r="HG464" i="121"/>
  <c r="HF464" i="121"/>
  <c r="HE464" i="121"/>
  <c r="HD464" i="121"/>
  <c r="HC464" i="121"/>
  <c r="HB464" i="121"/>
  <c r="HA464" i="121"/>
  <c r="GZ464" i="121"/>
  <c r="GY464" i="121"/>
  <c r="GX464" i="121"/>
  <c r="GW464" i="121"/>
  <c r="GV464" i="121"/>
  <c r="GU464" i="121"/>
  <c r="GT464" i="121"/>
  <c r="GS464" i="121"/>
  <c r="GR464" i="121"/>
  <c r="GQ464" i="121"/>
  <c r="GP464" i="121"/>
  <c r="GO464" i="121"/>
  <c r="GN464" i="121"/>
  <c r="GM464" i="121"/>
  <c r="GL464" i="121"/>
  <c r="GK464" i="121"/>
  <c r="GJ464" i="121"/>
  <c r="GI464" i="121"/>
  <c r="GH464" i="121"/>
  <c r="GG464" i="121"/>
  <c r="GF464" i="121"/>
  <c r="GE464" i="121"/>
  <c r="GD464" i="121"/>
  <c r="GC464" i="121"/>
  <c r="GB464" i="121"/>
  <c r="GA464" i="121"/>
  <c r="FZ464" i="121"/>
  <c r="FY464" i="121"/>
  <c r="FX464" i="121"/>
  <c r="FW464" i="121"/>
  <c r="FV464" i="121"/>
  <c r="FU464" i="121"/>
  <c r="FT464" i="121"/>
  <c r="FS464" i="121"/>
  <c r="FR464" i="121"/>
  <c r="FQ464" i="121"/>
  <c r="FP464" i="121"/>
  <c r="FO464" i="121"/>
  <c r="FN464" i="121"/>
  <c r="FM464" i="121"/>
  <c r="FL464" i="121"/>
  <c r="FK464" i="121"/>
  <c r="FJ464" i="121"/>
  <c r="FI464" i="121"/>
  <c r="FH464" i="121"/>
  <c r="FG464" i="121"/>
  <c r="FF464" i="121"/>
  <c r="FE464" i="121"/>
  <c r="FD464" i="121"/>
  <c r="FC464" i="121"/>
  <c r="FB464" i="121"/>
  <c r="FA464" i="121"/>
  <c r="EZ464" i="121"/>
  <c r="EY464" i="121"/>
  <c r="EX464" i="121"/>
  <c r="EW464" i="121"/>
  <c r="EV464" i="121"/>
  <c r="EU464" i="121"/>
  <c r="ET464" i="121"/>
  <c r="ES464" i="121"/>
  <c r="ER464" i="121"/>
  <c r="EQ464" i="121"/>
  <c r="EP464" i="121"/>
  <c r="EO464" i="121"/>
  <c r="EN464" i="121"/>
  <c r="EM464" i="121"/>
  <c r="EL464" i="121"/>
  <c r="EK464" i="121"/>
  <c r="EJ464" i="121"/>
  <c r="EI464" i="121"/>
  <c r="EH464" i="121"/>
  <c r="EG464" i="121"/>
  <c r="EF464" i="121"/>
  <c r="EE464" i="121"/>
  <c r="ED464" i="121"/>
  <c r="EC464" i="121"/>
  <c r="EB464" i="121"/>
  <c r="EA464" i="121"/>
  <c r="DZ464" i="121"/>
  <c r="DY464" i="121"/>
  <c r="DX464" i="121"/>
  <c r="DW464" i="121"/>
  <c r="DV464" i="121"/>
  <c r="DU464" i="121"/>
  <c r="DT464" i="121"/>
  <c r="DS464" i="121"/>
  <c r="DR464" i="121"/>
  <c r="DQ464" i="121"/>
  <c r="DP464" i="121"/>
  <c r="DO464" i="121"/>
  <c r="DN464" i="121"/>
  <c r="DM464" i="121"/>
  <c r="DL464" i="121"/>
  <c r="DK464" i="121"/>
  <c r="DJ464" i="121"/>
  <c r="DI464" i="121"/>
  <c r="DH464" i="121"/>
  <c r="DG464" i="121"/>
  <c r="DF464" i="121"/>
  <c r="DE464" i="121"/>
  <c r="DD464" i="121"/>
  <c r="DC464" i="121"/>
  <c r="DB464" i="121"/>
  <c r="DA464" i="121"/>
  <c r="CZ464" i="121"/>
  <c r="CY464" i="121"/>
  <c r="CX464" i="121"/>
  <c r="CW464" i="121"/>
  <c r="CV464" i="121"/>
  <c r="CU464" i="121"/>
  <c r="CT464" i="121"/>
  <c r="CS464" i="121"/>
  <c r="CR464" i="121"/>
  <c r="CQ464" i="121"/>
  <c r="CP464" i="121"/>
  <c r="CO464" i="121"/>
  <c r="CN464" i="121"/>
  <c r="CM464" i="121"/>
  <c r="CL464" i="121"/>
  <c r="CK464" i="121"/>
  <c r="CJ464" i="121"/>
  <c r="CI464" i="121"/>
  <c r="CH464" i="121"/>
  <c r="CG464" i="121"/>
  <c r="CF464" i="121"/>
  <c r="CE464" i="121"/>
  <c r="CD464" i="121"/>
  <c r="CC464" i="121"/>
  <c r="CB464" i="121"/>
  <c r="CA464" i="121"/>
  <c r="BZ464" i="121"/>
  <c r="BY464" i="121"/>
  <c r="BX464" i="121"/>
  <c r="BW464" i="121"/>
  <c r="BV464" i="121"/>
  <c r="BU464" i="121"/>
  <c r="BT464" i="121"/>
  <c r="BS464" i="121"/>
  <c r="BR464" i="121"/>
  <c r="BQ464" i="121"/>
  <c r="BP464" i="121"/>
  <c r="BO464" i="121"/>
  <c r="BN464" i="121"/>
  <c r="BM464" i="121"/>
  <c r="BL464" i="121"/>
  <c r="BK464" i="121"/>
  <c r="BJ464" i="121"/>
  <c r="BI464" i="121"/>
  <c r="BH464" i="121"/>
  <c r="BG464" i="121"/>
  <c r="BF464" i="121"/>
  <c r="BE464" i="121"/>
  <c r="BD464" i="121"/>
  <c r="BC464" i="121"/>
  <c r="BB464" i="121"/>
  <c r="BA464" i="121"/>
  <c r="AZ464" i="121"/>
  <c r="AY464" i="121"/>
  <c r="AX464" i="121"/>
  <c r="AW464" i="121"/>
  <c r="AV464" i="121"/>
  <c r="AU464" i="121"/>
  <c r="AT464" i="121"/>
  <c r="AS464" i="121"/>
  <c r="AR464" i="121"/>
  <c r="AQ464" i="121"/>
  <c r="AP464" i="121"/>
  <c r="AO464" i="121"/>
  <c r="AN464" i="121"/>
  <c r="AM464" i="121"/>
  <c r="AL464" i="121"/>
  <c r="AK464" i="121"/>
  <c r="AJ464" i="121"/>
  <c r="AI464" i="121"/>
  <c r="AH464" i="121"/>
  <c r="AG464" i="121"/>
  <c r="AF464" i="121"/>
  <c r="AE464" i="121"/>
  <c r="AD464" i="121"/>
  <c r="AC464" i="121"/>
  <c r="AB464" i="121"/>
  <c r="AA464" i="121"/>
  <c r="Z464" i="121"/>
  <c r="Y464" i="121"/>
  <c r="X464" i="121"/>
  <c r="MO463" i="121"/>
  <c r="MN463" i="121"/>
  <c r="MM463" i="121"/>
  <c r="ML463" i="121"/>
  <c r="MK463" i="121"/>
  <c r="ME463" i="121"/>
  <c r="MD463" i="121"/>
  <c r="MC463" i="121"/>
  <c r="MB463" i="121"/>
  <c r="MA463" i="121"/>
  <c r="LZ463" i="121"/>
  <c r="LY463" i="121"/>
  <c r="LX463" i="121"/>
  <c r="LW463" i="121"/>
  <c r="LV463" i="121"/>
  <c r="LU463" i="121"/>
  <c r="LT463" i="121"/>
  <c r="LS463" i="121"/>
  <c r="LR463" i="121"/>
  <c r="LQ463" i="121"/>
  <c r="LP463" i="121"/>
  <c r="LO463" i="121"/>
  <c r="LN463" i="121"/>
  <c r="LM463" i="121"/>
  <c r="LL463" i="121"/>
  <c r="LK463" i="121"/>
  <c r="LJ463" i="121"/>
  <c r="LI463" i="121"/>
  <c r="LH463" i="121"/>
  <c r="LG463" i="121"/>
  <c r="LA463" i="121"/>
  <c r="KK463" i="121"/>
  <c r="JU463" i="121"/>
  <c r="JE463" i="121"/>
  <c r="IO463" i="121"/>
  <c r="ID463" i="121"/>
  <c r="IC463" i="121"/>
  <c r="IB463" i="121"/>
  <c r="IA463" i="121"/>
  <c r="HZ463" i="121"/>
  <c r="HY463" i="121"/>
  <c r="HX463" i="121"/>
  <c r="HW463" i="121"/>
  <c r="HV463" i="121"/>
  <c r="HU463" i="121"/>
  <c r="HT463" i="121"/>
  <c r="HS463" i="121"/>
  <c r="HR463" i="121"/>
  <c r="HQ463" i="121"/>
  <c r="HP463" i="121"/>
  <c r="HO463" i="121"/>
  <c r="HN463" i="121"/>
  <c r="HM463" i="121"/>
  <c r="HL463" i="121"/>
  <c r="HK463" i="121"/>
  <c r="HJ463" i="121"/>
  <c r="HI463" i="121"/>
  <c r="HH463" i="121"/>
  <c r="HG463" i="121"/>
  <c r="HF463" i="121"/>
  <c r="HE463" i="121"/>
  <c r="HD463" i="121"/>
  <c r="HC463" i="121"/>
  <c r="HB463" i="121"/>
  <c r="HA463" i="121"/>
  <c r="GZ463" i="121"/>
  <c r="GY463" i="121"/>
  <c r="GX463" i="121"/>
  <c r="GW463" i="121"/>
  <c r="GV463" i="121"/>
  <c r="GU463" i="121"/>
  <c r="GT463" i="121"/>
  <c r="GS463" i="121"/>
  <c r="GR463" i="121"/>
  <c r="GQ463" i="121"/>
  <c r="GP463" i="121"/>
  <c r="GO463" i="121"/>
  <c r="GN463" i="121"/>
  <c r="GM463" i="121"/>
  <c r="GL463" i="121"/>
  <c r="GK463" i="121"/>
  <c r="GJ463" i="121"/>
  <c r="GI463" i="121"/>
  <c r="GH463" i="121"/>
  <c r="GG463" i="121"/>
  <c r="GF463" i="121"/>
  <c r="GE463" i="121"/>
  <c r="GD463" i="121"/>
  <c r="GC463" i="121"/>
  <c r="GB463" i="121"/>
  <c r="GA463" i="121"/>
  <c r="FZ463" i="121"/>
  <c r="FY463" i="121"/>
  <c r="FX463" i="121"/>
  <c r="FW463" i="121"/>
  <c r="FV463" i="121"/>
  <c r="FU463" i="121"/>
  <c r="FT463" i="121"/>
  <c r="FS463" i="121"/>
  <c r="FR463" i="121"/>
  <c r="FQ463" i="121"/>
  <c r="FP463" i="121"/>
  <c r="FO463" i="121"/>
  <c r="FN463" i="121"/>
  <c r="FM463" i="121"/>
  <c r="FL463" i="121"/>
  <c r="FK463" i="121"/>
  <c r="FJ463" i="121"/>
  <c r="FI463" i="121"/>
  <c r="FH463" i="121"/>
  <c r="FG463" i="121"/>
  <c r="FF463" i="121"/>
  <c r="FE463" i="121"/>
  <c r="FD463" i="121"/>
  <c r="FC463" i="121"/>
  <c r="FB463" i="121"/>
  <c r="FA463" i="121"/>
  <c r="EZ463" i="121"/>
  <c r="EY463" i="121"/>
  <c r="EX463" i="121"/>
  <c r="EW463" i="121"/>
  <c r="EV463" i="121"/>
  <c r="EU463" i="121"/>
  <c r="ET463" i="121"/>
  <c r="ES463" i="121"/>
  <c r="ER463" i="121"/>
  <c r="EQ463" i="121"/>
  <c r="EP463" i="121"/>
  <c r="EO463" i="121"/>
  <c r="EN463" i="121"/>
  <c r="EM463" i="121"/>
  <c r="EL463" i="121"/>
  <c r="EK463" i="121"/>
  <c r="EJ463" i="121"/>
  <c r="EI463" i="121"/>
  <c r="EH463" i="121"/>
  <c r="EG463" i="121"/>
  <c r="EF463" i="121"/>
  <c r="EE463" i="121"/>
  <c r="ED463" i="121"/>
  <c r="EC463" i="121"/>
  <c r="EB463" i="121"/>
  <c r="EA463" i="121"/>
  <c r="DZ463" i="121"/>
  <c r="DY463" i="121"/>
  <c r="DX463" i="121"/>
  <c r="DW463" i="121"/>
  <c r="DV463" i="121"/>
  <c r="DU463" i="121"/>
  <c r="DT463" i="121"/>
  <c r="DS463" i="121"/>
  <c r="DR463" i="121"/>
  <c r="DQ463" i="121"/>
  <c r="DP463" i="121"/>
  <c r="DO463" i="121"/>
  <c r="DN463" i="121"/>
  <c r="DM463" i="121"/>
  <c r="DL463" i="121"/>
  <c r="DK463" i="121"/>
  <c r="DJ463" i="121"/>
  <c r="DI463" i="121"/>
  <c r="DH463" i="121"/>
  <c r="DG463" i="121"/>
  <c r="DF463" i="121"/>
  <c r="DE463" i="121"/>
  <c r="DD463" i="121"/>
  <c r="DC463" i="121"/>
  <c r="DB463" i="121"/>
  <c r="DA463" i="121"/>
  <c r="CZ463" i="121"/>
  <c r="CY463" i="121"/>
  <c r="CX463" i="121"/>
  <c r="CW463" i="121"/>
  <c r="CV463" i="121"/>
  <c r="CU463" i="121"/>
  <c r="CT463" i="121"/>
  <c r="CS463" i="121"/>
  <c r="CR463" i="121"/>
  <c r="CQ463" i="121"/>
  <c r="CP463" i="121"/>
  <c r="CO463" i="121"/>
  <c r="CN463" i="121"/>
  <c r="CM463" i="121"/>
  <c r="CL463" i="121"/>
  <c r="CK463" i="121"/>
  <c r="CJ463" i="121"/>
  <c r="CI463" i="121"/>
  <c r="CH463" i="121"/>
  <c r="CG463" i="121"/>
  <c r="CF463" i="121"/>
  <c r="CE463" i="121"/>
  <c r="CD463" i="121"/>
  <c r="CC463" i="121"/>
  <c r="CB463" i="121"/>
  <c r="CA463" i="121"/>
  <c r="BZ463" i="121"/>
  <c r="BY463" i="121"/>
  <c r="BX463" i="121"/>
  <c r="BW463" i="121"/>
  <c r="BV463" i="121"/>
  <c r="BU463" i="121"/>
  <c r="BT463" i="121"/>
  <c r="BS463" i="121"/>
  <c r="BR463" i="121"/>
  <c r="BQ463" i="121"/>
  <c r="BP463" i="121"/>
  <c r="BO463" i="121"/>
  <c r="BN463" i="121"/>
  <c r="BM463" i="121"/>
  <c r="BL463" i="121"/>
  <c r="BK463" i="121"/>
  <c r="BJ463" i="121"/>
  <c r="BI463" i="121"/>
  <c r="BH463" i="121"/>
  <c r="BG463" i="121"/>
  <c r="BF463" i="121"/>
  <c r="BE463" i="121"/>
  <c r="BD463" i="121"/>
  <c r="BC463" i="121"/>
  <c r="BB463" i="121"/>
  <c r="BA463" i="121"/>
  <c r="AZ463" i="121"/>
  <c r="AY463" i="121"/>
  <c r="AX463" i="121"/>
  <c r="AW463" i="121"/>
  <c r="AV463" i="121"/>
  <c r="AU463" i="121"/>
  <c r="AT463" i="121"/>
  <c r="AS463" i="121"/>
  <c r="AR463" i="121"/>
  <c r="AQ463" i="121"/>
  <c r="AP463" i="121"/>
  <c r="AO463" i="121"/>
  <c r="AN463" i="121"/>
  <c r="AM463" i="121"/>
  <c r="AL463" i="121"/>
  <c r="AK463" i="121"/>
  <c r="AJ463" i="121"/>
  <c r="AI463" i="121"/>
  <c r="AH463" i="121"/>
  <c r="AG463" i="121"/>
  <c r="AF463" i="121"/>
  <c r="AE463" i="121"/>
  <c r="AD463" i="121"/>
  <c r="AC463" i="121"/>
  <c r="AB463" i="121"/>
  <c r="AA463" i="121"/>
  <c r="Z463" i="121"/>
  <c r="Y463" i="121"/>
  <c r="X463" i="121"/>
  <c r="MO462" i="121"/>
  <c r="MN462" i="121"/>
  <c r="MM462" i="121"/>
  <c r="ML462" i="121"/>
  <c r="MK462" i="121"/>
  <c r="MG462" i="121"/>
  <c r="ME462" i="121"/>
  <c r="MD462" i="121"/>
  <c r="MC462" i="121"/>
  <c r="MB462" i="121"/>
  <c r="MA462" i="121"/>
  <c r="LZ462" i="121"/>
  <c r="LY462" i="121"/>
  <c r="LX462" i="121"/>
  <c r="LW462" i="121"/>
  <c r="LV462" i="121"/>
  <c r="LU462" i="121"/>
  <c r="LT462" i="121"/>
  <c r="LS462" i="121"/>
  <c r="LR462" i="121"/>
  <c r="LQ462" i="121"/>
  <c r="LP462" i="121"/>
  <c r="LO462" i="121"/>
  <c r="LN462" i="121"/>
  <c r="LM462" i="121"/>
  <c r="LL462" i="121"/>
  <c r="LK462" i="121"/>
  <c r="LJ462" i="121"/>
  <c r="LI462" i="121"/>
  <c r="LH462" i="121"/>
  <c r="LG462" i="121"/>
  <c r="KW462" i="121"/>
  <c r="KG462" i="121"/>
  <c r="JQ462" i="121"/>
  <c r="JA462" i="121"/>
  <c r="IN462" i="121"/>
  <c r="IF462" i="121"/>
  <c r="ID462" i="121"/>
  <c r="IC462" i="121"/>
  <c r="IB462" i="121"/>
  <c r="IA462" i="121"/>
  <c r="HZ462" i="121"/>
  <c r="HY462" i="121"/>
  <c r="HX462" i="121"/>
  <c r="HW462" i="121"/>
  <c r="HV462" i="121"/>
  <c r="HU462" i="121"/>
  <c r="HT462" i="121"/>
  <c r="HS462" i="121"/>
  <c r="HR462" i="121"/>
  <c r="HQ462" i="121"/>
  <c r="HP462" i="121"/>
  <c r="HO462" i="121"/>
  <c r="HN462" i="121"/>
  <c r="HM462" i="121"/>
  <c r="HL462" i="121"/>
  <c r="HK462" i="121"/>
  <c r="HJ462" i="121"/>
  <c r="HI462" i="121"/>
  <c r="HH462" i="121"/>
  <c r="HG462" i="121"/>
  <c r="HF462" i="121"/>
  <c r="HE462" i="121"/>
  <c r="HD462" i="121"/>
  <c r="HC462" i="121"/>
  <c r="HB462" i="121"/>
  <c r="HA462" i="121"/>
  <c r="GZ462" i="121"/>
  <c r="GY462" i="121"/>
  <c r="GX462" i="121"/>
  <c r="GW462" i="121"/>
  <c r="GV462" i="121"/>
  <c r="GU462" i="121"/>
  <c r="GT462" i="121"/>
  <c r="GS462" i="121"/>
  <c r="GR462" i="121"/>
  <c r="GQ462" i="121"/>
  <c r="GP462" i="121"/>
  <c r="GO462" i="121"/>
  <c r="GN462" i="121"/>
  <c r="GM462" i="121"/>
  <c r="GL462" i="121"/>
  <c r="GK462" i="121"/>
  <c r="GJ462" i="121"/>
  <c r="GI462" i="121"/>
  <c r="GH462" i="121"/>
  <c r="GG462" i="121"/>
  <c r="GF462" i="121"/>
  <c r="GE462" i="121"/>
  <c r="GD462" i="121"/>
  <c r="GC462" i="121"/>
  <c r="GB462" i="121"/>
  <c r="GA462" i="121"/>
  <c r="FZ462" i="121"/>
  <c r="FY462" i="121"/>
  <c r="FX462" i="121"/>
  <c r="FW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EC462" i="121"/>
  <c r="EB462" i="121"/>
  <c r="EA462" i="121"/>
  <c r="DZ462" i="121"/>
  <c r="DY462" i="121"/>
  <c r="DX462" i="121"/>
  <c r="DW462" i="121"/>
  <c r="DV462" i="121"/>
  <c r="DU462" i="121"/>
  <c r="DT462" i="121"/>
  <c r="DS462" i="121"/>
  <c r="DR462" i="121"/>
  <c r="DQ462" i="121"/>
  <c r="DP462" i="121"/>
  <c r="DO462" i="121"/>
  <c r="DN462" i="121"/>
  <c r="DM462" i="121"/>
  <c r="DL462" i="121"/>
  <c r="DK462" i="121"/>
  <c r="DJ462" i="121"/>
  <c r="DI462" i="121"/>
  <c r="DH462" i="121"/>
  <c r="DG462" i="121"/>
  <c r="DF462" i="121"/>
  <c r="DE462" i="121"/>
  <c r="DD462" i="121"/>
  <c r="DC462" i="121"/>
  <c r="DB462" i="121"/>
  <c r="DA462" i="121"/>
  <c r="CZ462" i="121"/>
  <c r="CY462" i="121"/>
  <c r="CX462" i="121"/>
  <c r="CW462" i="121"/>
  <c r="CV462" i="121"/>
  <c r="CU462" i="121"/>
  <c r="CT462" i="121"/>
  <c r="CS462" i="121"/>
  <c r="CR462" i="121"/>
  <c r="CQ462" i="121"/>
  <c r="CP462" i="121"/>
  <c r="CO462" i="121"/>
  <c r="CN462" i="121"/>
  <c r="CM462" i="121"/>
  <c r="CL462" i="121"/>
  <c r="CK462" i="121"/>
  <c r="CJ462" i="121"/>
  <c r="CI462" i="121"/>
  <c r="CH462" i="121"/>
  <c r="CG462" i="121"/>
  <c r="CF462" i="121"/>
  <c r="CE462" i="121"/>
  <c r="CD462" i="121"/>
  <c r="CC462" i="121"/>
  <c r="CB462" i="121"/>
  <c r="CA462" i="121"/>
  <c r="BZ462" i="121"/>
  <c r="BY462" i="121"/>
  <c r="BX462" i="121"/>
  <c r="BW462" i="121"/>
  <c r="BV462" i="121"/>
  <c r="BU462" i="121"/>
  <c r="BT462" i="121"/>
  <c r="BS462" i="121"/>
  <c r="BR462" i="121"/>
  <c r="BQ462" i="121"/>
  <c r="BP462" i="121"/>
  <c r="BO462" i="121"/>
  <c r="BN462" i="121"/>
  <c r="BM462" i="121"/>
  <c r="BL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O461" i="121"/>
  <c r="MN461" i="121"/>
  <c r="MM461" i="121"/>
  <c r="ML461" i="121"/>
  <c r="MK461" i="121"/>
  <c r="LZ461" i="121"/>
  <c r="LR461" i="121"/>
  <c r="LJ461" i="121"/>
  <c r="KZ461" i="121"/>
  <c r="KR461" i="121"/>
  <c r="KJ461" i="121"/>
  <c r="KB461" i="121"/>
  <c r="JT461" i="121"/>
  <c r="JL461" i="121"/>
  <c r="JD461" i="121"/>
  <c r="IV461" i="121"/>
  <c r="IN461" i="121"/>
  <c r="IF461" i="121"/>
  <c r="ID461" i="121"/>
  <c r="IC461" i="121"/>
  <c r="IB461" i="121"/>
  <c r="IA461" i="121"/>
  <c r="HZ461" i="121"/>
  <c r="HV461" i="121"/>
  <c r="HN461" i="121"/>
  <c r="HF461" i="121"/>
  <c r="GX461" i="121"/>
  <c r="GS461" i="121"/>
  <c r="GO461" i="121"/>
  <c r="GK461" i="121"/>
  <c r="GG461" i="121"/>
  <c r="GF461" i="121"/>
  <c r="GE461" i="121"/>
  <c r="GD461" i="121"/>
  <c r="GC461" i="121"/>
  <c r="GB461" i="121"/>
  <c r="GA461" i="121"/>
  <c r="FZ461" i="121"/>
  <c r="FY461" i="121"/>
  <c r="FX461" i="121"/>
  <c r="FW461" i="121"/>
  <c r="FU461" i="121"/>
  <c r="FQ461" i="121"/>
  <c r="FM461" i="121"/>
  <c r="FI461" i="121"/>
  <c r="FE461" i="121"/>
  <c r="FA461" i="121"/>
  <c r="EW461" i="121"/>
  <c r="ES461" i="121"/>
  <c r="EO461" i="121"/>
  <c r="EK461" i="121"/>
  <c r="EH461" i="121"/>
  <c r="EG461" i="121"/>
  <c r="EF461" i="121"/>
  <c r="EE461" i="121"/>
  <c r="ED461" i="121"/>
  <c r="EC461" i="121"/>
  <c r="DY461" i="121"/>
  <c r="DU461" i="121"/>
  <c r="DQ461" i="121"/>
  <c r="DM461" i="121"/>
  <c r="DI461" i="121"/>
  <c r="DE461" i="121"/>
  <c r="DA461" i="121"/>
  <c r="CW461" i="121"/>
  <c r="CS461" i="121"/>
  <c r="CO461" i="121"/>
  <c r="CK461" i="121"/>
  <c r="CG461" i="121"/>
  <c r="CC461" i="121"/>
  <c r="BY461" i="121"/>
  <c r="BU461" i="121"/>
  <c r="BQ461" i="121"/>
  <c r="BM461" i="121"/>
  <c r="BI461" i="121"/>
  <c r="BE461" i="121"/>
  <c r="BA461" i="121"/>
  <c r="AW461" i="121"/>
  <c r="AS461" i="121"/>
  <c r="AO461" i="121"/>
  <c r="AK461" i="121"/>
  <c r="AG461" i="121"/>
  <c r="AC461" i="121"/>
  <c r="Y461" i="121"/>
  <c r="MT460" i="121"/>
  <c r="MO460" i="121"/>
  <c r="MN460" i="121"/>
  <c r="MM460" i="121"/>
  <c r="ML460" i="121"/>
  <c r="MK460" i="121"/>
  <c r="MH460" i="121"/>
  <c r="ME460" i="121"/>
  <c r="MD460" i="121"/>
  <c r="MC460" i="121"/>
  <c r="MB460" i="121"/>
  <c r="MA460" i="121"/>
  <c r="LZ460" i="121"/>
  <c r="LY460" i="121"/>
  <c r="LX460" i="121"/>
  <c r="LW460" i="121"/>
  <c r="LV460" i="121"/>
  <c r="LU460" i="121"/>
  <c r="LT460" i="121"/>
  <c r="LS460" i="121"/>
  <c r="LR460" i="121"/>
  <c r="LQ460" i="121"/>
  <c r="LP460" i="121"/>
  <c r="LO460" i="121"/>
  <c r="LN460" i="121"/>
  <c r="LM460" i="121"/>
  <c r="LL460" i="121"/>
  <c r="LK460" i="121"/>
  <c r="LJ460" i="121"/>
  <c r="LI460" i="121"/>
  <c r="LH460" i="121"/>
  <c r="LG460" i="121"/>
  <c r="LE460" i="121"/>
  <c r="KW460" i="121"/>
  <c r="KO460" i="121"/>
  <c r="KG460" i="121"/>
  <c r="JY460" i="121"/>
  <c r="JQ460" i="121"/>
  <c r="JI460" i="121"/>
  <c r="JA460" i="121"/>
  <c r="IS460" i="121"/>
  <c r="IK460" i="121"/>
  <c r="ID460" i="121"/>
  <c r="IC460" i="121"/>
  <c r="IB460" i="121"/>
  <c r="IA460" i="121"/>
  <c r="HZ460" i="121"/>
  <c r="HY460" i="121"/>
  <c r="HX460" i="121"/>
  <c r="HW460" i="121"/>
  <c r="HV460" i="121"/>
  <c r="HU460" i="121"/>
  <c r="HT460" i="121"/>
  <c r="HS460" i="121"/>
  <c r="HR460" i="121"/>
  <c r="HQ460" i="121"/>
  <c r="HP460" i="121"/>
  <c r="HO460" i="121"/>
  <c r="HN460" i="121"/>
  <c r="HM460" i="121"/>
  <c r="HL460" i="121"/>
  <c r="HK460" i="121"/>
  <c r="HJ460" i="121"/>
  <c r="HI460" i="121"/>
  <c r="HH460" i="121"/>
  <c r="HG460" i="121"/>
  <c r="HF460" i="121"/>
  <c r="HE460" i="121"/>
  <c r="HD460" i="121"/>
  <c r="HC460" i="121"/>
  <c r="HB460" i="121"/>
  <c r="HA460" i="121"/>
  <c r="GZ460" i="121"/>
  <c r="GY460" i="121"/>
  <c r="GX460" i="121"/>
  <c r="GW460" i="121"/>
  <c r="GV460" i="121"/>
  <c r="GU460" i="121"/>
  <c r="GT460" i="121"/>
  <c r="GS460" i="121"/>
  <c r="GR460" i="121"/>
  <c r="GQ460" i="121"/>
  <c r="GP460" i="121"/>
  <c r="GO460" i="121"/>
  <c r="GN460" i="121"/>
  <c r="GM460" i="121"/>
  <c r="GL460" i="121"/>
  <c r="GK460" i="121"/>
  <c r="GJ460" i="121"/>
  <c r="GI460" i="121"/>
  <c r="GH460" i="121"/>
  <c r="GG460" i="121"/>
  <c r="GF460" i="121"/>
  <c r="GE460" i="121"/>
  <c r="GD460" i="121"/>
  <c r="GC460" i="121"/>
  <c r="GB460" i="121"/>
  <c r="GA460" i="121"/>
  <c r="FZ460" i="121"/>
  <c r="FY460" i="121"/>
  <c r="FX460" i="121"/>
  <c r="FW460" i="121"/>
  <c r="FV460" i="121"/>
  <c r="FU460" i="121"/>
  <c r="FT460" i="121"/>
  <c r="FS460" i="121"/>
  <c r="FR460" i="121"/>
  <c r="FQ460" i="121"/>
  <c r="FP460" i="121"/>
  <c r="FO460" i="121"/>
  <c r="FN460" i="121"/>
  <c r="FM460" i="121"/>
  <c r="FL460" i="121"/>
  <c r="FK460" i="121"/>
  <c r="FJ460" i="121"/>
  <c r="FI460" i="121"/>
  <c r="FH460" i="121"/>
  <c r="FG460" i="121"/>
  <c r="FF460" i="121"/>
  <c r="FE460" i="121"/>
  <c r="FD460" i="121"/>
  <c r="FC460" i="121"/>
  <c r="FB460" i="121"/>
  <c r="FA460" i="121"/>
  <c r="EZ460" i="121"/>
  <c r="EY460" i="121"/>
  <c r="EX460" i="121"/>
  <c r="EW460" i="121"/>
  <c r="EV460" i="121"/>
  <c r="EU460" i="121"/>
  <c r="ET460" i="121"/>
  <c r="ES460" i="121"/>
  <c r="ER460" i="121"/>
  <c r="EQ460" i="121"/>
  <c r="EP460" i="121"/>
  <c r="EO460" i="121"/>
  <c r="EN460" i="121"/>
  <c r="EM460" i="121"/>
  <c r="EL460" i="121"/>
  <c r="EK460" i="121"/>
  <c r="EJ460" i="121"/>
  <c r="EI460" i="121"/>
  <c r="EH460" i="121"/>
  <c r="EG460" i="121"/>
  <c r="EF460" i="121"/>
  <c r="EE460" i="121"/>
  <c r="ED460" i="121"/>
  <c r="EC460" i="121"/>
  <c r="EB460" i="121"/>
  <c r="EA460" i="121"/>
  <c r="DZ460" i="121"/>
  <c r="DY460" i="121"/>
  <c r="DX460" i="121"/>
  <c r="DW460" i="121"/>
  <c r="DV460" i="121"/>
  <c r="DU460" i="121"/>
  <c r="DT460" i="121"/>
  <c r="DS460" i="121"/>
  <c r="DR460" i="121"/>
  <c r="DQ460" i="121"/>
  <c r="DP460" i="121"/>
  <c r="DO460" i="121"/>
  <c r="DN460" i="121"/>
  <c r="DM460" i="121"/>
  <c r="DL460" i="121"/>
  <c r="DK460" i="121"/>
  <c r="DJ460" i="121"/>
  <c r="DI460" i="121"/>
  <c r="DH460" i="121"/>
  <c r="DG460" i="121"/>
  <c r="DF460" i="121"/>
  <c r="DE460" i="121"/>
  <c r="DD460" i="121"/>
  <c r="DC460" i="121"/>
  <c r="DB460" i="121"/>
  <c r="DA460" i="121"/>
  <c r="CZ460" i="121"/>
  <c r="CY460" i="121"/>
  <c r="CX460" i="121"/>
  <c r="CW460" i="121"/>
  <c r="CV460" i="121"/>
  <c r="CU460" i="121"/>
  <c r="CT460" i="121"/>
  <c r="CS460" i="121"/>
  <c r="CR460" i="121"/>
  <c r="CQ460" i="121"/>
  <c r="CP460" i="121"/>
  <c r="CO460" i="121"/>
  <c r="CN460" i="121"/>
  <c r="CM460" i="121"/>
  <c r="CL460" i="121"/>
  <c r="CK460" i="121"/>
  <c r="CJ460" i="121"/>
  <c r="CI460" i="121"/>
  <c r="CH460" i="121"/>
  <c r="CG460" i="121"/>
  <c r="CF460" i="121"/>
  <c r="CE460" i="121"/>
  <c r="CD460" i="121"/>
  <c r="CC460" i="121"/>
  <c r="CB460" i="121"/>
  <c r="CA460" i="121"/>
  <c r="BZ460" i="121"/>
  <c r="BY460" i="121"/>
  <c r="BX460" i="121"/>
  <c r="BW460" i="121"/>
  <c r="BV460" i="121"/>
  <c r="BU460" i="121"/>
  <c r="BT460" i="121"/>
  <c r="BS460" i="121"/>
  <c r="BR460" i="121"/>
  <c r="BQ460" i="121"/>
  <c r="BP460" i="121"/>
  <c r="BO460" i="121"/>
  <c r="BN460" i="121"/>
  <c r="BM460" i="121"/>
  <c r="BL460" i="121"/>
  <c r="BK460" i="121"/>
  <c r="BJ460" i="121"/>
  <c r="BI460" i="121"/>
  <c r="BH460" i="121"/>
  <c r="BG460" i="121"/>
  <c r="BF460" i="121"/>
  <c r="BE460" i="121"/>
  <c r="BD460" i="121"/>
  <c r="BC460" i="121"/>
  <c r="BB460" i="121"/>
  <c r="BA460" i="121"/>
  <c r="AZ460" i="121"/>
  <c r="AY460" i="121"/>
  <c r="AX460" i="121"/>
  <c r="AW460" i="121"/>
  <c r="AV460" i="121"/>
  <c r="AU460" i="121"/>
  <c r="AT460" i="121"/>
  <c r="AS460" i="121"/>
  <c r="AR460" i="121"/>
  <c r="AQ460" i="121"/>
  <c r="AP460" i="121"/>
  <c r="AO460" i="121"/>
  <c r="AN460" i="121"/>
  <c r="AM460" i="121"/>
  <c r="AL460" i="121"/>
  <c r="AK460" i="121"/>
  <c r="AJ460" i="121"/>
  <c r="AI460" i="121"/>
  <c r="AH460" i="121"/>
  <c r="AG460" i="121"/>
  <c r="AF460" i="121"/>
  <c r="AE460" i="121"/>
  <c r="AD460" i="121"/>
  <c r="AC460" i="121"/>
  <c r="AB460" i="121"/>
  <c r="AA460" i="121"/>
  <c r="Z460" i="121"/>
  <c r="Y460" i="121"/>
  <c r="X460" i="121"/>
  <c r="MT459" i="121"/>
  <c r="MO459" i="121"/>
  <c r="MN459" i="121"/>
  <c r="MM459" i="121"/>
  <c r="ML459" i="121"/>
  <c r="MK459" i="121"/>
  <c r="MF459" i="121"/>
  <c r="LQ459" i="121"/>
  <c r="LC459" i="121"/>
  <c r="KX459" i="121"/>
  <c r="KR459" i="121"/>
  <c r="KH459" i="121"/>
  <c r="KB459" i="121"/>
  <c r="JW459" i="121"/>
  <c r="JR459" i="121"/>
  <c r="JL459" i="121"/>
  <c r="JG459" i="121"/>
  <c r="JB459" i="121"/>
  <c r="IV459" i="121"/>
  <c r="IQ459" i="121"/>
  <c r="IL459" i="121"/>
  <c r="IF459" i="121"/>
  <c r="ID459" i="121"/>
  <c r="IC459" i="121"/>
  <c r="IB459" i="121"/>
  <c r="IA459" i="121"/>
  <c r="HZ459" i="121"/>
  <c r="HO459" i="121"/>
  <c r="GT459" i="121"/>
  <c r="GE459" i="121"/>
  <c r="GA459" i="121"/>
  <c r="FW459" i="121"/>
  <c r="FF459" i="121"/>
  <c r="EJ459" i="121"/>
  <c r="EE459" i="121"/>
  <c r="DP459" i="121"/>
  <c r="CU459" i="121"/>
  <c r="BZ459" i="121"/>
  <c r="BD459" i="121"/>
  <c r="AI459" i="121"/>
  <c r="LO458" i="121"/>
  <c r="JT458" i="121"/>
  <c r="HI458" i="121"/>
  <c r="FX458" i="121"/>
  <c r="FH458" i="121"/>
  <c r="ER458" i="121"/>
  <c r="EB458" i="121"/>
  <c r="DL458" i="121"/>
  <c r="CV458" i="121"/>
  <c r="CF458" i="121"/>
  <c r="BP458" i="121"/>
  <c r="AZ458" i="121"/>
  <c r="AI458" i="121"/>
  <c r="MT457" i="121"/>
  <c r="MM457" i="121"/>
  <c r="MC457" i="121"/>
  <c r="LM457" i="121"/>
  <c r="LI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HQ457" i="121"/>
  <c r="HA457" i="121"/>
  <c r="GK457" i="121"/>
  <c r="GF457" i="121"/>
  <c r="GE457" i="121"/>
  <c r="GD457" i="121"/>
  <c r="GC457" i="121"/>
  <c r="GB457" i="121"/>
  <c r="GA457" i="121"/>
  <c r="FZ457" i="121"/>
  <c r="FY457" i="121"/>
  <c r="FX457" i="121"/>
  <c r="FW457" i="121"/>
  <c r="FU457" i="121"/>
  <c r="FQ457" i="121"/>
  <c r="FM457" i="121"/>
  <c r="FI457" i="121"/>
  <c r="FE457" i="121"/>
  <c r="FA457" i="121"/>
  <c r="EW457" i="121"/>
  <c r="ES457" i="121"/>
  <c r="EO457" i="121"/>
  <c r="EK457" i="121"/>
  <c r="EH457" i="121"/>
  <c r="EG457" i="121"/>
  <c r="EF457" i="121"/>
  <c r="EE457" i="121"/>
  <c r="ED457" i="121"/>
  <c r="EC457" i="121"/>
  <c r="DY457" i="121"/>
  <c r="DU457" i="121"/>
  <c r="DQ457" i="121"/>
  <c r="DM457" i="121"/>
  <c r="DI457" i="121"/>
  <c r="DE457" i="121"/>
  <c r="DA457" i="121"/>
  <c r="CW457" i="121"/>
  <c r="CS457" i="121"/>
  <c r="CO457" i="121"/>
  <c r="CK457" i="121"/>
  <c r="CG457" i="121"/>
  <c r="CC457" i="121"/>
  <c r="BY457" i="121"/>
  <c r="BU457" i="121"/>
  <c r="BQ457" i="121"/>
  <c r="BM457" i="121"/>
  <c r="BI457" i="121"/>
  <c r="BE457" i="121"/>
  <c r="BA457" i="121"/>
  <c r="AW457" i="121"/>
  <c r="AS457" i="121"/>
  <c r="AO457" i="121"/>
  <c r="AK457" i="121"/>
  <c r="AG457" i="121"/>
  <c r="AC457" i="121"/>
  <c r="Y457" i="121"/>
  <c r="ME456" i="121"/>
  <c r="MA456" i="121"/>
  <c r="LW456" i="121"/>
  <c r="LS456" i="121"/>
  <c r="LP456" i="121"/>
  <c r="LO456" i="121"/>
  <c r="LN456" i="121"/>
  <c r="LM456" i="121"/>
  <c r="LL456" i="121"/>
  <c r="LK456" i="121"/>
  <c r="LJ456" i="121"/>
  <c r="LI456" i="121"/>
  <c r="LH456" i="121"/>
  <c r="LG456" i="121"/>
  <c r="LC456" i="121"/>
  <c r="KW456" i="121"/>
  <c r="KR456" i="121"/>
  <c r="KM456" i="121"/>
  <c r="KG456" i="121"/>
  <c r="KB456" i="121"/>
  <c r="JW456" i="121"/>
  <c r="JQ456" i="121"/>
  <c r="JL456" i="121"/>
  <c r="JG456" i="121"/>
  <c r="JA456" i="121"/>
  <c r="IV456" i="121"/>
  <c r="IQ456" i="121"/>
  <c r="IK456" i="121"/>
  <c r="IF456" i="121"/>
  <c r="ID456" i="121"/>
  <c r="IC456" i="121"/>
  <c r="IB456" i="121"/>
  <c r="HZ456" i="121"/>
  <c r="HV456" i="121"/>
  <c r="HR456" i="121"/>
  <c r="HN456" i="121"/>
  <c r="HJ456" i="121"/>
  <c r="HF456" i="121"/>
  <c r="HB456" i="121"/>
  <c r="GX456" i="121"/>
  <c r="GT456" i="121"/>
  <c r="GP456" i="121"/>
  <c r="GL456" i="121"/>
  <c r="GF456" i="121"/>
  <c r="GE456" i="121"/>
  <c r="GD456" i="121"/>
  <c r="GC456" i="121"/>
  <c r="GB456" i="121"/>
  <c r="GA456" i="121"/>
  <c r="FZ456" i="121"/>
  <c r="FY456" i="121"/>
  <c r="FW456" i="121"/>
  <c r="FV456" i="121"/>
  <c r="FU456" i="121"/>
  <c r="FT456" i="121"/>
  <c r="FS456" i="121"/>
  <c r="FR456" i="121"/>
  <c r="FQ456" i="121"/>
  <c r="FP456" i="121"/>
  <c r="FO456" i="121"/>
  <c r="FN456" i="121"/>
  <c r="FM456" i="121"/>
  <c r="FL456" i="121"/>
  <c r="FK456" i="121"/>
  <c r="FJ456" i="121"/>
  <c r="FH456" i="121"/>
  <c r="FG456" i="121"/>
  <c r="FF456" i="121"/>
  <c r="FE456" i="121"/>
  <c r="FD456" i="121"/>
  <c r="FC456" i="121"/>
  <c r="FB456" i="121"/>
  <c r="FA456" i="121"/>
  <c r="EZ456" i="121"/>
  <c r="EY456" i="121"/>
  <c r="EX456" i="121"/>
  <c r="EW456" i="121"/>
  <c r="EV456" i="121"/>
  <c r="EU456" i="121"/>
  <c r="ET456" i="121"/>
  <c r="ES456" i="121"/>
  <c r="ER456" i="121"/>
  <c r="EQ456" i="121"/>
  <c r="EP456" i="121"/>
  <c r="EO456" i="121"/>
  <c r="EN456" i="121"/>
  <c r="EM456" i="121"/>
  <c r="EL456" i="121"/>
  <c r="EK456" i="121"/>
  <c r="EJ456" i="121"/>
  <c r="EI456" i="121"/>
  <c r="EH456" i="121"/>
  <c r="EG456" i="121"/>
  <c r="EF456" i="121"/>
  <c r="EE456" i="121"/>
  <c r="ED456" i="121"/>
  <c r="EC456" i="121"/>
  <c r="EB456" i="121"/>
  <c r="EA456" i="121"/>
  <c r="DZ456" i="121"/>
  <c r="DY456" i="121"/>
  <c r="DX456" i="121"/>
  <c r="DW456" i="121"/>
  <c r="DV456" i="121"/>
  <c r="DU456" i="121"/>
  <c r="DT456" i="121"/>
  <c r="DS456" i="121"/>
  <c r="DR456" i="121"/>
  <c r="DQ456" i="121"/>
  <c r="DP456" i="121"/>
  <c r="DO456" i="121"/>
  <c r="DN456" i="121"/>
  <c r="DM456" i="121"/>
  <c r="DL456" i="121"/>
  <c r="DK456" i="121"/>
  <c r="DJ456" i="121"/>
  <c r="DI456" i="121"/>
  <c r="DH456" i="121"/>
  <c r="DG456" i="121"/>
  <c r="DF456" i="121"/>
  <c r="DE456" i="121"/>
  <c r="DD456" i="121"/>
  <c r="DC456" i="121"/>
  <c r="DB456" i="121"/>
  <c r="DA456" i="121"/>
  <c r="CZ456" i="121"/>
  <c r="CY456" i="121"/>
  <c r="CX456" i="121"/>
  <c r="CW456" i="121"/>
  <c r="CV456" i="121"/>
  <c r="CU456" i="121"/>
  <c r="CT456" i="121"/>
  <c r="CS456" i="121"/>
  <c r="CR456" i="121"/>
  <c r="CQ456" i="121"/>
  <c r="CP456" i="121"/>
  <c r="CO456" i="121"/>
  <c r="CN456" i="121"/>
  <c r="CM456" i="121"/>
  <c r="CL456" i="121"/>
  <c r="CK456" i="121"/>
  <c r="CJ456" i="121"/>
  <c r="CI456" i="121"/>
  <c r="CH456" i="121"/>
  <c r="CG456" i="121"/>
  <c r="CF456" i="121"/>
  <c r="CE456" i="121"/>
  <c r="CD456" i="121"/>
  <c r="CC456" i="121"/>
  <c r="CB456" i="121"/>
  <c r="CA456" i="121"/>
  <c r="BZ456" i="121"/>
  <c r="BY456" i="121"/>
  <c r="BX456" i="121"/>
  <c r="BW456" i="121"/>
  <c r="BV456" i="121"/>
  <c r="BU456" i="121"/>
  <c r="BT456" i="121"/>
  <c r="BS456" i="121"/>
  <c r="BR456" i="121"/>
  <c r="BQ456" i="121"/>
  <c r="BP456" i="121"/>
  <c r="BO456" i="121"/>
  <c r="BN456" i="121"/>
  <c r="BM456" i="121"/>
  <c r="BL456" i="121"/>
  <c r="BK456" i="121"/>
  <c r="BJ456" i="121"/>
  <c r="BI456" i="121"/>
  <c r="BH456" i="121"/>
  <c r="BG456" i="121"/>
  <c r="BF456" i="121"/>
  <c r="BE456" i="121"/>
  <c r="BD456" i="121"/>
  <c r="BC456" i="121"/>
  <c r="BB456" i="121"/>
  <c r="BA456" i="121"/>
  <c r="AZ456" i="121"/>
  <c r="AY456" i="121"/>
  <c r="AX456" i="121"/>
  <c r="AW456" i="121"/>
  <c r="AV456" i="121"/>
  <c r="AU456" i="121"/>
  <c r="AT456" i="121"/>
  <c r="AS456" i="121"/>
  <c r="AR456" i="121"/>
  <c r="AQ456" i="121"/>
  <c r="AP456" i="121"/>
  <c r="AO456" i="121"/>
  <c r="AN456" i="121"/>
  <c r="AM456" i="121"/>
  <c r="AL456" i="121"/>
  <c r="AK456" i="121"/>
  <c r="AJ456" i="121"/>
  <c r="AI456" i="121"/>
  <c r="AH456" i="121"/>
  <c r="AG456" i="121"/>
  <c r="AF456" i="121"/>
  <c r="AE456" i="121"/>
  <c r="AD456" i="121"/>
  <c r="AC456" i="121"/>
  <c r="AB456" i="121"/>
  <c r="AA456" i="121"/>
  <c r="Z456" i="121"/>
  <c r="Y456" i="121"/>
  <c r="X456" i="121"/>
  <c r="MS455" i="121"/>
  <c r="MO455" i="121"/>
  <c r="LU455" i="121"/>
  <c r="LP455" i="121"/>
  <c r="LO455" i="121"/>
  <c r="LN455" i="121"/>
  <c r="LM455" i="121"/>
  <c r="LL455" i="121"/>
  <c r="LK455" i="121"/>
  <c r="LJ455" i="121"/>
  <c r="LI455" i="121"/>
  <c r="LH455" i="121"/>
  <c r="LG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HM455" i="121"/>
  <c r="GW455" i="121"/>
  <c r="GG455" i="121"/>
  <c r="GF455" i="121"/>
  <c r="GE455" i="121"/>
  <c r="GD455" i="121"/>
  <c r="GC455" i="121"/>
  <c r="GB455" i="121"/>
  <c r="GA455" i="121"/>
  <c r="FZ455" i="121"/>
  <c r="FY455" i="121"/>
  <c r="FX455" i="121"/>
  <c r="FW455" i="121"/>
  <c r="FV455" i="121"/>
  <c r="FU455" i="121"/>
  <c r="FS455" i="121"/>
  <c r="FR455" i="121"/>
  <c r="FQ455" i="121"/>
  <c r="FP455" i="121"/>
  <c r="FO455" i="121"/>
  <c r="FN455" i="121"/>
  <c r="FM455" i="121"/>
  <c r="FL455" i="121"/>
  <c r="FK455" i="121"/>
  <c r="FJ455" i="121"/>
  <c r="FI455" i="121"/>
  <c r="FH455" i="121"/>
  <c r="FG455" i="121"/>
  <c r="FF455" i="121"/>
  <c r="FE455" i="121"/>
  <c r="FD455" i="121"/>
  <c r="FC455" i="121"/>
  <c r="FB455" i="121"/>
  <c r="FA455" i="121"/>
  <c r="EZ455" i="121"/>
  <c r="EY455" i="121"/>
  <c r="EX455" i="121"/>
  <c r="EW455" i="121"/>
  <c r="EV455" i="121"/>
  <c r="EU455" i="121"/>
  <c r="ET455" i="121"/>
  <c r="ES455" i="121"/>
  <c r="ER455" i="121"/>
  <c r="EQ455" i="121"/>
  <c r="EP455" i="121"/>
  <c r="EO455" i="121"/>
  <c r="EN455" i="121"/>
  <c r="EM455" i="121"/>
  <c r="EL455" i="121"/>
  <c r="EK455" i="121"/>
  <c r="EJ455" i="121"/>
  <c r="EI455" i="121"/>
  <c r="EH455" i="121"/>
  <c r="EG455" i="121"/>
  <c r="EF455" i="121"/>
  <c r="EE455" i="121"/>
  <c r="ED455" i="121"/>
  <c r="EC455" i="121"/>
  <c r="EB455" i="121"/>
  <c r="EA455" i="121"/>
  <c r="DZ455" i="121"/>
  <c r="DY455" i="121"/>
  <c r="DX455" i="121"/>
  <c r="DW455" i="121"/>
  <c r="DV455" i="121"/>
  <c r="DU455" i="121"/>
  <c r="DT455" i="121"/>
  <c r="DS455" i="121"/>
  <c r="DR455" i="121"/>
  <c r="DQ455" i="121"/>
  <c r="DP455" i="121"/>
  <c r="DO455" i="121"/>
  <c r="DN455" i="121"/>
  <c r="DM455" i="121"/>
  <c r="DL455" i="121"/>
  <c r="DK455" i="121"/>
  <c r="DJ455" i="121"/>
  <c r="DI455" i="121"/>
  <c r="DH455" i="121"/>
  <c r="DG455" i="121"/>
  <c r="DF455" i="121"/>
  <c r="DE455" i="121"/>
  <c r="DD455" i="121"/>
  <c r="DC455" i="121"/>
  <c r="DB455" i="121"/>
  <c r="DA455" i="121"/>
  <c r="CZ455" i="121"/>
  <c r="CY455" i="121"/>
  <c r="CX455" i="121"/>
  <c r="CW455" i="121"/>
  <c r="CV455" i="121"/>
  <c r="CU455" i="121"/>
  <c r="CT455" i="121"/>
  <c r="CS455" i="121"/>
  <c r="CR455" i="121"/>
  <c r="CQ455" i="121"/>
  <c r="CP455" i="121"/>
  <c r="CO455" i="121"/>
  <c r="CN455" i="121"/>
  <c r="CM455" i="121"/>
  <c r="CL455" i="121"/>
  <c r="CK455" i="121"/>
  <c r="CJ455" i="121"/>
  <c r="CI455" i="121"/>
  <c r="CH455" i="121"/>
  <c r="CG455" i="121"/>
  <c r="CF455" i="121"/>
  <c r="CE455" i="121"/>
  <c r="CD455" i="121"/>
  <c r="CC455" i="121"/>
  <c r="CB455" i="121"/>
  <c r="CA455" i="121"/>
  <c r="BZ455" i="121"/>
  <c r="BY455" i="121"/>
  <c r="BX455" i="121"/>
  <c r="BW455" i="121"/>
  <c r="BV455" i="121"/>
  <c r="BU455" i="121"/>
  <c r="BT455" i="121"/>
  <c r="BS455" i="121"/>
  <c r="BR455" i="121"/>
  <c r="BQ455" i="121"/>
  <c r="BP455" i="121"/>
  <c r="BO455" i="121"/>
  <c r="BN455" i="121"/>
  <c r="BM455" i="121"/>
  <c r="BL455" i="121"/>
  <c r="BK455" i="121"/>
  <c r="BJ455" i="121"/>
  <c r="BI455" i="121"/>
  <c r="BH455" i="121"/>
  <c r="BG455" i="121"/>
  <c r="BF455" i="121"/>
  <c r="BE455" i="121"/>
  <c r="BD455" i="121"/>
  <c r="BC455" i="121"/>
  <c r="BB455" i="121"/>
  <c r="BA455" i="121"/>
  <c r="AZ455" i="121"/>
  <c r="AY455" i="121"/>
  <c r="AX455" i="121"/>
  <c r="AW455" i="121"/>
  <c r="AV455" i="121"/>
  <c r="AU455" i="121"/>
  <c r="AT455" i="121"/>
  <c r="AS455" i="121"/>
  <c r="AR455" i="121"/>
  <c r="AQ455" i="121"/>
  <c r="AP455" i="121"/>
  <c r="AO455" i="121"/>
  <c r="AN455" i="121"/>
  <c r="AM455" i="121"/>
  <c r="AL455" i="121"/>
  <c r="AK455" i="121"/>
  <c r="AJ455" i="121"/>
  <c r="AI455" i="121"/>
  <c r="AH455" i="121"/>
  <c r="AG455" i="121"/>
  <c r="AF455" i="121"/>
  <c r="AE455" i="121"/>
  <c r="AD455" i="121"/>
  <c r="AC455" i="121"/>
  <c r="AB455" i="121"/>
  <c r="AA455" i="121"/>
  <c r="Z455" i="121"/>
  <c r="Y455" i="121"/>
  <c r="X455" i="121"/>
  <c r="MP454" i="121"/>
  <c r="ML454" i="121"/>
  <c r="ME454" i="121"/>
  <c r="MD454" i="121"/>
  <c r="MC454" i="121"/>
  <c r="MB454" i="121"/>
  <c r="MA454" i="121"/>
  <c r="LZ454" i="121"/>
  <c r="LY454" i="121"/>
  <c r="LX454" i="121"/>
  <c r="LW454" i="121"/>
  <c r="LV454" i="121"/>
  <c r="LU454" i="121"/>
  <c r="LT454" i="121"/>
  <c r="LS454" i="121"/>
  <c r="LR454" i="121"/>
  <c r="LQ454" i="121"/>
  <c r="LP454" i="121"/>
  <c r="LO454" i="121"/>
  <c r="LN454" i="121"/>
  <c r="LM454" i="121"/>
  <c r="LL454" i="121"/>
  <c r="LK454" i="121"/>
  <c r="LJ454" i="121"/>
  <c r="LI454" i="121"/>
  <c r="LH454" i="121"/>
  <c r="LG454" i="121"/>
  <c r="LF454" i="121"/>
  <c r="LB454" i="121"/>
  <c r="KX454" i="121"/>
  <c r="KT454" i="121"/>
  <c r="KP454" i="121"/>
  <c r="KL454" i="121"/>
  <c r="KH454" i="121"/>
  <c r="KD454" i="121"/>
  <c r="JZ454" i="121"/>
  <c r="JV454" i="121"/>
  <c r="JR454" i="121"/>
  <c r="JN454" i="121"/>
  <c r="JJ454" i="121"/>
  <c r="JF454" i="121"/>
  <c r="JB454" i="121"/>
  <c r="IX454" i="121"/>
  <c r="IT454" i="121"/>
  <c r="IP454" i="121"/>
  <c r="IL454" i="121"/>
  <c r="IH454" i="121"/>
  <c r="ID454" i="121"/>
  <c r="IC454" i="121"/>
  <c r="IB454" i="121"/>
  <c r="HZ454" i="121"/>
  <c r="HY454" i="121"/>
  <c r="HX454" i="121"/>
  <c r="HW454" i="121"/>
  <c r="HV454" i="121"/>
  <c r="HU454" i="121"/>
  <c r="HT454" i="121"/>
  <c r="HS454" i="121"/>
  <c r="HR454" i="121"/>
  <c r="HQ454" i="121"/>
  <c r="HP454" i="121"/>
  <c r="HO454" i="121"/>
  <c r="HN454" i="121"/>
  <c r="HM454" i="121"/>
  <c r="HL454" i="121"/>
  <c r="HK454" i="121"/>
  <c r="HJ454" i="121"/>
  <c r="HI454" i="121"/>
  <c r="HH454" i="121"/>
  <c r="HG454" i="121"/>
  <c r="HF454" i="121"/>
  <c r="HE454" i="121"/>
  <c r="HD454" i="121"/>
  <c r="HC454" i="121"/>
  <c r="HB454" i="121"/>
  <c r="HA454" i="121"/>
  <c r="GZ454" i="121"/>
  <c r="GY454" i="121"/>
  <c r="GX454" i="121"/>
  <c r="GW454" i="121"/>
  <c r="GV454" i="121"/>
  <c r="GU454" i="121"/>
  <c r="GT454" i="121"/>
  <c r="GS454" i="121"/>
  <c r="GR454" i="121"/>
  <c r="GQ454" i="121"/>
  <c r="GP454" i="121"/>
  <c r="GO454" i="121"/>
  <c r="GN454" i="121"/>
  <c r="GM454" i="121"/>
  <c r="GL454" i="121"/>
  <c r="GK454" i="121"/>
  <c r="GJ454" i="121"/>
  <c r="GI454" i="121"/>
  <c r="GH454" i="121"/>
  <c r="GG454" i="121"/>
  <c r="GF454" i="121"/>
  <c r="GE454" i="121"/>
  <c r="GD454" i="121"/>
  <c r="GC454" i="121"/>
  <c r="GB454" i="121"/>
  <c r="GA454" i="121"/>
  <c r="FZ454" i="121"/>
  <c r="FY454" i="121"/>
  <c r="FX454" i="121"/>
  <c r="FW454" i="121"/>
  <c r="FV454" i="121"/>
  <c r="FU454" i="121"/>
  <c r="FT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EC454" i="121"/>
  <c r="EB454" i="121"/>
  <c r="EA454" i="121"/>
  <c r="DZ454" i="121"/>
  <c r="DY454" i="121"/>
  <c r="DX454" i="121"/>
  <c r="DW454" i="121"/>
  <c r="DV454" i="121"/>
  <c r="DU454" i="121"/>
  <c r="DT454" i="121"/>
  <c r="DS454" i="121"/>
  <c r="DR454" i="121"/>
  <c r="DQ454" i="121"/>
  <c r="DP454" i="121"/>
  <c r="DO454" i="121"/>
  <c r="DN454" i="121"/>
  <c r="DM454" i="121"/>
  <c r="DL454" i="121"/>
  <c r="DK454" i="121"/>
  <c r="DJ454" i="121"/>
  <c r="DI454" i="121"/>
  <c r="DH454" i="121"/>
  <c r="DG454" i="121"/>
  <c r="DF454" i="121"/>
  <c r="DE454" i="121"/>
  <c r="DD454" i="121"/>
  <c r="DC454" i="121"/>
  <c r="DB454" i="121"/>
  <c r="DA454" i="121"/>
  <c r="CZ454" i="121"/>
  <c r="CY454" i="121"/>
  <c r="CX454" i="121"/>
  <c r="CW454" i="121"/>
  <c r="CV454" i="121"/>
  <c r="CU454" i="121"/>
  <c r="CT454" i="121"/>
  <c r="CS454" i="121"/>
  <c r="CR454" i="121"/>
  <c r="CQ454" i="121"/>
  <c r="CP454" i="121"/>
  <c r="CO454" i="121"/>
  <c r="CN454" i="121"/>
  <c r="CM454" i="121"/>
  <c r="CL454" i="121"/>
  <c r="CK454" i="121"/>
  <c r="CJ454" i="121"/>
  <c r="CI454" i="121"/>
  <c r="CH454" i="121"/>
  <c r="CG454" i="121"/>
  <c r="CF454" i="121"/>
  <c r="CE454" i="121"/>
  <c r="CD454" i="121"/>
  <c r="CC454" i="121"/>
  <c r="CB454" i="121"/>
  <c r="CA454" i="121"/>
  <c r="BZ454" i="121"/>
  <c r="BY454" i="121"/>
  <c r="BX454" i="121"/>
  <c r="BW454" i="121"/>
  <c r="BV454" i="121"/>
  <c r="BU454" i="121"/>
  <c r="BT454" i="121"/>
  <c r="BS454" i="121"/>
  <c r="BR454" i="121"/>
  <c r="BQ454" i="121"/>
  <c r="BP454" i="121"/>
  <c r="BO454" i="121"/>
  <c r="BN454" i="121"/>
  <c r="BM454" i="121"/>
  <c r="BL454" i="121"/>
  <c r="BK454" i="121"/>
  <c r="BJ454" i="121"/>
  <c r="BI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MT453" i="121"/>
  <c r="MQ453" i="121"/>
  <c r="MP453" i="121"/>
  <c r="MO453" i="121"/>
  <c r="MN453" i="121"/>
  <c r="MM453" i="121"/>
  <c r="ML453" i="121"/>
  <c r="MK453" i="121"/>
  <c r="MI453" i="121"/>
  <c r="MH453" i="121"/>
  <c r="MC453" i="121"/>
  <c r="LY453" i="121"/>
  <c r="LU453" i="121"/>
  <c r="LQ453" i="121"/>
  <c r="LM453" i="121"/>
  <c r="LI453" i="121"/>
  <c r="LD453" i="121"/>
  <c r="LC453" i="121"/>
  <c r="KZ453" i="121"/>
  <c r="KY453" i="121"/>
  <c r="KV453" i="121"/>
  <c r="KU453" i="121"/>
  <c r="KR453" i="121"/>
  <c r="KQ453" i="121"/>
  <c r="KN453" i="121"/>
  <c r="KM453" i="121"/>
  <c r="KJ453" i="121"/>
  <c r="KI453" i="121"/>
  <c r="KF453" i="121"/>
  <c r="KE453" i="121"/>
  <c r="KB453" i="121"/>
  <c r="KA453" i="121"/>
  <c r="JX453" i="121"/>
  <c r="JW453" i="121"/>
  <c r="JT453" i="121"/>
  <c r="JS453" i="121"/>
  <c r="JP453" i="121"/>
  <c r="JO453" i="121"/>
  <c r="JL453" i="121"/>
  <c r="JK453" i="121"/>
  <c r="JH453" i="121"/>
  <c r="JG453" i="121"/>
  <c r="JD453" i="121"/>
  <c r="JC453" i="121"/>
  <c r="IZ453" i="121"/>
  <c r="IY453" i="121"/>
  <c r="IV453" i="121"/>
  <c r="IU453" i="121"/>
  <c r="IR453" i="121"/>
  <c r="IQ453" i="121"/>
  <c r="IN453" i="121"/>
  <c r="IM453" i="121"/>
  <c r="IJ453" i="121"/>
  <c r="II453" i="121"/>
  <c r="IF453" i="121"/>
  <c r="IE453" i="121"/>
  <c r="ID453" i="121"/>
  <c r="IC453" i="121"/>
  <c r="IB453" i="121"/>
  <c r="IA453" i="121"/>
  <c r="HZ453" i="121"/>
  <c r="HY453" i="121"/>
  <c r="HU453" i="121"/>
  <c r="HQ453" i="121"/>
  <c r="HM453" i="121"/>
  <c r="HI453" i="121"/>
  <c r="HE453" i="121"/>
  <c r="HA453" i="121"/>
  <c r="GW453" i="121"/>
  <c r="GS453" i="121"/>
  <c r="GO453" i="121"/>
  <c r="GK453" i="121"/>
  <c r="GG453" i="121"/>
  <c r="GF453" i="121"/>
  <c r="GE453" i="121"/>
  <c r="GD453" i="121"/>
  <c r="GC453" i="121"/>
  <c r="GB453" i="121"/>
  <c r="GA453" i="121"/>
  <c r="FZ453" i="121"/>
  <c r="FY453" i="121"/>
  <c r="FX453" i="121"/>
  <c r="FW453" i="121"/>
  <c r="FU453" i="121"/>
  <c r="FQ453" i="121"/>
  <c r="FM453" i="121"/>
  <c r="FI453" i="121"/>
  <c r="FE453" i="121"/>
  <c r="FA453" i="121"/>
  <c r="EW453" i="121"/>
  <c r="ES453" i="121"/>
  <c r="EO453" i="121"/>
  <c r="EK453" i="121"/>
  <c r="EH453" i="121"/>
  <c r="EG453" i="121"/>
  <c r="EF453" i="121"/>
  <c r="EE453" i="121"/>
  <c r="ED453" i="121"/>
  <c r="EC453" i="121"/>
  <c r="DY453" i="121"/>
  <c r="DU453" i="121"/>
  <c r="DQ453" i="121"/>
  <c r="DM453" i="121"/>
  <c r="DI453" i="121"/>
  <c r="DE453" i="121"/>
  <c r="DA453" i="121"/>
  <c r="CW453" i="121"/>
  <c r="CS453" i="121"/>
  <c r="CO453" i="121"/>
  <c r="CK453" i="121"/>
  <c r="CG453" i="121"/>
  <c r="CC453" i="121"/>
  <c r="BY453" i="121"/>
  <c r="BU453" i="121"/>
  <c r="BQ453" i="121"/>
  <c r="BM453" i="121"/>
  <c r="BI453" i="121"/>
  <c r="BE453" i="121"/>
  <c r="BA453" i="121"/>
  <c r="AW453" i="121"/>
  <c r="AS453" i="121"/>
  <c r="AO453" i="121"/>
  <c r="AK453" i="121"/>
  <c r="AG453" i="121"/>
  <c r="AC453" i="121"/>
  <c r="Y453" i="121"/>
  <c r="MT452" i="121"/>
  <c r="MS452" i="121"/>
  <c r="MP452" i="121"/>
  <c r="MO452" i="121"/>
  <c r="MN452" i="121"/>
  <c r="MM452" i="121"/>
  <c r="ML452" i="121"/>
  <c r="MK452" i="121"/>
  <c r="MH452" i="121"/>
  <c r="MG452" i="121"/>
  <c r="ME452" i="121"/>
  <c r="MD452" i="121"/>
  <c r="MC452" i="121"/>
  <c r="MB452" i="121"/>
  <c r="MA452" i="121"/>
  <c r="LZ452" i="121"/>
  <c r="LY452" i="121"/>
  <c r="LX452" i="121"/>
  <c r="LW452" i="121"/>
  <c r="LV452" i="121"/>
  <c r="LU452" i="121"/>
  <c r="LT452" i="121"/>
  <c r="LS452" i="121"/>
  <c r="LR452" i="121"/>
  <c r="LQ452" i="121"/>
  <c r="LP452" i="121"/>
  <c r="LO452" i="121"/>
  <c r="LN452" i="121"/>
  <c r="LM452" i="121"/>
  <c r="LL452" i="121"/>
  <c r="LK452" i="121"/>
  <c r="LJ452" i="121"/>
  <c r="LI452" i="121"/>
  <c r="LH452" i="121"/>
  <c r="LG452" i="121"/>
  <c r="LF452" i="121"/>
  <c r="LE452" i="121"/>
  <c r="LB452" i="121"/>
  <c r="LA452" i="121"/>
  <c r="KX452" i="121"/>
  <c r="KW452" i="121"/>
  <c r="KT452" i="121"/>
  <c r="KS452" i="121"/>
  <c r="KP452" i="121"/>
  <c r="KO452" i="121"/>
  <c r="KL452" i="121"/>
  <c r="KK452" i="121"/>
  <c r="KH452" i="121"/>
  <c r="KG452" i="121"/>
  <c r="KD452" i="121"/>
  <c r="KC452" i="121"/>
  <c r="JZ452" i="121"/>
  <c r="JY452" i="121"/>
  <c r="JV452" i="121"/>
  <c r="JU452" i="121"/>
  <c r="JR452" i="121"/>
  <c r="JQ452" i="121"/>
  <c r="JN452" i="121"/>
  <c r="JM452" i="121"/>
  <c r="JJ452" i="121"/>
  <c r="JI452" i="121"/>
  <c r="JF452" i="121"/>
  <c r="JE452" i="121"/>
  <c r="JB452" i="121"/>
  <c r="JA452" i="121"/>
  <c r="IX452" i="121"/>
  <c r="IW452" i="121"/>
  <c r="IT452" i="121"/>
  <c r="IS452" i="121"/>
  <c r="IP452" i="121"/>
  <c r="IO452" i="121"/>
  <c r="IL452" i="121"/>
  <c r="IK452" i="121"/>
  <c r="IH452" i="121"/>
  <c r="IG452" i="121"/>
  <c r="ID452" i="121"/>
  <c r="IC452" i="121"/>
  <c r="IB452" i="121"/>
  <c r="IA452" i="121"/>
  <c r="HZ452" i="121"/>
  <c r="HY452" i="121"/>
  <c r="HX452" i="121"/>
  <c r="HW452" i="121"/>
  <c r="HV452" i="121"/>
  <c r="HU452" i="121"/>
  <c r="HT452" i="121"/>
  <c r="HS452" i="121"/>
  <c r="HR452" i="121"/>
  <c r="HQ452" i="121"/>
  <c r="HP452" i="121"/>
  <c r="HO452" i="121"/>
  <c r="HN452" i="121"/>
  <c r="HM452" i="121"/>
  <c r="HL452" i="121"/>
  <c r="HK452" i="121"/>
  <c r="HJ452" i="121"/>
  <c r="HI452" i="121"/>
  <c r="HH452" i="121"/>
  <c r="HG452" i="121"/>
  <c r="HF452" i="121"/>
  <c r="HE452" i="121"/>
  <c r="HD452" i="121"/>
  <c r="HC452" i="121"/>
  <c r="HB452" i="121"/>
  <c r="HA452" i="121"/>
  <c r="GZ452" i="121"/>
  <c r="GY452" i="121"/>
  <c r="GX452" i="121"/>
  <c r="GW452" i="121"/>
  <c r="GV452" i="121"/>
  <c r="GU452" i="121"/>
  <c r="GT452" i="121"/>
  <c r="GS452" i="121"/>
  <c r="GR452" i="121"/>
  <c r="GQ452" i="121"/>
  <c r="GP452" i="121"/>
  <c r="GO452" i="121"/>
  <c r="GN452" i="121"/>
  <c r="GM452" i="121"/>
  <c r="GL452" i="121"/>
  <c r="GK452" i="121"/>
  <c r="GJ452" i="121"/>
  <c r="GI452" i="121"/>
  <c r="GH452" i="121"/>
  <c r="GG452" i="121"/>
  <c r="GF452" i="121"/>
  <c r="GE452" i="121"/>
  <c r="GD452" i="121"/>
  <c r="GC452" i="121"/>
  <c r="GB452" i="121"/>
  <c r="GA452" i="121"/>
  <c r="FZ452" i="121"/>
  <c r="FY452" i="121"/>
  <c r="FX452" i="121"/>
  <c r="FW452" i="121"/>
  <c r="FV452" i="121"/>
  <c r="FU452" i="121"/>
  <c r="FT452" i="121"/>
  <c r="FS452" i="121"/>
  <c r="FR452" i="121"/>
  <c r="FQ452" i="121"/>
  <c r="FP452" i="121"/>
  <c r="FO452" i="121"/>
  <c r="FN452" i="121"/>
  <c r="FM452" i="121"/>
  <c r="FL452" i="121"/>
  <c r="FK452" i="121"/>
  <c r="FJ452" i="121"/>
  <c r="FI452" i="121"/>
  <c r="FH452" i="121"/>
  <c r="FG452" i="121"/>
  <c r="FF452" i="121"/>
  <c r="FE452" i="121"/>
  <c r="FD452" i="121"/>
  <c r="FC452" i="121"/>
  <c r="FB452" i="121"/>
  <c r="FA452" i="121"/>
  <c r="EZ452" i="121"/>
  <c r="EY452" i="121"/>
  <c r="EX452" i="121"/>
  <c r="EW452" i="121"/>
  <c r="EV452" i="121"/>
  <c r="EU452" i="121"/>
  <c r="ET452" i="121"/>
  <c r="ES452" i="121"/>
  <c r="ER452" i="121"/>
  <c r="EQ452" i="121"/>
  <c r="EP452" i="121"/>
  <c r="EO452" i="121"/>
  <c r="EN452" i="121"/>
  <c r="EM452" i="121"/>
  <c r="EL452" i="121"/>
  <c r="EK452" i="121"/>
  <c r="EJ452" i="121"/>
  <c r="EI452" i="121"/>
  <c r="EH452" i="121"/>
  <c r="EG452" i="121"/>
  <c r="EF452" i="121"/>
  <c r="EE452" i="121"/>
  <c r="ED452" i="121"/>
  <c r="EC452" i="121"/>
  <c r="EB452" i="121"/>
  <c r="EA452" i="121"/>
  <c r="DZ452" i="121"/>
  <c r="DY452" i="121"/>
  <c r="DX452" i="121"/>
  <c r="DW452" i="121"/>
  <c r="DV452" i="121"/>
  <c r="DU452" i="121"/>
  <c r="DT452" i="121"/>
  <c r="DS452" i="121"/>
  <c r="DR452" i="121"/>
  <c r="DQ452" i="121"/>
  <c r="DP452" i="121"/>
  <c r="DO452" i="121"/>
  <c r="DN452" i="121"/>
  <c r="DM452" i="121"/>
  <c r="DL452" i="121"/>
  <c r="DK452" i="121"/>
  <c r="DJ452" i="121"/>
  <c r="DI452" i="121"/>
  <c r="DH452" i="121"/>
  <c r="DG452" i="121"/>
  <c r="DF452" i="121"/>
  <c r="DE452" i="121"/>
  <c r="DD452" i="121"/>
  <c r="DC452" i="121"/>
  <c r="DB452" i="121"/>
  <c r="DA452" i="121"/>
  <c r="CZ452" i="121"/>
  <c r="CY452" i="121"/>
  <c r="CX452" i="121"/>
  <c r="CW452" i="121"/>
  <c r="CV452" i="121"/>
  <c r="CU452" i="121"/>
  <c r="CT452" i="121"/>
  <c r="CS452" i="121"/>
  <c r="CR452" i="121"/>
  <c r="CQ452" i="121"/>
  <c r="CP452" i="121"/>
  <c r="CO452" i="121"/>
  <c r="CN452" i="121"/>
  <c r="CM452" i="121"/>
  <c r="CL452" i="121"/>
  <c r="CK452" i="121"/>
  <c r="CJ452" i="121"/>
  <c r="CI452" i="121"/>
  <c r="CH452" i="121"/>
  <c r="CG452" i="121"/>
  <c r="CF452" i="121"/>
  <c r="CE452" i="121"/>
  <c r="CD452" i="121"/>
  <c r="CC452" i="121"/>
  <c r="CB452" i="121"/>
  <c r="CA452" i="121"/>
  <c r="BZ452" i="121"/>
  <c r="BY452" i="121"/>
  <c r="BX452" i="121"/>
  <c r="BW452" i="121"/>
  <c r="BV452" i="121"/>
  <c r="BU452" i="121"/>
  <c r="BT452" i="121"/>
  <c r="BS452" i="121"/>
  <c r="BR452" i="121"/>
  <c r="BQ452" i="121"/>
  <c r="BP452" i="121"/>
  <c r="BO452" i="121"/>
  <c r="BN452" i="121"/>
  <c r="BM452" i="121"/>
  <c r="BL452" i="121"/>
  <c r="BK452" i="121"/>
  <c r="BJ452" i="121"/>
  <c r="BI452" i="121"/>
  <c r="BH452" i="121"/>
  <c r="BG452" i="121"/>
  <c r="BF452" i="121"/>
  <c r="BE452" i="121"/>
  <c r="BD452" i="121"/>
  <c r="BC452" i="121"/>
  <c r="BB452" i="121"/>
  <c r="BA452" i="121"/>
  <c r="AZ452" i="121"/>
  <c r="AY452" i="121"/>
  <c r="AX452" i="121"/>
  <c r="AW452" i="121"/>
  <c r="AV452" i="121"/>
  <c r="AU452" i="121"/>
  <c r="AT452" i="121"/>
  <c r="AS452" i="121"/>
  <c r="AR452" i="121"/>
  <c r="AQ452" i="121"/>
  <c r="AP452" i="121"/>
  <c r="AO452" i="121"/>
  <c r="AN452" i="121"/>
  <c r="AM452" i="121"/>
  <c r="AL452" i="121"/>
  <c r="AK452" i="121"/>
  <c r="AJ452" i="121"/>
  <c r="AI452" i="121"/>
  <c r="AH452" i="121"/>
  <c r="AG452" i="121"/>
  <c r="AF452" i="121"/>
  <c r="AE452" i="121"/>
  <c r="AD452" i="121"/>
  <c r="AC452" i="121"/>
  <c r="AB452" i="121"/>
  <c r="AA452" i="121"/>
  <c r="Z452" i="121"/>
  <c r="Y452" i="121"/>
  <c r="X452" i="121"/>
  <c r="L452" i="121"/>
  <c r="M452" i="121" s="1"/>
  <c r="A452" i="121"/>
  <c r="MT451" i="121"/>
  <c r="MQ451" i="121"/>
  <c r="MP451" i="121"/>
  <c r="MO451" i="121"/>
  <c r="MN451" i="121"/>
  <c r="MM451" i="121"/>
  <c r="ML451" i="121"/>
  <c r="MK451" i="121"/>
  <c r="MI451" i="121"/>
  <c r="MH451" i="121"/>
  <c r="ME451" i="121"/>
  <c r="MD451" i="121"/>
  <c r="MC451" i="121"/>
  <c r="MB451" i="121"/>
  <c r="MA451" i="121"/>
  <c r="LZ451" i="121"/>
  <c r="LY451" i="121"/>
  <c r="LX451" i="121"/>
  <c r="LW451" i="121"/>
  <c r="LV451" i="121"/>
  <c r="LU451" i="121"/>
  <c r="LT451" i="121"/>
  <c r="LS451" i="121"/>
  <c r="LR451" i="121"/>
  <c r="LQ451" i="121"/>
  <c r="LP451" i="121"/>
  <c r="LO451" i="121"/>
  <c r="LN451" i="121"/>
  <c r="LM451" i="121"/>
  <c r="LL451" i="121"/>
  <c r="LK451" i="121"/>
  <c r="LJ451" i="121"/>
  <c r="LI451" i="121"/>
  <c r="LH451" i="121"/>
  <c r="LG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HY451" i="121"/>
  <c r="HX451" i="121"/>
  <c r="HW451" i="121"/>
  <c r="HV451" i="121"/>
  <c r="HU451" i="121"/>
  <c r="HT451" i="121"/>
  <c r="HS451" i="121"/>
  <c r="HR451" i="121"/>
  <c r="HQ451" i="121"/>
  <c r="HP451" i="121"/>
  <c r="HO451" i="121"/>
  <c r="HN451" i="121"/>
  <c r="HM451" i="121"/>
  <c r="HL451" i="121"/>
  <c r="HK451" i="121"/>
  <c r="HJ451" i="121"/>
  <c r="HI451" i="121"/>
  <c r="HH451" i="121"/>
  <c r="HG451" i="121"/>
  <c r="HF451" i="121"/>
  <c r="HE451" i="121"/>
  <c r="HD451" i="121"/>
  <c r="HC451" i="121"/>
  <c r="HB451" i="121"/>
  <c r="HA451" i="121"/>
  <c r="GZ451" i="121"/>
  <c r="GY451" i="121"/>
  <c r="GX451" i="121"/>
  <c r="GW451" i="121"/>
  <c r="GV451" i="121"/>
  <c r="GU451" i="121"/>
  <c r="GT451" i="121"/>
  <c r="GS451" i="121"/>
  <c r="GR451" i="121"/>
  <c r="GQ451" i="121"/>
  <c r="GP451" i="121"/>
  <c r="GO451" i="121"/>
  <c r="GN451" i="121"/>
  <c r="GM451" i="121"/>
  <c r="GL451" i="121"/>
  <c r="GK451" i="121"/>
  <c r="GJ451" i="121"/>
  <c r="GI451" i="121"/>
  <c r="GH451" i="121"/>
  <c r="GG451" i="121"/>
  <c r="GF451" i="121"/>
  <c r="GE451" i="121"/>
  <c r="GD451" i="121"/>
  <c r="GC451" i="121"/>
  <c r="GB451" i="121"/>
  <c r="GA451" i="121"/>
  <c r="FZ451" i="121"/>
  <c r="FY451" i="121"/>
  <c r="FX451" i="121"/>
  <c r="FW451" i="121"/>
  <c r="FV451" i="121"/>
  <c r="FU451" i="121"/>
  <c r="FT451" i="121"/>
  <c r="FS451" i="121"/>
  <c r="FR451" i="121"/>
  <c r="FQ451" i="121"/>
  <c r="FP451" i="121"/>
  <c r="FO451" i="121"/>
  <c r="FN451" i="121"/>
  <c r="FM451" i="121"/>
  <c r="FL451" i="121"/>
  <c r="FK451" i="121"/>
  <c r="FJ451" i="121"/>
  <c r="FI451" i="121"/>
  <c r="FH451" i="121"/>
  <c r="FG451" i="121"/>
  <c r="FF451" i="121"/>
  <c r="FE451" i="121"/>
  <c r="FD451" i="121"/>
  <c r="FC451" i="121"/>
  <c r="FB451" i="121"/>
  <c r="FA451" i="121"/>
  <c r="EZ451" i="121"/>
  <c r="EY451" i="121"/>
  <c r="EX451" i="121"/>
  <c r="EW451" i="121"/>
  <c r="EV451" i="121"/>
  <c r="EU451" i="121"/>
  <c r="ET451" i="121"/>
  <c r="ES451" i="121"/>
  <c r="ER451" i="121"/>
  <c r="EQ451" i="121"/>
  <c r="EP451" i="121"/>
  <c r="EO451" i="121"/>
  <c r="EN451" i="121"/>
  <c r="EM451" i="121"/>
  <c r="EL451" i="121"/>
  <c r="EK451" i="121"/>
  <c r="EJ451" i="121"/>
  <c r="EI451" i="121"/>
  <c r="EH451" i="121"/>
  <c r="EG451" i="121"/>
  <c r="EF451" i="121"/>
  <c r="EE451" i="121"/>
  <c r="ED451" i="121"/>
  <c r="EC451" i="121"/>
  <c r="EB451" i="121"/>
  <c r="EA451" i="121"/>
  <c r="DZ451" i="121"/>
  <c r="DY451" i="121"/>
  <c r="DX451" i="121"/>
  <c r="DW451" i="121"/>
  <c r="DV451" i="121"/>
  <c r="DU451" i="121"/>
  <c r="DT451" i="121"/>
  <c r="DS451" i="121"/>
  <c r="DR451" i="121"/>
  <c r="DQ451" i="121"/>
  <c r="DP451" i="121"/>
  <c r="DO451" i="121"/>
  <c r="DN451" i="121"/>
  <c r="DM451" i="121"/>
  <c r="DL451" i="121"/>
  <c r="DK451" i="121"/>
  <c r="DJ451" i="121"/>
  <c r="DI451" i="121"/>
  <c r="DH451" i="121"/>
  <c r="DG451" i="121"/>
  <c r="DF451" i="121"/>
  <c r="DE451" i="121"/>
  <c r="DD451" i="121"/>
  <c r="DC451" i="121"/>
  <c r="DB451" i="121"/>
  <c r="DA451" i="121"/>
  <c r="CZ451" i="121"/>
  <c r="CY451" i="121"/>
  <c r="CX451" i="121"/>
  <c r="CW451" i="121"/>
  <c r="CV451" i="121"/>
  <c r="CU451" i="121"/>
  <c r="CT451" i="121"/>
  <c r="CS451" i="121"/>
  <c r="CR451" i="121"/>
  <c r="CQ451" i="121"/>
  <c r="CP451" i="121"/>
  <c r="CO451" i="121"/>
  <c r="CN451" i="121"/>
  <c r="CM451" i="121"/>
  <c r="CL451" i="121"/>
  <c r="CK451" i="121"/>
  <c r="CJ451" i="121"/>
  <c r="CI451" i="121"/>
  <c r="CH451" i="121"/>
  <c r="CG451" i="121"/>
  <c r="CF451" i="121"/>
  <c r="CE451" i="121"/>
  <c r="CD451" i="121"/>
  <c r="CC451" i="121"/>
  <c r="CB451" i="121"/>
  <c r="CA451" i="121"/>
  <c r="BZ451" i="121"/>
  <c r="BY451" i="121"/>
  <c r="BX451" i="121"/>
  <c r="BW451" i="121"/>
  <c r="BV451" i="121"/>
  <c r="BU451" i="121"/>
  <c r="BT451" i="121"/>
  <c r="BS451" i="121"/>
  <c r="BR451" i="121"/>
  <c r="BQ451" i="121"/>
  <c r="BP451" i="121"/>
  <c r="BO451" i="121"/>
  <c r="BN451" i="121"/>
  <c r="BM451" i="121"/>
  <c r="BL451" i="121"/>
  <c r="BK451" i="121"/>
  <c r="BJ451" i="121"/>
  <c r="BI451" i="121"/>
  <c r="BH451" i="121"/>
  <c r="BG451" i="121"/>
  <c r="BF451" i="121"/>
  <c r="BE451" i="121"/>
  <c r="BD451" i="121"/>
  <c r="BC451" i="121"/>
  <c r="BB451" i="121"/>
  <c r="BA451" i="121"/>
  <c r="AZ451" i="121"/>
  <c r="AY451" i="121"/>
  <c r="AX451" i="121"/>
  <c r="AW451" i="121"/>
  <c r="AV451" i="121"/>
  <c r="AU451" i="121"/>
  <c r="AT451" i="121"/>
  <c r="AS451" i="121"/>
  <c r="AR451" i="121"/>
  <c r="AQ451" i="121"/>
  <c r="AP451" i="121"/>
  <c r="AO451" i="121"/>
  <c r="AN451" i="121"/>
  <c r="AM451" i="121"/>
  <c r="AL451" i="121"/>
  <c r="AK451" i="121"/>
  <c r="AJ451" i="121"/>
  <c r="AI451" i="121"/>
  <c r="AH451" i="121"/>
  <c r="AG451" i="121"/>
  <c r="AF451" i="121"/>
  <c r="AE451" i="121"/>
  <c r="AD451" i="121"/>
  <c r="AC451" i="121"/>
  <c r="AB451" i="121"/>
  <c r="AA451" i="121"/>
  <c r="Z451" i="121"/>
  <c r="Y451" i="121"/>
  <c r="X451" i="121"/>
  <c r="L451" i="121"/>
  <c r="M451" i="121" s="1"/>
  <c r="A451" i="121"/>
  <c r="MR450" i="121"/>
  <c r="MQ450" i="121"/>
  <c r="MO450" i="121"/>
  <c r="MN450" i="121"/>
  <c r="MM450" i="121"/>
  <c r="ML450" i="121"/>
  <c r="MK450" i="121"/>
  <c r="MJ450" i="121"/>
  <c r="MI450" i="121"/>
  <c r="MF450" i="121"/>
  <c r="ME450" i="121"/>
  <c r="MD450" i="121"/>
  <c r="MC450" i="121"/>
  <c r="MB450" i="121"/>
  <c r="MA450" i="121"/>
  <c r="LZ450" i="121"/>
  <c r="LY450" i="121"/>
  <c r="LX450" i="121"/>
  <c r="LW450" i="121"/>
  <c r="LV450" i="121"/>
  <c r="LU450" i="121"/>
  <c r="LT450" i="121"/>
  <c r="LS450" i="121"/>
  <c r="LR450" i="121"/>
  <c r="LQ450" i="121"/>
  <c r="LP450" i="121"/>
  <c r="LO450" i="121"/>
  <c r="LN450" i="121"/>
  <c r="LM450" i="121"/>
  <c r="LL450" i="121"/>
  <c r="LK450" i="121"/>
  <c r="LJ450" i="121"/>
  <c r="LI450" i="121"/>
  <c r="LH450" i="121"/>
  <c r="LG450" i="121"/>
  <c r="LD450" i="121"/>
  <c r="LC450" i="121"/>
  <c r="KZ450" i="121"/>
  <c r="KY450" i="121"/>
  <c r="KV450" i="121"/>
  <c r="KU450" i="121"/>
  <c r="KR450" i="121"/>
  <c r="KQ450" i="121"/>
  <c r="KN450" i="121"/>
  <c r="KM450" i="121"/>
  <c r="KJ450" i="121"/>
  <c r="KI450" i="121"/>
  <c r="KF450" i="121"/>
  <c r="KE450" i="121"/>
  <c r="KB450" i="121"/>
  <c r="KA450" i="121"/>
  <c r="JX450" i="121"/>
  <c r="JW450" i="121"/>
  <c r="JT450" i="121"/>
  <c r="JS450" i="121"/>
  <c r="JP450" i="121"/>
  <c r="JO450" i="121"/>
  <c r="JL450" i="121"/>
  <c r="JK450" i="121"/>
  <c r="JH450" i="121"/>
  <c r="JG450" i="121"/>
  <c r="JD450" i="121"/>
  <c r="JC450" i="121"/>
  <c r="IZ450" i="121"/>
  <c r="IY450" i="121"/>
  <c r="IV450" i="121"/>
  <c r="IU450" i="121"/>
  <c r="IR450" i="121"/>
  <c r="IQ450" i="121"/>
  <c r="IN450" i="121"/>
  <c r="IM450" i="121"/>
  <c r="IJ450" i="121"/>
  <c r="II450" i="121"/>
  <c r="IF450" i="121"/>
  <c r="IE450" i="121"/>
  <c r="ID450" i="121"/>
  <c r="IC450" i="121"/>
  <c r="IB450" i="121"/>
  <c r="IA450" i="121"/>
  <c r="HZ450" i="121"/>
  <c r="HY450" i="121"/>
  <c r="HX450" i="121"/>
  <c r="HW450" i="121"/>
  <c r="HV450" i="121"/>
  <c r="HU450" i="121"/>
  <c r="HT450" i="121"/>
  <c r="HS450" i="121"/>
  <c r="HR450" i="121"/>
  <c r="HQ450" i="121"/>
  <c r="HP450" i="121"/>
  <c r="HO450" i="121"/>
  <c r="HN450" i="121"/>
  <c r="HM450" i="121"/>
  <c r="HL450" i="121"/>
  <c r="HK450" i="121"/>
  <c r="HJ450" i="121"/>
  <c r="HI450" i="121"/>
  <c r="HH450" i="121"/>
  <c r="HG450" i="121"/>
  <c r="HF450" i="121"/>
  <c r="HE450" i="121"/>
  <c r="HD450" i="121"/>
  <c r="HC450" i="121"/>
  <c r="HB450" i="121"/>
  <c r="HA450" i="121"/>
  <c r="GZ450" i="121"/>
  <c r="GY450" i="121"/>
  <c r="GX450" i="121"/>
  <c r="GW450" i="121"/>
  <c r="GV450" i="121"/>
  <c r="GU450" i="121"/>
  <c r="GT450" i="121"/>
  <c r="GS450" i="121"/>
  <c r="GR450" i="121"/>
  <c r="GQ450" i="121"/>
  <c r="GP450" i="121"/>
  <c r="GO450" i="121"/>
  <c r="GN450" i="121"/>
  <c r="GM450" i="121"/>
  <c r="GL450" i="121"/>
  <c r="GK450" i="121"/>
  <c r="GJ450" i="121"/>
  <c r="GI450" i="121"/>
  <c r="GH450" i="121"/>
  <c r="GG450" i="121"/>
  <c r="GF450" i="121"/>
  <c r="GE450" i="121"/>
  <c r="GD450" i="121"/>
  <c r="GC450" i="121"/>
  <c r="GB450" i="121"/>
  <c r="GA450" i="121"/>
  <c r="FZ450" i="121"/>
  <c r="FY450" i="121"/>
  <c r="FX450" i="121"/>
  <c r="FW450" i="121"/>
  <c r="FV450" i="121"/>
  <c r="FU450" i="121"/>
  <c r="FT450" i="121"/>
  <c r="FS450" i="121"/>
  <c r="FR450" i="121"/>
  <c r="FQ450" i="121"/>
  <c r="FP450" i="121"/>
  <c r="FO450" i="121"/>
  <c r="FN450" i="121"/>
  <c r="FM450" i="121"/>
  <c r="FL450" i="121"/>
  <c r="FK450" i="121"/>
  <c r="FJ450" i="121"/>
  <c r="FI450" i="121"/>
  <c r="FH450" i="121"/>
  <c r="FG450" i="121"/>
  <c r="FF450" i="121"/>
  <c r="FE450" i="121"/>
  <c r="FD450" i="121"/>
  <c r="FC450" i="121"/>
  <c r="FB450" i="121"/>
  <c r="FA450" i="121"/>
  <c r="EZ450" i="121"/>
  <c r="EY450" i="121"/>
  <c r="EX450" i="121"/>
  <c r="EW450" i="121"/>
  <c r="EV450" i="121"/>
  <c r="EU450" i="121"/>
  <c r="ET450" i="121"/>
  <c r="ES450" i="121"/>
  <c r="ER450" i="121"/>
  <c r="EQ450" i="121"/>
  <c r="EP450" i="121"/>
  <c r="EO450" i="121"/>
  <c r="EN450" i="121"/>
  <c r="EM450" i="121"/>
  <c r="EL450" i="121"/>
  <c r="EK450" i="121"/>
  <c r="EJ450" i="121"/>
  <c r="EI450" i="121"/>
  <c r="EH450" i="121"/>
  <c r="EG450" i="121"/>
  <c r="EF450" i="121"/>
  <c r="EE450" i="121"/>
  <c r="ED450" i="121"/>
  <c r="EC450" i="121"/>
  <c r="EB450" i="121"/>
  <c r="EA450" i="121"/>
  <c r="DZ450" i="121"/>
  <c r="DY450" i="121"/>
  <c r="DX450" i="121"/>
  <c r="DW450" i="121"/>
  <c r="DV450" i="121"/>
  <c r="DU450" i="121"/>
  <c r="DT450" i="121"/>
  <c r="DS450" i="121"/>
  <c r="DR450" i="121"/>
  <c r="DQ450" i="121"/>
  <c r="DP450" i="121"/>
  <c r="DO450" i="121"/>
  <c r="DN450" i="121"/>
  <c r="DM450" i="121"/>
  <c r="DL450" i="121"/>
  <c r="DK450" i="121"/>
  <c r="DJ450" i="121"/>
  <c r="DI450" i="121"/>
  <c r="DH450" i="121"/>
  <c r="DG450" i="121"/>
  <c r="DF450" i="121"/>
  <c r="DE450" i="121"/>
  <c r="DD450" i="121"/>
  <c r="DC450" i="121"/>
  <c r="DB450" i="121"/>
  <c r="DA450" i="121"/>
  <c r="CZ450" i="121"/>
  <c r="CY450" i="121"/>
  <c r="CX450" i="121"/>
  <c r="CW450" i="121"/>
  <c r="CV450" i="121"/>
  <c r="CU450" i="121"/>
  <c r="CT450" i="121"/>
  <c r="CS450" i="121"/>
  <c r="CR450" i="121"/>
  <c r="CQ450" i="121"/>
  <c r="CP450" i="121"/>
  <c r="CO450" i="121"/>
  <c r="CN450" i="121"/>
  <c r="CM450" i="121"/>
  <c r="CL450" i="121"/>
  <c r="CK450" i="121"/>
  <c r="CJ450" i="121"/>
  <c r="CI450" i="121"/>
  <c r="CH450" i="121"/>
  <c r="CG450" i="121"/>
  <c r="CF450" i="121"/>
  <c r="CE450" i="121"/>
  <c r="CD450" i="121"/>
  <c r="CC450" i="121"/>
  <c r="CB450" i="121"/>
  <c r="CA450" i="121"/>
  <c r="BZ450" i="121"/>
  <c r="BY450" i="121"/>
  <c r="BX450" i="121"/>
  <c r="BW450" i="121"/>
  <c r="BV450" i="121"/>
  <c r="BU450" i="121"/>
  <c r="BT450" i="121"/>
  <c r="BS450" i="121"/>
  <c r="BR450" i="121"/>
  <c r="BQ450" i="121"/>
  <c r="BP450" i="121"/>
  <c r="BO450" i="121"/>
  <c r="BN450" i="121"/>
  <c r="BM450" i="121"/>
  <c r="BL450" i="121"/>
  <c r="BK450" i="121"/>
  <c r="BJ450" i="121"/>
  <c r="BI450" i="121"/>
  <c r="BH450" i="121"/>
  <c r="BG450" i="121"/>
  <c r="BF450" i="121"/>
  <c r="BE450" i="121"/>
  <c r="BD450" i="121"/>
  <c r="BC450" i="121"/>
  <c r="BB450" i="121"/>
  <c r="BA450" i="121"/>
  <c r="AZ450" i="121"/>
  <c r="AY450" i="121"/>
  <c r="AX450" i="121"/>
  <c r="AW450" i="121"/>
  <c r="AV450" i="121"/>
  <c r="AU450" i="121"/>
  <c r="AT450" i="121"/>
  <c r="AS450" i="121"/>
  <c r="AR450" i="121"/>
  <c r="AQ450" i="121"/>
  <c r="AP450" i="121"/>
  <c r="AO450" i="121"/>
  <c r="AN450" i="121"/>
  <c r="AM450" i="121"/>
  <c r="AL450" i="121"/>
  <c r="AK450" i="121"/>
  <c r="AJ450" i="121"/>
  <c r="AI450" i="121"/>
  <c r="AH450" i="121"/>
  <c r="AG450" i="121"/>
  <c r="AF450" i="121"/>
  <c r="AE450" i="121"/>
  <c r="AD450" i="121"/>
  <c r="AC450" i="121"/>
  <c r="AB450" i="121"/>
  <c r="AA450" i="121"/>
  <c r="Z450" i="121"/>
  <c r="Y450" i="121"/>
  <c r="X450" i="121"/>
  <c r="L450" i="121"/>
  <c r="M450" i="121" s="1"/>
  <c r="MT449" i="121"/>
  <c r="MS449" i="121"/>
  <c r="MR449" i="121"/>
  <c r="MQ449" i="121"/>
  <c r="MP449" i="121"/>
  <c r="MO449" i="121"/>
  <c r="MN449" i="121"/>
  <c r="MM449" i="121"/>
  <c r="ML449" i="121"/>
  <c r="MK449" i="121"/>
  <c r="MJ449" i="121"/>
  <c r="MI449" i="121"/>
  <c r="MH449" i="121"/>
  <c r="MG449" i="121"/>
  <c r="MF449" i="121"/>
  <c r="ME449" i="121"/>
  <c r="MD449" i="121"/>
  <c r="MC449" i="121"/>
  <c r="MB449" i="121"/>
  <c r="MA449" i="121"/>
  <c r="LZ449" i="121"/>
  <c r="LY449" i="121"/>
  <c r="LX449" i="121"/>
  <c r="LW449" i="121"/>
  <c r="LV449" i="121"/>
  <c r="LU449" i="121"/>
  <c r="LT449" i="121"/>
  <c r="LS449" i="121"/>
  <c r="LR449" i="121"/>
  <c r="LQ449" i="121"/>
  <c r="LP449" i="121"/>
  <c r="LO449" i="121"/>
  <c r="LN449" i="121"/>
  <c r="LM449" i="121"/>
  <c r="LL449" i="121"/>
  <c r="LK449" i="121"/>
  <c r="LJ449" i="121"/>
  <c r="LI449" i="121"/>
  <c r="LH449" i="121"/>
  <c r="LG449" i="121"/>
  <c r="LF449" i="121"/>
  <c r="LE449" i="121"/>
  <c r="LD449" i="121"/>
  <c r="LC449" i="121"/>
  <c r="LB449" i="121"/>
  <c r="LA449" i="121"/>
  <c r="KZ449" i="121"/>
  <c r="KY449" i="121"/>
  <c r="KX449" i="121"/>
  <c r="KW449" i="121"/>
  <c r="KV449" i="121"/>
  <c r="KU449" i="121"/>
  <c r="KT449" i="121"/>
  <c r="KS449" i="121"/>
  <c r="KR449" i="121"/>
  <c r="KQ449" i="121"/>
  <c r="KP449" i="121"/>
  <c r="KO449" i="121"/>
  <c r="KN449" i="121"/>
  <c r="KM449" i="121"/>
  <c r="KL449" i="121"/>
  <c r="KK449" i="121"/>
  <c r="KJ449" i="121"/>
  <c r="KI449" i="121"/>
  <c r="KH449" i="121"/>
  <c r="KG449" i="121"/>
  <c r="KF449" i="121"/>
  <c r="KE449" i="121"/>
  <c r="KD449" i="121"/>
  <c r="KC449" i="121"/>
  <c r="KB449" i="121"/>
  <c r="KA449" i="121"/>
  <c r="JZ449" i="121"/>
  <c r="JY449" i="121"/>
  <c r="JX449" i="121"/>
  <c r="JW449" i="121"/>
  <c r="JV449" i="121"/>
  <c r="JU449" i="121"/>
  <c r="JT449" i="121"/>
  <c r="JS449" i="121"/>
  <c r="JR449" i="121"/>
  <c r="JQ449" i="121"/>
  <c r="JP449" i="121"/>
  <c r="JO449" i="121"/>
  <c r="JN449" i="121"/>
  <c r="JM449" i="121"/>
  <c r="JL449" i="121"/>
  <c r="JK449" i="121"/>
  <c r="JJ449" i="121"/>
  <c r="JI449" i="121"/>
  <c r="JH449" i="121"/>
  <c r="JG449" i="121"/>
  <c r="JF449" i="121"/>
  <c r="JE449" i="121"/>
  <c r="JD449" i="121"/>
  <c r="JC449" i="121"/>
  <c r="JB449" i="121"/>
  <c r="JA449" i="121"/>
  <c r="IZ449" i="121"/>
  <c r="IY449" i="121"/>
  <c r="IX449" i="121"/>
  <c r="IW449" i="121"/>
  <c r="IV449" i="121"/>
  <c r="IU449" i="121"/>
  <c r="IT449" i="121"/>
  <c r="IS449" i="121"/>
  <c r="IR449" i="121"/>
  <c r="IQ449" i="121"/>
  <c r="IP449" i="121"/>
  <c r="IO449" i="121"/>
  <c r="IN449" i="121"/>
  <c r="IM449" i="121"/>
  <c r="IL449" i="121"/>
  <c r="IK449" i="121"/>
  <c r="IJ449" i="121"/>
  <c r="II449" i="121"/>
  <c r="IH449" i="121"/>
  <c r="IG449" i="121"/>
  <c r="IF449" i="121"/>
  <c r="IE449" i="121"/>
  <c r="ID449" i="121"/>
  <c r="IC449" i="121"/>
  <c r="IB449" i="121"/>
  <c r="IA449" i="121"/>
  <c r="HZ449" i="121"/>
  <c r="HY449" i="121"/>
  <c r="HX449" i="121"/>
  <c r="HW449" i="121"/>
  <c r="HV449" i="121"/>
  <c r="HU449" i="121"/>
  <c r="HT449" i="121"/>
  <c r="HS449" i="121"/>
  <c r="HR449" i="121"/>
  <c r="HQ449" i="121"/>
  <c r="HP449" i="121"/>
  <c r="HO449" i="121"/>
  <c r="HN449" i="121"/>
  <c r="HM449" i="121"/>
  <c r="HL449" i="121"/>
  <c r="HK449" i="121"/>
  <c r="HJ449" i="121"/>
  <c r="HI449" i="121"/>
  <c r="HH449" i="121"/>
  <c r="HG449" i="121"/>
  <c r="HF449" i="121"/>
  <c r="HE449" i="121"/>
  <c r="HD449" i="121"/>
  <c r="HC449" i="121"/>
  <c r="HB449" i="121"/>
  <c r="HA449" i="121"/>
  <c r="GZ449" i="121"/>
  <c r="GY449" i="121"/>
  <c r="GX449" i="121"/>
  <c r="GW449" i="121"/>
  <c r="GV449" i="121"/>
  <c r="GU449" i="121"/>
  <c r="GT449" i="121"/>
  <c r="GS449" i="121"/>
  <c r="GR449" i="121"/>
  <c r="GQ449" i="121"/>
  <c r="GP449" i="121"/>
  <c r="GO449" i="121"/>
  <c r="GN449" i="121"/>
  <c r="GM449" i="121"/>
  <c r="GL449" i="121"/>
  <c r="GK449" i="121"/>
  <c r="GJ449" i="121"/>
  <c r="GI449" i="121"/>
  <c r="GH449" i="121"/>
  <c r="GG449" i="121"/>
  <c r="GF449" i="121"/>
  <c r="GE449" i="121"/>
  <c r="GD449" i="121"/>
  <c r="GC449" i="121"/>
  <c r="GB449" i="121"/>
  <c r="GA449" i="121"/>
  <c r="FZ449" i="121"/>
  <c r="FY449" i="121"/>
  <c r="FX449" i="121"/>
  <c r="FW449" i="121"/>
  <c r="FV449" i="121"/>
  <c r="FU449" i="121"/>
  <c r="FT449" i="121"/>
  <c r="FS449" i="121"/>
  <c r="FR449" i="121"/>
  <c r="FQ449" i="121"/>
  <c r="FP449" i="121"/>
  <c r="FO449" i="121"/>
  <c r="FN449" i="121"/>
  <c r="FM449" i="121"/>
  <c r="FL449" i="121"/>
  <c r="FK449" i="121"/>
  <c r="FJ449" i="121"/>
  <c r="FI449" i="121"/>
  <c r="FH449" i="121"/>
  <c r="FG449" i="121"/>
  <c r="FF449" i="121"/>
  <c r="FE449" i="121"/>
  <c r="FD449" i="121"/>
  <c r="FC449" i="121"/>
  <c r="FB449" i="121"/>
  <c r="FA449" i="121"/>
  <c r="EZ449" i="121"/>
  <c r="EY449" i="121"/>
  <c r="EX449" i="121"/>
  <c r="EW449" i="121"/>
  <c r="EV449" i="121"/>
  <c r="EU449" i="121"/>
  <c r="ET449" i="121"/>
  <c r="ES449" i="121"/>
  <c r="ER449" i="121"/>
  <c r="EQ449" i="121"/>
  <c r="EP449" i="121"/>
  <c r="EO449" i="121"/>
  <c r="EN449" i="121"/>
  <c r="EM449" i="121"/>
  <c r="EL449" i="121"/>
  <c r="EK449" i="121"/>
  <c r="EJ449" i="121"/>
  <c r="EI449" i="121"/>
  <c r="EH449" i="121"/>
  <c r="EG449" i="121"/>
  <c r="EF449" i="121"/>
  <c r="EE449" i="121"/>
  <c r="ED449" i="121"/>
  <c r="EC449" i="121"/>
  <c r="EB449" i="121"/>
  <c r="EA449" i="121"/>
  <c r="DZ449" i="121"/>
  <c r="DY449" i="121"/>
  <c r="DX449" i="121"/>
  <c r="DW449" i="121"/>
  <c r="DV449" i="121"/>
  <c r="DU449" i="121"/>
  <c r="DT449" i="121"/>
  <c r="DS449" i="121"/>
  <c r="DR449" i="121"/>
  <c r="DQ449" i="121"/>
  <c r="DP449" i="121"/>
  <c r="DO449" i="121"/>
  <c r="DN449" i="121"/>
  <c r="DM449" i="121"/>
  <c r="DL449" i="121"/>
  <c r="DK449" i="121"/>
  <c r="DJ449" i="121"/>
  <c r="DI449" i="121"/>
  <c r="DH449" i="121"/>
  <c r="DG449" i="121"/>
  <c r="DF449" i="121"/>
  <c r="DE449" i="121"/>
  <c r="DD449" i="121"/>
  <c r="DC449" i="121"/>
  <c r="DB449" i="121"/>
  <c r="DA449" i="121"/>
  <c r="CZ449" i="121"/>
  <c r="CY449" i="121"/>
  <c r="CX449" i="121"/>
  <c r="CW449" i="121"/>
  <c r="CV449" i="121"/>
  <c r="CU449" i="121"/>
  <c r="CT449" i="121"/>
  <c r="CS449" i="121"/>
  <c r="CR449" i="121"/>
  <c r="CQ449" i="121"/>
  <c r="CP449" i="121"/>
  <c r="CO449" i="121"/>
  <c r="CN449" i="121"/>
  <c r="CM449" i="121"/>
  <c r="CL449" i="121"/>
  <c r="CK449" i="121"/>
  <c r="CJ449" i="121"/>
  <c r="CI449" i="121"/>
  <c r="CH449" i="121"/>
  <c r="CG449" i="121"/>
  <c r="CF449" i="121"/>
  <c r="CE449" i="121"/>
  <c r="CD449" i="121"/>
  <c r="CC449" i="121"/>
  <c r="CB449" i="121"/>
  <c r="CA449" i="121"/>
  <c r="BZ449" i="121"/>
  <c r="BY449" i="121"/>
  <c r="BX449" i="121"/>
  <c r="BW449" i="121"/>
  <c r="BV449" i="121"/>
  <c r="BU449" i="121"/>
  <c r="BT449" i="121"/>
  <c r="BS449" i="121"/>
  <c r="BR449" i="121"/>
  <c r="BQ449" i="121"/>
  <c r="BP449" i="121"/>
  <c r="BO449" i="121"/>
  <c r="BN449" i="121"/>
  <c r="BM449" i="121"/>
  <c r="BL449" i="121"/>
  <c r="BK449" i="121"/>
  <c r="BJ449" i="121"/>
  <c r="BI449" i="121"/>
  <c r="BH449" i="121"/>
  <c r="BG449" i="121"/>
  <c r="BF449" i="121"/>
  <c r="BE449" i="121"/>
  <c r="BD449" i="121"/>
  <c r="BC449" i="121"/>
  <c r="BB449" i="121"/>
  <c r="BA449" i="121"/>
  <c r="AZ449" i="121"/>
  <c r="AY449" i="121"/>
  <c r="AX449" i="121"/>
  <c r="AW449" i="121"/>
  <c r="AV449" i="121"/>
  <c r="AU449" i="121"/>
  <c r="AT449" i="121"/>
  <c r="AS449" i="121"/>
  <c r="AR449" i="121"/>
  <c r="AQ449" i="121"/>
  <c r="AP449" i="121"/>
  <c r="AO449" i="121"/>
  <c r="AN449" i="121"/>
  <c r="AM449" i="121"/>
  <c r="AL449" i="121"/>
  <c r="AK449" i="121"/>
  <c r="AJ449" i="121"/>
  <c r="AI449" i="121"/>
  <c r="AH449" i="121"/>
  <c r="AG449" i="121"/>
  <c r="AF449" i="121"/>
  <c r="AE449" i="121"/>
  <c r="AD449" i="121"/>
  <c r="AC449" i="121"/>
  <c r="AB449" i="121"/>
  <c r="AA449" i="121"/>
  <c r="Z449" i="121"/>
  <c r="Y449" i="121"/>
  <c r="X449" i="121"/>
  <c r="L449" i="121"/>
  <c r="M449" i="121" s="1"/>
  <c r="A449" i="121"/>
  <c r="L444" i="121"/>
  <c r="T442" i="121"/>
  <c r="A440" i="121"/>
  <c r="T440" i="121" s="1"/>
  <c r="L429" i="121"/>
  <c r="L412" i="121"/>
  <c r="K412" i="121"/>
  <c r="J412" i="121"/>
  <c r="B393" i="121"/>
  <c r="A391" i="121"/>
  <c r="S301" i="121"/>
  <c r="S299" i="121"/>
  <c r="S297" i="121"/>
  <c r="N289" i="121"/>
  <c r="J289" i="121"/>
  <c r="S254" i="121"/>
  <c r="P254" i="121"/>
  <c r="M254" i="121"/>
  <c r="J254" i="121"/>
  <c r="G254" i="121"/>
  <c r="O251" i="121"/>
  <c r="P245" i="121"/>
  <c r="J245" i="121"/>
  <c r="O238" i="121"/>
  <c r="S237" i="121"/>
  <c r="M237" i="121"/>
  <c r="J237" i="121"/>
  <c r="E237" i="121"/>
  <c r="F235" i="121"/>
  <c r="O231" i="121"/>
  <c r="F231" i="121"/>
  <c r="A229" i="121"/>
  <c r="O225" i="121"/>
  <c r="A222" i="121"/>
  <c r="F221" i="121"/>
  <c r="E219" i="121"/>
  <c r="I219" i="121" s="1"/>
  <c r="B216" i="121"/>
  <c r="O214" i="121"/>
  <c r="O206" i="121"/>
  <c r="M202" i="121"/>
  <c r="O197" i="121"/>
  <c r="O184" i="121"/>
  <c r="M183" i="121"/>
  <c r="A181" i="121"/>
  <c r="O170" i="121"/>
  <c r="O164" i="121"/>
  <c r="O155" i="121"/>
  <c r="S151" i="121"/>
  <c r="P151" i="121"/>
  <c r="F150" i="121"/>
  <c r="D150" i="121"/>
  <c r="F149" i="121"/>
  <c r="D149" i="121"/>
  <c r="F148" i="121"/>
  <c r="D148" i="121"/>
  <c r="O147" i="121"/>
  <c r="O139" i="121"/>
  <c r="P138" i="121"/>
  <c r="M138" i="121"/>
  <c r="J138" i="121"/>
  <c r="F136" i="121"/>
  <c r="O135" i="121"/>
  <c r="S134" i="121"/>
  <c r="M134" i="121"/>
  <c r="F130" i="121"/>
  <c r="O129" i="121"/>
  <c r="M128" i="121"/>
  <c r="A125" i="121"/>
  <c r="O118" i="121"/>
  <c r="D116" i="121"/>
  <c r="A112" i="121"/>
  <c r="L47" i="121"/>
  <c r="O9" i="121"/>
  <c r="A212" i="121" l="1"/>
  <c r="FX456" i="121"/>
  <c r="GH456" i="121"/>
  <c r="IA456" i="121"/>
  <c r="FI456" i="121"/>
  <c r="AN458" i="121"/>
  <c r="BD458" i="121"/>
  <c r="BT458" i="121"/>
  <c r="CJ458" i="121"/>
  <c r="CZ458" i="121"/>
  <c r="DP458" i="121"/>
  <c r="EF458" i="121"/>
  <c r="EV458" i="121"/>
  <c r="FL458" i="121"/>
  <c r="GB458" i="121"/>
  <c r="HY458" i="121"/>
  <c r="KO458" i="121"/>
  <c r="MA458" i="121"/>
  <c r="AA458" i="121"/>
  <c r="AR458" i="121"/>
  <c r="BH458" i="121"/>
  <c r="BX458" i="121"/>
  <c r="CN458" i="121"/>
  <c r="DD458" i="121"/>
  <c r="DT458" i="121"/>
  <c r="EJ458" i="121"/>
  <c r="EZ458" i="121"/>
  <c r="FP458" i="121"/>
  <c r="GF458" i="121"/>
  <c r="GF487" i="121" s="1"/>
  <c r="O609" i="121" s="1"/>
  <c r="ID458" i="121"/>
  <c r="LG458" i="121"/>
  <c r="AE458" i="121"/>
  <c r="AV458" i="121"/>
  <c r="BL458" i="121"/>
  <c r="CB458" i="121"/>
  <c r="CR458" i="121"/>
  <c r="DH458" i="121"/>
  <c r="DX458" i="121"/>
  <c r="EN458" i="121"/>
  <c r="FD458" i="121"/>
  <c r="FT458" i="121"/>
  <c r="GS458" i="121"/>
  <c r="IY458" i="121"/>
  <c r="LK458" i="121"/>
  <c r="X458" i="121"/>
  <c r="AB458" i="121"/>
  <c r="AF458" i="121"/>
  <c r="AK458" i="121"/>
  <c r="AO458" i="121"/>
  <c r="AS458" i="121"/>
  <c r="AW458" i="121"/>
  <c r="BA458" i="121"/>
  <c r="BE458" i="121"/>
  <c r="BI458" i="121"/>
  <c r="BM458" i="121"/>
  <c r="BQ458" i="121"/>
  <c r="BU458" i="121"/>
  <c r="BY458" i="121"/>
  <c r="CC458" i="121"/>
  <c r="CG458" i="121"/>
  <c r="CK458" i="121"/>
  <c r="CO458" i="121"/>
  <c r="CS458" i="121"/>
  <c r="CW458" i="121"/>
  <c r="DA458" i="121"/>
  <c r="DE458" i="121"/>
  <c r="DI458" i="121"/>
  <c r="DM458" i="121"/>
  <c r="DQ458" i="121"/>
  <c r="DU458" i="121"/>
  <c r="DY458" i="121"/>
  <c r="EC458" i="121"/>
  <c r="EG458" i="121"/>
  <c r="EG487" i="121" s="1"/>
  <c r="N504" i="121" s="1"/>
  <c r="EK458" i="121"/>
  <c r="EO458" i="121"/>
  <c r="ES458" i="121"/>
  <c r="EW458" i="121"/>
  <c r="FA458" i="121"/>
  <c r="FE458" i="121"/>
  <c r="FI458" i="121"/>
  <c r="FM458" i="121"/>
  <c r="FQ458" i="121"/>
  <c r="FU458" i="121"/>
  <c r="FY458" i="121"/>
  <c r="GC458" i="121"/>
  <c r="GC487" i="121" s="1"/>
  <c r="L609" i="121" s="1"/>
  <c r="GG458" i="121"/>
  <c r="GW458" i="121"/>
  <c r="HM458" i="121"/>
  <c r="HZ458" i="121"/>
  <c r="HZ487" i="121" s="1"/>
  <c r="II458" i="121"/>
  <c r="JD458" i="121"/>
  <c r="JY458" i="121"/>
  <c r="KU458" i="121"/>
  <c r="LH458" i="121"/>
  <c r="LL458" i="121"/>
  <c r="LP458" i="121"/>
  <c r="ME458" i="121"/>
  <c r="Y458" i="121"/>
  <c r="AC458" i="121"/>
  <c r="AG458" i="121"/>
  <c r="AL458" i="121"/>
  <c r="AP458" i="121"/>
  <c r="AT458" i="121"/>
  <c r="AX458" i="121"/>
  <c r="BB458" i="121"/>
  <c r="BF458" i="121"/>
  <c r="BJ458" i="121"/>
  <c r="BN458" i="121"/>
  <c r="BR458" i="121"/>
  <c r="BV458" i="121"/>
  <c r="BZ458" i="121"/>
  <c r="CD458" i="121"/>
  <c r="CH458" i="121"/>
  <c r="CL458" i="121"/>
  <c r="CP458" i="121"/>
  <c r="CT458" i="121"/>
  <c r="CX458" i="121"/>
  <c r="DB458" i="121"/>
  <c r="DF458" i="121"/>
  <c r="DJ458" i="121"/>
  <c r="DN458" i="121"/>
  <c r="DR458" i="121"/>
  <c r="DV458" i="121"/>
  <c r="DZ458" i="121"/>
  <c r="ED458" i="121"/>
  <c r="EH458" i="121"/>
  <c r="EL458" i="121"/>
  <c r="EP458" i="121"/>
  <c r="ET458" i="121"/>
  <c r="EX458" i="121"/>
  <c r="FB458" i="121"/>
  <c r="FF458" i="121"/>
  <c r="FJ458" i="121"/>
  <c r="FN458" i="121"/>
  <c r="FR458" i="121"/>
  <c r="FV458" i="121"/>
  <c r="FZ458" i="121"/>
  <c r="GD458" i="121"/>
  <c r="GK458" i="121"/>
  <c r="HA458" i="121"/>
  <c r="HQ458" i="121"/>
  <c r="IA458" i="121"/>
  <c r="IN458" i="121"/>
  <c r="JI458" i="121"/>
  <c r="KE458" i="121"/>
  <c r="KZ458" i="121"/>
  <c r="LI458" i="121"/>
  <c r="LM458" i="121"/>
  <c r="LS458" i="121"/>
  <c r="MM458" i="121"/>
  <c r="Z458" i="121"/>
  <c r="AD458" i="121"/>
  <c r="AH458" i="121"/>
  <c r="AM458" i="121"/>
  <c r="AQ458" i="121"/>
  <c r="AU458" i="121"/>
  <c r="AY458" i="121"/>
  <c r="BC458" i="121"/>
  <c r="BG458" i="121"/>
  <c r="BK458" i="121"/>
  <c r="BO458" i="121"/>
  <c r="BS458" i="121"/>
  <c r="BW458" i="121"/>
  <c r="CA458" i="121"/>
  <c r="CE458" i="121"/>
  <c r="CI458" i="121"/>
  <c r="CM458" i="121"/>
  <c r="CQ458" i="121"/>
  <c r="CU458" i="121"/>
  <c r="CY458" i="121"/>
  <c r="DC458" i="121"/>
  <c r="DG458" i="121"/>
  <c r="DK458" i="121"/>
  <c r="DO458" i="121"/>
  <c r="DS458" i="121"/>
  <c r="DW458" i="121"/>
  <c r="EA458" i="121"/>
  <c r="EE458" i="121"/>
  <c r="EI458" i="121"/>
  <c r="EM458" i="121"/>
  <c r="EQ458" i="121"/>
  <c r="EU458" i="121"/>
  <c r="EY458" i="121"/>
  <c r="FC458" i="121"/>
  <c r="FG458" i="121"/>
  <c r="FK458" i="121"/>
  <c r="FO458" i="121"/>
  <c r="FS458" i="121"/>
  <c r="FW458" i="121"/>
  <c r="GA458" i="121"/>
  <c r="GE458" i="121"/>
  <c r="GO458" i="121"/>
  <c r="HE458" i="121"/>
  <c r="HU458" i="121"/>
  <c r="IC458" i="121"/>
  <c r="IS458" i="121"/>
  <c r="JO458" i="121"/>
  <c r="KJ458" i="121"/>
  <c r="LE458" i="121"/>
  <c r="LJ458" i="121"/>
  <c r="LN458" i="121"/>
  <c r="AN459" i="121"/>
  <c r="BJ459" i="121"/>
  <c r="CE459" i="121"/>
  <c r="CZ459" i="121"/>
  <c r="DV459" i="121"/>
  <c r="EF459" i="121"/>
  <c r="EP459" i="121"/>
  <c r="FK459" i="121"/>
  <c r="FX459" i="121"/>
  <c r="GB459" i="121"/>
  <c r="GF459" i="121"/>
  <c r="GY459" i="121"/>
  <c r="HT459" i="121"/>
  <c r="LW459" i="121"/>
  <c r="X459" i="121"/>
  <c r="AT459" i="121"/>
  <c r="BO459" i="121"/>
  <c r="CJ459" i="121"/>
  <c r="DF459" i="121"/>
  <c r="EA459" i="121"/>
  <c r="EG459" i="121"/>
  <c r="EU459" i="121"/>
  <c r="FP459" i="121"/>
  <c r="FY459" i="121"/>
  <c r="GC459" i="121"/>
  <c r="GI459" i="121"/>
  <c r="HD459" i="121"/>
  <c r="LG459" i="121"/>
  <c r="MB459" i="121"/>
  <c r="AD459" i="121"/>
  <c r="AY459" i="121"/>
  <c r="BT459" i="121"/>
  <c r="CP459" i="121"/>
  <c r="DK459" i="121"/>
  <c r="ED459" i="121"/>
  <c r="EH459" i="121"/>
  <c r="EH487" i="121" s="1"/>
  <c r="O504" i="121" s="1"/>
  <c r="EZ459" i="121"/>
  <c r="FV459" i="121"/>
  <c r="FZ459" i="121"/>
  <c r="GD459" i="121"/>
  <c r="GD487" i="121" s="1"/>
  <c r="M609" i="121" s="1"/>
  <c r="GN459" i="121"/>
  <c r="HJ459" i="121"/>
  <c r="Z459" i="121"/>
  <c r="AE459" i="121"/>
  <c r="AJ459" i="121"/>
  <c r="AP459" i="121"/>
  <c r="AU459" i="121"/>
  <c r="AZ459" i="121"/>
  <c r="BF459" i="121"/>
  <c r="BK459" i="121"/>
  <c r="BP459" i="121"/>
  <c r="BV459" i="121"/>
  <c r="CA459" i="121"/>
  <c r="CF459" i="121"/>
  <c r="CL459" i="121"/>
  <c r="CQ459" i="121"/>
  <c r="CV459" i="121"/>
  <c r="DB459" i="121"/>
  <c r="DG459" i="121"/>
  <c r="DL459" i="121"/>
  <c r="DR459" i="121"/>
  <c r="DW459" i="121"/>
  <c r="EB459" i="121"/>
  <c r="EL459" i="121"/>
  <c r="EQ459" i="121"/>
  <c r="EV459" i="121"/>
  <c r="FB459" i="121"/>
  <c r="FG459" i="121"/>
  <c r="FL459" i="121"/>
  <c r="FR459" i="121"/>
  <c r="GJ459" i="121"/>
  <c r="GP459" i="121"/>
  <c r="GU459" i="121"/>
  <c r="GZ459" i="121"/>
  <c r="HF459" i="121"/>
  <c r="HK459" i="121"/>
  <c r="HP459" i="121"/>
  <c r="HV459" i="121"/>
  <c r="LH459" i="121"/>
  <c r="LM459" i="121"/>
  <c r="LS459" i="121"/>
  <c r="LX459" i="121"/>
  <c r="MC459" i="121"/>
  <c r="AA459" i="121"/>
  <c r="AF459" i="121"/>
  <c r="AL459" i="121"/>
  <c r="AQ459" i="121"/>
  <c r="AV459" i="121"/>
  <c r="BB459" i="121"/>
  <c r="BG459" i="121"/>
  <c r="BL459" i="121"/>
  <c r="BR459" i="121"/>
  <c r="BW459" i="121"/>
  <c r="CB459" i="121"/>
  <c r="CH459" i="121"/>
  <c r="CM459" i="121"/>
  <c r="CR459" i="121"/>
  <c r="CX459" i="121"/>
  <c r="DC459" i="121"/>
  <c r="DH459" i="121"/>
  <c r="DN459" i="121"/>
  <c r="DS459" i="121"/>
  <c r="DX459" i="121"/>
  <c r="EM459" i="121"/>
  <c r="ER459" i="121"/>
  <c r="EX459" i="121"/>
  <c r="FC459" i="121"/>
  <c r="FH459" i="121"/>
  <c r="FN459" i="121"/>
  <c r="FS459" i="121"/>
  <c r="GL459" i="121"/>
  <c r="GQ459" i="121"/>
  <c r="GV459" i="121"/>
  <c r="HB459" i="121"/>
  <c r="HG459" i="121"/>
  <c r="HL459" i="121"/>
  <c r="HR459" i="121"/>
  <c r="HW459" i="121"/>
  <c r="LI459" i="121"/>
  <c r="LO459" i="121"/>
  <c r="LT459" i="121"/>
  <c r="LY459" i="121"/>
  <c r="ME459" i="121"/>
  <c r="AB459" i="121"/>
  <c r="AH459" i="121"/>
  <c r="AM459" i="121"/>
  <c r="AR459" i="121"/>
  <c r="AX459" i="121"/>
  <c r="BC459" i="121"/>
  <c r="BH459" i="121"/>
  <c r="BN459" i="121"/>
  <c r="BS459" i="121"/>
  <c r="BX459" i="121"/>
  <c r="CD459" i="121"/>
  <c r="CI459" i="121"/>
  <c r="CN459" i="121"/>
  <c r="CT459" i="121"/>
  <c r="CY459" i="121"/>
  <c r="DD459" i="121"/>
  <c r="DJ459" i="121"/>
  <c r="DO459" i="121"/>
  <c r="DT459" i="121"/>
  <c r="DZ459" i="121"/>
  <c r="EI459" i="121"/>
  <c r="EN459" i="121"/>
  <c r="ET459" i="121"/>
  <c r="EY459" i="121"/>
  <c r="FD459" i="121"/>
  <c r="FJ459" i="121"/>
  <c r="FO459" i="121"/>
  <c r="FT459" i="121"/>
  <c r="GH459" i="121"/>
  <c r="GM459" i="121"/>
  <c r="GR459" i="121"/>
  <c r="GX459" i="121"/>
  <c r="HC459" i="121"/>
  <c r="HH459" i="121"/>
  <c r="HN459" i="121"/>
  <c r="HS459" i="121"/>
  <c r="HX459" i="121"/>
  <c r="LK459" i="121"/>
  <c r="LP459" i="121"/>
  <c r="LU459" i="121"/>
  <c r="MA459" i="121"/>
  <c r="K429" i="121"/>
  <c r="J429" i="121"/>
  <c r="ML457" i="121"/>
  <c r="ML456" i="121"/>
  <c r="MN455" i="121"/>
  <c r="L454" i="121"/>
  <c r="K649" i="121"/>
  <c r="I658" i="121"/>
  <c r="O649" i="121"/>
  <c r="I631" i="121"/>
  <c r="J301" i="121"/>
  <c r="E218" i="121" s="1"/>
  <c r="Q693" i="121"/>
  <c r="L683" i="121"/>
  <c r="MD458" i="121"/>
  <c r="GH458" i="121"/>
  <c r="GL458" i="121"/>
  <c r="GP458" i="121"/>
  <c r="GT458" i="121"/>
  <c r="GX458" i="121"/>
  <c r="HB458" i="121"/>
  <c r="HF458" i="121"/>
  <c r="HJ458" i="121"/>
  <c r="HN458" i="121"/>
  <c r="HR458" i="121"/>
  <c r="HV458" i="121"/>
  <c r="LT458" i="121"/>
  <c r="LX458" i="121"/>
  <c r="MB458" i="121"/>
  <c r="MI458" i="121"/>
  <c r="GI458" i="121"/>
  <c r="GM458" i="121"/>
  <c r="GQ458" i="121"/>
  <c r="GU458" i="121"/>
  <c r="GY458" i="121"/>
  <c r="HC458" i="121"/>
  <c r="HG458" i="121"/>
  <c r="HK458" i="121"/>
  <c r="HO458" i="121"/>
  <c r="HS458" i="121"/>
  <c r="HW458" i="121"/>
  <c r="LQ458" i="121"/>
  <c r="LU458" i="121"/>
  <c r="LY458" i="121"/>
  <c r="MC458" i="121"/>
  <c r="MN458" i="121"/>
  <c r="GJ458" i="121"/>
  <c r="GN458" i="121"/>
  <c r="GR458" i="121"/>
  <c r="GV458" i="121"/>
  <c r="GZ458" i="121"/>
  <c r="HD458" i="121"/>
  <c r="HH458" i="121"/>
  <c r="HL458" i="121"/>
  <c r="HP458" i="121"/>
  <c r="HT458" i="121"/>
  <c r="HX458" i="121"/>
  <c r="LR458" i="121"/>
  <c r="LV458" i="121"/>
  <c r="LZ458" i="121"/>
  <c r="GO457" i="121"/>
  <c r="HE457" i="121"/>
  <c r="HU457" i="121"/>
  <c r="LQ457" i="121"/>
  <c r="MF457" i="121"/>
  <c r="MN457" i="121"/>
  <c r="GS457" i="121"/>
  <c r="HI457" i="121"/>
  <c r="HY457" i="121"/>
  <c r="LU457" i="121"/>
  <c r="MK457" i="121"/>
  <c r="MO457" i="121"/>
  <c r="MB457" i="121"/>
  <c r="GG457" i="121"/>
  <c r="GW457" i="121"/>
  <c r="HM457" i="121"/>
  <c r="LY457" i="121"/>
  <c r="AJ458" i="121"/>
  <c r="IB458" i="121"/>
  <c r="IB487" i="121" s="1"/>
  <c r="MK458" i="121"/>
  <c r="MO458" i="121"/>
  <c r="ML458" i="121"/>
  <c r="MR458" i="121"/>
  <c r="GI456" i="121"/>
  <c r="GM456" i="121"/>
  <c r="GQ456" i="121"/>
  <c r="GU456" i="121"/>
  <c r="GY456" i="121"/>
  <c r="HC456" i="121"/>
  <c r="HG456" i="121"/>
  <c r="HK456" i="121"/>
  <c r="HO456" i="121"/>
  <c r="HS456" i="121"/>
  <c r="HW456" i="121"/>
  <c r="LT456" i="121"/>
  <c r="LX456" i="121"/>
  <c r="MB456" i="121"/>
  <c r="MF456" i="121"/>
  <c r="MN456" i="121"/>
  <c r="GJ456" i="121"/>
  <c r="GN456" i="121"/>
  <c r="GR456" i="121"/>
  <c r="GV456" i="121"/>
  <c r="GZ456" i="121"/>
  <c r="HD456" i="121"/>
  <c r="HH456" i="121"/>
  <c r="HL456" i="121"/>
  <c r="HP456" i="121"/>
  <c r="HT456" i="121"/>
  <c r="HX456" i="121"/>
  <c r="LQ456" i="121"/>
  <c r="LU456" i="121"/>
  <c r="LY456" i="121"/>
  <c r="MC456" i="121"/>
  <c r="MK456" i="121"/>
  <c r="MO456" i="121"/>
  <c r="GG456" i="121"/>
  <c r="GK456" i="121"/>
  <c r="GO456" i="121"/>
  <c r="GS456" i="121"/>
  <c r="GW456" i="121"/>
  <c r="HA456" i="121"/>
  <c r="HE456" i="121"/>
  <c r="HI456" i="121"/>
  <c r="HM456" i="121"/>
  <c r="HQ456" i="121"/>
  <c r="HU456" i="121"/>
  <c r="HY456" i="121"/>
  <c r="LR456" i="121"/>
  <c r="LV456" i="121"/>
  <c r="LZ456" i="121"/>
  <c r="MD456" i="121"/>
  <c r="GK455" i="121"/>
  <c r="HA455" i="121"/>
  <c r="HQ455" i="121"/>
  <c r="LY455" i="121"/>
  <c r="GO455" i="121"/>
  <c r="HE455" i="121"/>
  <c r="HU455" i="121"/>
  <c r="MC455" i="121"/>
  <c r="GS455" i="121"/>
  <c r="HI455" i="121"/>
  <c r="HY455" i="121"/>
  <c r="LQ455" i="121"/>
  <c r="MK455" i="121"/>
  <c r="GH455" i="121"/>
  <c r="GP455" i="121"/>
  <c r="HB455" i="121"/>
  <c r="HF455" i="121"/>
  <c r="HN455" i="121"/>
  <c r="HV455" i="121"/>
  <c r="ML455" i="121"/>
  <c r="GI455" i="121"/>
  <c r="GM455" i="121"/>
  <c r="GQ455" i="121"/>
  <c r="GU455" i="121"/>
  <c r="GY455" i="121"/>
  <c r="HC455" i="121"/>
  <c r="HG455" i="121"/>
  <c r="HK455" i="121"/>
  <c r="HO455" i="121"/>
  <c r="HS455" i="121"/>
  <c r="HW455" i="121"/>
  <c r="LS455" i="121"/>
  <c r="LW455" i="121"/>
  <c r="MA455" i="121"/>
  <c r="ME455" i="121"/>
  <c r="MM455" i="121"/>
  <c r="GL455" i="121"/>
  <c r="GT455" i="121"/>
  <c r="GX455" i="121"/>
  <c r="HJ455" i="121"/>
  <c r="HR455" i="121"/>
  <c r="LR455" i="121"/>
  <c r="LV455" i="121"/>
  <c r="LZ455" i="121"/>
  <c r="MD455" i="121"/>
  <c r="GJ455" i="121"/>
  <c r="GN455" i="121"/>
  <c r="GR455" i="121"/>
  <c r="GV455" i="121"/>
  <c r="GZ455" i="121"/>
  <c r="HD455" i="121"/>
  <c r="HH455" i="121"/>
  <c r="HL455" i="121"/>
  <c r="HP455" i="121"/>
  <c r="HT455" i="121"/>
  <c r="HX455" i="121"/>
  <c r="LT455" i="121"/>
  <c r="LX455" i="121"/>
  <c r="MB455" i="121"/>
  <c r="MG455" i="121"/>
  <c r="A454" i="121"/>
  <c r="M454" i="121"/>
  <c r="FS454" i="121"/>
  <c r="IA454" i="121"/>
  <c r="MM454" i="121"/>
  <c r="MT454" i="121"/>
  <c r="BH454" i="121"/>
  <c r="MH454" i="121"/>
  <c r="MN454" i="121"/>
  <c r="MK454" i="121"/>
  <c r="M299" i="121"/>
  <c r="A244" i="121"/>
  <c r="Y459" i="121"/>
  <c r="AC459" i="121"/>
  <c r="AG459" i="121"/>
  <c r="AK459" i="121"/>
  <c r="AO459" i="121"/>
  <c r="AS459" i="121"/>
  <c r="AW459" i="121"/>
  <c r="BA459" i="121"/>
  <c r="BE459" i="121"/>
  <c r="BI459" i="121"/>
  <c r="BM459" i="121"/>
  <c r="BQ459" i="121"/>
  <c r="BU459" i="121"/>
  <c r="BY459" i="121"/>
  <c r="CC459" i="121"/>
  <c r="CG459" i="121"/>
  <c r="CK459" i="121"/>
  <c r="CO459" i="121"/>
  <c r="CS459" i="121"/>
  <c r="CW459" i="121"/>
  <c r="DA459" i="121"/>
  <c r="DE459" i="121"/>
  <c r="DI459" i="121"/>
  <c r="DM459" i="121"/>
  <c r="DQ459" i="121"/>
  <c r="DU459" i="121"/>
  <c r="DY459" i="121"/>
  <c r="EC459" i="121"/>
  <c r="EK459" i="121"/>
  <c r="EO459" i="121"/>
  <c r="ES459" i="121"/>
  <c r="EW459" i="121"/>
  <c r="FA459" i="121"/>
  <c r="FE459" i="121"/>
  <c r="FI459" i="121"/>
  <c r="FM459" i="121"/>
  <c r="FQ459" i="121"/>
  <c r="FU459" i="121"/>
  <c r="GG459" i="121"/>
  <c r="GK459" i="121"/>
  <c r="GO459" i="121"/>
  <c r="GS459" i="121"/>
  <c r="GW459" i="121"/>
  <c r="HA459" i="121"/>
  <c r="HE459" i="121"/>
  <c r="HI459" i="121"/>
  <c r="HM459" i="121"/>
  <c r="HQ459" i="121"/>
  <c r="HU459" i="121"/>
  <c r="HY459" i="121"/>
  <c r="LJ459" i="121"/>
  <c r="LN459" i="121"/>
  <c r="LR459" i="121"/>
  <c r="LV459" i="121"/>
  <c r="LZ459" i="12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E487" i="121" s="1"/>
  <c r="L504" i="121" s="1"/>
  <c r="EI483" i="121"/>
  <c r="EM483" i="121"/>
  <c r="EQ483" i="121"/>
  <c r="EU483" i="121"/>
  <c r="EY483" i="121"/>
  <c r="FC483" i="121"/>
  <c r="FG483" i="121"/>
  <c r="FK483" i="121"/>
  <c r="FO483" i="121"/>
  <c r="FS483" i="121"/>
  <c r="FW483" i="121"/>
  <c r="GA483" i="121"/>
  <c r="GE483" i="121"/>
  <c r="GE487" i="121" s="1"/>
  <c r="N609" i="121" s="1"/>
  <c r="GI483" i="121"/>
  <c r="GM483" i="121"/>
  <c r="GQ483" i="121"/>
  <c r="GU483" i="121"/>
  <c r="GY483" i="121"/>
  <c r="HC483" i="121"/>
  <c r="HG483" i="121"/>
  <c r="HK483" i="121"/>
  <c r="HO483" i="121"/>
  <c r="HS483" i="121"/>
  <c r="HW483" i="121"/>
  <c r="IA483" i="121"/>
  <c r="IA487" i="121" s="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I487" i="121" s="1"/>
  <c r="M502" i="121" s="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J487" i="121" s="1"/>
  <c r="N502" i="121" s="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BX487" i="121" s="1"/>
  <c r="M535" i="121" s="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C720" i="121" s="1"/>
  <c r="C725" i="121" s="1"/>
  <c r="C733" i="121" s="1"/>
  <c r="L76" i="121"/>
  <c r="A126" i="121"/>
  <c r="G138" i="121"/>
  <c r="S138" i="121"/>
  <c r="J146" i="121"/>
  <c r="A182" i="121"/>
  <c r="J553" i="121"/>
  <c r="P128" i="121"/>
  <c r="G134" i="121"/>
  <c r="G146" i="12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J556" i="121"/>
  <c r="A237" i="121"/>
  <c r="N1385" i="121"/>
  <c r="EO487" i="121"/>
  <c r="L600" i="121" s="1"/>
  <c r="J1414" i="121"/>
  <c r="K1395" i="121"/>
  <c r="J1452" i="121"/>
  <c r="F147" i="121"/>
  <c r="IC487" i="121"/>
  <c r="D151" i="121"/>
  <c r="ED487" i="121"/>
  <c r="K504" i="121" s="1"/>
  <c r="ID487" i="121"/>
  <c r="EF487" i="121"/>
  <c r="M504" i="121" s="1"/>
  <c r="FX487" i="121"/>
  <c r="GB487" i="121"/>
  <c r="K609" i="121" s="1"/>
  <c r="E1167" i="121"/>
  <c r="C721" i="121"/>
  <c r="C723" i="121"/>
  <c r="L1237" i="121"/>
  <c r="D716" i="121"/>
  <c r="D723" i="121"/>
  <c r="D721" i="121"/>
  <c r="D715" i="121"/>
  <c r="E714" i="121"/>
  <c r="C716" i="121"/>
  <c r="FT487" i="121" l="1"/>
  <c r="M607" i="121" s="1"/>
  <c r="JI487" i="121"/>
  <c r="K580" i="121" s="1"/>
  <c r="K591" i="121" s="1"/>
  <c r="FD487" i="121"/>
  <c r="L603" i="121" s="1"/>
  <c r="CN487" i="121"/>
  <c r="N532" i="121" s="1"/>
  <c r="AB487" i="121"/>
  <c r="O494" i="121" s="1"/>
  <c r="FY487" i="121"/>
  <c r="MH487" i="121"/>
  <c r="LY487" i="121"/>
  <c r="LX487" i="121"/>
  <c r="DT487" i="121"/>
  <c r="K543" i="121" s="1"/>
  <c r="BH487" i="121"/>
  <c r="L502" i="121" s="1"/>
  <c r="GX487" i="121"/>
  <c r="M554" i="121" s="1"/>
  <c r="ES487" i="121"/>
  <c r="K601" i="121" s="1"/>
  <c r="DI487" i="121"/>
  <c r="O546" i="121" s="1"/>
  <c r="CC487" i="121"/>
  <c r="M534" i="121" s="1"/>
  <c r="AW487" i="121"/>
  <c r="K499" i="121" s="1"/>
  <c r="HM487" i="121"/>
  <c r="M557" i="121" s="1"/>
  <c r="MK487" i="121"/>
  <c r="ML487" i="121"/>
  <c r="HI487" i="121"/>
  <c r="MO487" i="121"/>
  <c r="JM487" i="121"/>
  <c r="O580" i="121" s="1"/>
  <c r="O591" i="121" s="1"/>
  <c r="KO487" i="121"/>
  <c r="M574" i="121" s="1"/>
  <c r="MN487" i="121"/>
  <c r="LE487" i="121"/>
  <c r="N577" i="121" s="1"/>
  <c r="IS487" i="121"/>
  <c r="O584" i="121" s="1"/>
  <c r="MM487" i="121"/>
  <c r="IE487" i="121"/>
  <c r="K578" i="121" s="1"/>
  <c r="JR487" i="121"/>
  <c r="O581" i="121" s="1"/>
  <c r="O592" i="121" s="1"/>
  <c r="IX487" i="121"/>
  <c r="O585" i="121" s="1"/>
  <c r="ET487" i="121"/>
  <c r="L601" i="121" s="1"/>
  <c r="LP487" i="121"/>
  <c r="MF487" i="121"/>
  <c r="IV487" i="121"/>
  <c r="M585" i="121" s="1"/>
  <c r="G153" i="121"/>
  <c r="E148" i="121"/>
  <c r="E150"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M593" i="121" s="1"/>
  <c r="IO487" i="121"/>
  <c r="K584"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M556"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P609" i="121"/>
  <c r="M256" i="121"/>
  <c r="M272" i="121" s="1"/>
  <c r="M274" i="121" s="1"/>
  <c r="M276" i="121" s="1"/>
  <c r="P256" i="121"/>
  <c r="P272" i="121" s="1"/>
  <c r="P274" i="121" s="1"/>
  <c r="P276" i="121" s="1"/>
  <c r="P504" i="121"/>
  <c r="G256" i="121"/>
  <c r="J286" i="121" s="1"/>
  <c r="E723" i="121"/>
  <c r="E721" i="121"/>
  <c r="E715" i="121"/>
  <c r="F714" i="121"/>
  <c r="E716" i="121"/>
  <c r="D720" i="121"/>
  <c r="D725" i="121" s="1"/>
  <c r="D733" i="121" s="1"/>
  <c r="D717" i="121"/>
  <c r="E151" i="121"/>
  <c r="G147" i="121" s="1"/>
  <c r="K594" i="121" l="1"/>
  <c r="Q682" i="121"/>
  <c r="P585" i="121"/>
  <c r="K589" i="121"/>
  <c r="L590" i="121"/>
  <c r="P682" i="121"/>
  <c r="N596" i="121"/>
  <c r="P578" i="121"/>
  <c r="P579" i="121"/>
  <c r="M596" i="121"/>
  <c r="M594" i="121"/>
  <c r="O595" i="121"/>
  <c r="M563" i="121"/>
  <c r="O563" i="121"/>
  <c r="L563" i="121"/>
  <c r="N589" i="121"/>
  <c r="Q683" i="121"/>
  <c r="P592" i="121"/>
  <c r="L593" i="121"/>
  <c r="M590" i="121"/>
  <c r="Q681" i="121"/>
  <c r="O569" i="121"/>
  <c r="P576" i="121"/>
  <c r="P581" i="121"/>
  <c r="N590" i="121"/>
  <c r="L589" i="121"/>
  <c r="P574" i="121"/>
  <c r="L595" i="121"/>
  <c r="F165"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O523" i="121"/>
  <c r="P542" i="121"/>
  <c r="O606" i="121"/>
  <c r="O608" i="121" s="1"/>
  <c r="O610" i="121" s="1"/>
  <c r="N549" i="121"/>
  <c r="K606" i="121"/>
  <c r="K608" i="121" s="1"/>
  <c r="P557" i="121"/>
  <c r="K556" i="121"/>
  <c r="P494" i="121"/>
  <c r="O549" i="121"/>
  <c r="K549" i="121"/>
  <c r="P552" i="121"/>
  <c r="L559" i="121"/>
  <c r="O511" i="121"/>
  <c r="L517" i="121"/>
  <c r="F723" i="121"/>
  <c r="F721" i="121"/>
  <c r="F715" i="121"/>
  <c r="G714" i="121"/>
  <c r="F716" i="121"/>
  <c r="E717" i="121"/>
  <c r="E720" i="121"/>
  <c r="E725" i="121" s="1"/>
  <c r="E733" i="121" s="1"/>
  <c r="P563" i="121" l="1"/>
  <c r="P684" i="121" s="1"/>
  <c r="P595" i="121"/>
  <c r="P589" i="121"/>
  <c r="L511" i="121"/>
  <c r="P590" i="121"/>
  <c r="O514" i="121"/>
  <c r="P594" i="121"/>
  <c r="P593" i="121"/>
  <c r="P503" i="121"/>
  <c r="P569" i="121"/>
  <c r="K505" i="121"/>
  <c r="K508" i="121" s="1"/>
  <c r="M523" i="121"/>
  <c r="L526" i="121"/>
  <c r="O520" i="121"/>
  <c r="P596" i="121"/>
  <c r="N523" i="121"/>
  <c r="L520" i="121"/>
  <c r="P501" i="121"/>
  <c r="O508" i="121"/>
  <c r="L508" i="121"/>
  <c r="P556" i="121"/>
  <c r="N511" i="121"/>
  <c r="M526" i="121"/>
  <c r="O517" i="121"/>
  <c r="L514" i="121"/>
  <c r="P553" i="121"/>
  <c r="P606" i="121"/>
  <c r="P559" i="121"/>
  <c r="N526" i="121"/>
  <c r="N517" i="121"/>
  <c r="M517" i="121"/>
  <c r="M520" i="121"/>
  <c r="M511" i="121"/>
  <c r="N520" i="121"/>
  <c r="N514" i="121"/>
  <c r="M508" i="121"/>
  <c r="P538" i="121"/>
  <c r="P549" i="121"/>
  <c r="F717" i="121"/>
  <c r="F720" i="121"/>
  <c r="F725" i="121" s="1"/>
  <c r="F733" i="121" s="1"/>
  <c r="H714" i="121"/>
  <c r="G716" i="121"/>
  <c r="G723" i="121"/>
  <c r="G715" i="121"/>
  <c r="G721" i="121"/>
  <c r="K610" i="121"/>
  <c r="P610" i="121" s="1"/>
  <c r="K617" i="121" s="1"/>
  <c r="P608" i="121"/>
  <c r="P685" i="121" l="1"/>
  <c r="Q684" i="121"/>
  <c r="Q685" i="121" s="1"/>
  <c r="Q676" i="121" s="1"/>
  <c r="N677" i="121" s="1"/>
  <c r="K517" i="121"/>
  <c r="K511" i="121"/>
  <c r="P505" i="121"/>
  <c r="K682" i="121" s="1"/>
  <c r="K514" i="121"/>
  <c r="K520" i="121"/>
  <c r="K526" i="121"/>
  <c r="K523" i="121"/>
  <c r="G720" i="121"/>
  <c r="G725" i="121" s="1"/>
  <c r="G733" i="121" s="1"/>
  <c r="G717" i="121"/>
  <c r="H716" i="121"/>
  <c r="H723" i="121"/>
  <c r="H721" i="121"/>
  <c r="H715" i="121"/>
  <c r="I714" i="121"/>
  <c r="K681" i="121"/>
  <c r="Q677" i="121" l="1"/>
  <c r="P511" i="121"/>
  <c r="N512" i="121" s="1"/>
  <c r="N513" i="121" s="1"/>
  <c r="P520" i="121"/>
  <c r="O521" i="121" s="1"/>
  <c r="O522" i="121" s="1"/>
  <c r="K678" i="121"/>
  <c r="P523" i="121"/>
  <c r="K524" i="121" s="1"/>
  <c r="K525" i="121" s="1"/>
  <c r="K677" i="121"/>
  <c r="K679" i="121"/>
  <c r="P517" i="121"/>
  <c r="M518" i="121" s="1"/>
  <c r="M519" i="121" s="1"/>
  <c r="P514" i="121"/>
  <c r="M515" i="121" s="1"/>
  <c r="M516" i="121" s="1"/>
  <c r="J487" i="121"/>
  <c r="K680" i="121"/>
  <c r="P508" i="121"/>
  <c r="K509" i="121" s="1"/>
  <c r="K510" i="121" s="1"/>
  <c r="P526" i="121"/>
  <c r="M527" i="121" s="1"/>
  <c r="M528" i="121" s="1"/>
  <c r="J488" i="121"/>
  <c r="H720" i="121"/>
  <c r="H725" i="121" s="1"/>
  <c r="H733" i="121" s="1"/>
  <c r="H717" i="121"/>
  <c r="I723" i="121"/>
  <c r="I721" i="121"/>
  <c r="I715" i="121"/>
  <c r="J714" i="121"/>
  <c r="I716" i="121"/>
  <c r="K512" i="121" l="1"/>
  <c r="K513" i="121" s="1"/>
  <c r="L512" i="121"/>
  <c r="L513" i="121" s="1"/>
  <c r="P512" i="121"/>
  <c r="P513" i="121" s="1"/>
  <c r="L518" i="121"/>
  <c r="L519" i="121" s="1"/>
  <c r="M521" i="121"/>
  <c r="M522" i="121" s="1"/>
  <c r="O509" i="121"/>
  <c r="O510" i="121" s="1"/>
  <c r="K521" i="121"/>
  <c r="K522" i="121" s="1"/>
  <c r="K518" i="121"/>
  <c r="K519" i="121" s="1"/>
  <c r="P521" i="121"/>
  <c r="P522" i="121" s="1"/>
  <c r="O512" i="121"/>
  <c r="O513" i="121" s="1"/>
  <c r="M512" i="121"/>
  <c r="M513" i="121" s="1"/>
  <c r="N509" i="121"/>
  <c r="N510" i="121" s="1"/>
  <c r="P518" i="121"/>
  <c r="P519" i="121" s="1"/>
  <c r="M509" i="121"/>
  <c r="M510" i="121" s="1"/>
  <c r="N527" i="121"/>
  <c r="N528" i="121" s="1"/>
  <c r="L509" i="121"/>
  <c r="L510" i="121" s="1"/>
  <c r="P509" i="121"/>
  <c r="P510" i="121" s="1"/>
  <c r="N518" i="121"/>
  <c r="N519" i="121" s="1"/>
  <c r="O518" i="121"/>
  <c r="O519" i="121" s="1"/>
  <c r="L521" i="121"/>
  <c r="L522" i="121" s="1"/>
  <c r="O515" i="121"/>
  <c r="O516" i="121" s="1"/>
  <c r="O527" i="121"/>
  <c r="O528" i="121" s="1"/>
  <c r="K515" i="121"/>
  <c r="K516" i="121" s="1"/>
  <c r="L524" i="121"/>
  <c r="L525" i="121" s="1"/>
  <c r="L527" i="121"/>
  <c r="L528" i="121" s="1"/>
  <c r="P527" i="121"/>
  <c r="P528" i="121" s="1"/>
  <c r="P515" i="121"/>
  <c r="P516" i="121" s="1"/>
  <c r="O524" i="121"/>
  <c r="O525" i="121" s="1"/>
  <c r="K527" i="121"/>
  <c r="K528" i="121" s="1"/>
  <c r="N515" i="121"/>
  <c r="N516" i="121" s="1"/>
  <c r="N524" i="121"/>
  <c r="N525" i="121" s="1"/>
  <c r="N521" i="121"/>
  <c r="N522" i="121" s="1"/>
  <c r="L515" i="121"/>
  <c r="L516" i="121" s="1"/>
  <c r="M524" i="121"/>
  <c r="M525" i="121" s="1"/>
  <c r="P524" i="121"/>
  <c r="P525" i="121" s="1"/>
  <c r="J723" i="121"/>
  <c r="J721" i="121"/>
  <c r="J715" i="121"/>
  <c r="K714" i="121"/>
  <c r="J716" i="121"/>
  <c r="I717" i="121"/>
  <c r="I720" i="121"/>
  <c r="I725" i="121" s="1"/>
  <c r="I733" i="121" s="1"/>
  <c r="J717" i="121" l="1"/>
  <c r="J720" i="121"/>
  <c r="J725" i="121" s="1"/>
  <c r="J733" i="121" s="1"/>
  <c r="K716" i="121"/>
  <c r="B746" i="121"/>
  <c r="K723" i="121"/>
  <c r="K715" i="121"/>
  <c r="K721" i="121"/>
  <c r="K720" i="121" l="1"/>
  <c r="K725" i="121" s="1"/>
  <c r="K733" i="121" s="1"/>
  <c r="K717" i="121"/>
  <c r="B755" i="121"/>
  <c r="B753" i="121"/>
  <c r="B747" i="121"/>
  <c r="C746" i="121"/>
  <c r="B748" i="121"/>
  <c r="C755" i="121" l="1"/>
  <c r="C753" i="121"/>
  <c r="D746" i="121"/>
  <c r="C748" i="121"/>
  <c r="C747" i="121"/>
  <c r="B749" i="121"/>
  <c r="B752" i="121"/>
  <c r="B757" i="121" s="1"/>
  <c r="B765" i="121" s="1"/>
  <c r="D748" i="121" l="1"/>
  <c r="D755" i="121"/>
  <c r="E746" i="121"/>
  <c r="D747" i="121"/>
  <c r="D753" i="121"/>
  <c r="C749" i="121"/>
  <c r="C752" i="121"/>
  <c r="C757" i="121" s="1"/>
  <c r="C765" i="121" s="1"/>
  <c r="E747" i="121" l="1"/>
  <c r="E753" i="121"/>
  <c r="E748" i="121"/>
  <c r="E755" i="121"/>
  <c r="F746" i="121"/>
  <c r="D752" i="121"/>
  <c r="D757" i="121" s="1"/>
  <c r="D765" i="121" s="1"/>
  <c r="D749" i="121"/>
  <c r="E752" i="121" l="1"/>
  <c r="E757" i="121" s="1"/>
  <c r="E765" i="121" s="1"/>
  <c r="E749" i="121"/>
  <c r="F755" i="121"/>
  <c r="F753" i="121"/>
  <c r="F747" i="121"/>
  <c r="F748" i="121"/>
  <c r="G746" i="121"/>
  <c r="G755" i="121" l="1"/>
  <c r="G753" i="121"/>
  <c r="H746" i="121"/>
  <c r="G748" i="121"/>
  <c r="G747" i="121"/>
  <c r="F749" i="121"/>
  <c r="F752" i="121"/>
  <c r="F757" i="121" s="1"/>
  <c r="F765" i="121" s="1"/>
  <c r="H748" i="121" l="1"/>
  <c r="H753" i="121"/>
  <c r="I746" i="121"/>
  <c r="H755" i="121"/>
  <c r="H747" i="121"/>
  <c r="G749" i="121"/>
  <c r="G752" i="121"/>
  <c r="G757" i="121" s="1"/>
  <c r="G765" i="121" s="1"/>
  <c r="J746" i="121" l="1"/>
  <c r="I755" i="121"/>
  <c r="I747" i="121"/>
  <c r="I748" i="121"/>
  <c r="I753" i="121"/>
  <c r="H752" i="121"/>
  <c r="H757" i="121" s="1"/>
  <c r="H765" i="121" s="1"/>
  <c r="H749" i="121"/>
  <c r="I752" i="121" l="1"/>
  <c r="I757" i="121" s="1"/>
  <c r="I765" i="121" s="1"/>
  <c r="I749" i="121"/>
  <c r="J755" i="121"/>
  <c r="J753" i="121"/>
  <c r="J747" i="121"/>
  <c r="J748" i="121"/>
  <c r="K746" i="121"/>
  <c r="K755" i="121" l="1"/>
  <c r="K753" i="121"/>
  <c r="B778" i="121"/>
  <c r="K748" i="121"/>
  <c r="K747" i="121"/>
  <c r="J749" i="121"/>
  <c r="J752" i="121"/>
  <c r="J757" i="121" s="1"/>
  <c r="J765" i="121" s="1"/>
  <c r="B787" i="121" l="1"/>
  <c r="B785" i="121"/>
  <c r="B779" i="121"/>
  <c r="C778" i="121"/>
  <c r="B780" i="121"/>
  <c r="K749" i="121"/>
  <c r="K752" i="121"/>
  <c r="K757" i="121" s="1"/>
  <c r="K765" i="121" s="1"/>
  <c r="C787" i="121" l="1"/>
  <c r="C785" i="121"/>
  <c r="C779" i="121"/>
  <c r="D778" i="121"/>
  <c r="C780" i="121"/>
  <c r="B781" i="121"/>
  <c r="B784" i="121"/>
  <c r="B789" i="121" s="1"/>
  <c r="C781" i="121" l="1"/>
  <c r="C784" i="121"/>
  <c r="C789" i="121" s="1"/>
  <c r="E778" i="121"/>
  <c r="D780" i="121"/>
  <c r="D787" i="121"/>
  <c r="D779" i="121"/>
  <c r="D785" i="121"/>
  <c r="D784" i="121" l="1"/>
  <c r="D789" i="121" s="1"/>
  <c r="D781" i="121"/>
  <c r="E780" i="121"/>
  <c r="E787" i="121"/>
  <c r="E779" i="121"/>
  <c r="E785" i="121"/>
  <c r="F778" i="121"/>
  <c r="F787" i="121" l="1"/>
  <c r="F785" i="121"/>
  <c r="F779" i="121"/>
  <c r="F780" i="121"/>
  <c r="G778" i="121"/>
  <c r="E784" i="121"/>
  <c r="E789" i="121" s="1"/>
  <c r="E781" i="121"/>
  <c r="F781" i="121" l="1"/>
  <c r="F784" i="121"/>
  <c r="F789" i="121" s="1"/>
  <c r="G787" i="121"/>
  <c r="G785" i="121"/>
  <c r="G779" i="121"/>
  <c r="H778" i="121"/>
  <c r="G780" i="121"/>
  <c r="I778" i="121" l="1"/>
  <c r="H780" i="121"/>
  <c r="H785" i="121"/>
  <c r="H779" i="121"/>
  <c r="H787" i="121"/>
  <c r="G781" i="121"/>
  <c r="G784" i="121"/>
  <c r="G789" i="121" s="1"/>
  <c r="H784" i="121" l="1"/>
  <c r="H789" i="121" s="1"/>
  <c r="H781" i="121"/>
  <c r="I780" i="121"/>
  <c r="I785" i="121"/>
  <c r="I779" i="121"/>
  <c r="J778" i="121"/>
  <c r="I787" i="121"/>
  <c r="J787" i="121" l="1"/>
  <c r="J785" i="121"/>
  <c r="J779" i="121"/>
  <c r="K778" i="121"/>
  <c r="J780" i="121"/>
  <c r="I784" i="121"/>
  <c r="I789" i="121" s="1"/>
  <c r="I781" i="121"/>
  <c r="K787" i="121" l="1"/>
  <c r="K785" i="121"/>
  <c r="K779" i="121"/>
  <c r="K780" i="121"/>
  <c r="B808" i="121"/>
  <c r="J781" i="121"/>
  <c r="J784" i="121"/>
  <c r="J789" i="121" s="1"/>
  <c r="K781" i="121" l="1"/>
  <c r="K784" i="121"/>
  <c r="K789" i="121" s="1"/>
  <c r="B815" i="121"/>
  <c r="B810" i="121"/>
  <c r="B809" i="121"/>
  <c r="C808" i="121"/>
  <c r="B817" i="121"/>
  <c r="B811" i="121" l="1"/>
  <c r="B814" i="121"/>
  <c r="B819" i="121" s="1"/>
  <c r="B826" i="121" s="1"/>
  <c r="C810" i="121"/>
  <c r="C817" i="121"/>
  <c r="C809" i="121"/>
  <c r="D808" i="121"/>
  <c r="C815" i="121"/>
  <c r="D817" i="121" l="1"/>
  <c r="D809" i="121"/>
  <c r="E808" i="121"/>
  <c r="D815" i="121"/>
  <c r="D810" i="121"/>
  <c r="C814" i="121"/>
  <c r="C819" i="121" s="1"/>
  <c r="C826" i="121" s="1"/>
  <c r="C811" i="121"/>
  <c r="E815" i="121" l="1"/>
  <c r="E810" i="121"/>
  <c r="E817" i="121"/>
  <c r="F808" i="121"/>
  <c r="E809" i="121"/>
  <c r="D811" i="121"/>
  <c r="D814" i="121"/>
  <c r="D819" i="121" s="1"/>
  <c r="D826" i="121" s="1"/>
  <c r="F815" i="121" l="1"/>
  <c r="F810" i="121"/>
  <c r="F817" i="121"/>
  <c r="F809" i="12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D123" i="107" s="1"/>
  <c r="AB123" i="107"/>
  <c r="AA123" i="107"/>
  <c r="AG122" i="107"/>
  <c r="AC122" i="107"/>
  <c r="AB122" i="107"/>
  <c r="AA122" i="107"/>
  <c r="F111" i="107"/>
  <c r="B106" i="107"/>
  <c r="D40" i="107"/>
  <c r="D39" i="107"/>
  <c r="D38" i="107"/>
  <c r="J27" i="105"/>
  <c r="H8" i="100" s="1"/>
  <c r="S189" i="107"/>
  <c r="S187" i="107"/>
  <c r="AN436" i="112"/>
  <c r="AN435" i="112"/>
  <c r="AN434" i="112"/>
  <c r="AN433" i="112"/>
  <c r="F116" i="111"/>
  <c r="E116" i="111"/>
  <c r="D116" i="111"/>
  <c r="C116" i="111"/>
  <c r="B116" i="111"/>
  <c r="K86" i="111"/>
  <c r="J86" i="111"/>
  <c r="I86" i="111"/>
  <c r="H86" i="111"/>
  <c r="G86" i="111"/>
  <c r="F86" i="111"/>
  <c r="E86" i="111"/>
  <c r="D86" i="111"/>
  <c r="C86" i="111"/>
  <c r="B86" i="111"/>
  <c r="K54" i="111"/>
  <c r="J54" i="111"/>
  <c r="I54" i="111"/>
  <c r="H54" i="111"/>
  <c r="G54" i="111"/>
  <c r="F54" i="111"/>
  <c r="E54" i="111"/>
  <c r="D54" i="111"/>
  <c r="C54" i="111"/>
  <c r="B54" i="111"/>
  <c r="K22" i="111"/>
  <c r="J22" i="111"/>
  <c r="I22" i="111"/>
  <c r="H22" i="111"/>
  <c r="G22" i="111"/>
  <c r="F22" i="111"/>
  <c r="E22" i="111"/>
  <c r="D22" i="111"/>
  <c r="C22" i="111"/>
  <c r="B22" i="111"/>
  <c r="Q662" i="121" s="1"/>
  <c r="G333" i="112"/>
  <c r="J143" i="112"/>
  <c r="K90" i="113"/>
  <c r="I90" i="113"/>
  <c r="F118" i="111"/>
  <c r="F818" i="121" s="1"/>
  <c r="E118" i="111"/>
  <c r="E818" i="121" s="1"/>
  <c r="D118" i="111"/>
  <c r="D818" i="121" s="1"/>
  <c r="C118" i="111"/>
  <c r="C818" i="121" s="1"/>
  <c r="B118" i="111"/>
  <c r="B818" i="121" s="1"/>
  <c r="E112" i="111"/>
  <c r="D112" i="111"/>
  <c r="K88" i="111"/>
  <c r="K788" i="121" s="1"/>
  <c r="J88" i="111"/>
  <c r="J788" i="121" s="1"/>
  <c r="I88" i="111"/>
  <c r="I788" i="121" s="1"/>
  <c r="H88" i="111"/>
  <c r="H788" i="121" s="1"/>
  <c r="G88" i="111"/>
  <c r="G788" i="121" s="1"/>
  <c r="F88" i="111"/>
  <c r="F788" i="121" s="1"/>
  <c r="E88" i="111"/>
  <c r="E788" i="121" s="1"/>
  <c r="D88" i="111"/>
  <c r="D788" i="121" s="1"/>
  <c r="C88" i="111"/>
  <c r="C788" i="121" s="1"/>
  <c r="B88" i="111"/>
  <c r="B788" i="121" s="1"/>
  <c r="B82" i="111"/>
  <c r="K56" i="111"/>
  <c r="K756" i="121" s="1"/>
  <c r="J56" i="111"/>
  <c r="J756" i="121" s="1"/>
  <c r="I56" i="111"/>
  <c r="I756" i="121" s="1"/>
  <c r="H56" i="111"/>
  <c r="H756" i="121" s="1"/>
  <c r="G56" i="111"/>
  <c r="G756" i="121" s="1"/>
  <c r="F56" i="111"/>
  <c r="F756" i="121" s="1"/>
  <c r="E56" i="111"/>
  <c r="E756" i="121" s="1"/>
  <c r="D56" i="111"/>
  <c r="D756" i="121" s="1"/>
  <c r="C56" i="111"/>
  <c r="C756" i="121" s="1"/>
  <c r="B56" i="111"/>
  <c r="B756" i="121" s="1"/>
  <c r="I50" i="111"/>
  <c r="K24" i="111"/>
  <c r="K724" i="121" s="1"/>
  <c r="J24" i="111"/>
  <c r="J724" i="121" s="1"/>
  <c r="I24" i="111"/>
  <c r="I724" i="121" s="1"/>
  <c r="H24" i="111"/>
  <c r="H724" i="121" s="1"/>
  <c r="G24" i="111"/>
  <c r="G724" i="121" s="1"/>
  <c r="F24" i="111"/>
  <c r="F724" i="121" s="1"/>
  <c r="E24" i="111"/>
  <c r="E724" i="121" s="1"/>
  <c r="D24" i="111"/>
  <c r="D724" i="121" s="1"/>
  <c r="C24" i="111"/>
  <c r="C724" i="121" s="1"/>
  <c r="B24" i="111"/>
  <c r="B724" i="121" s="1"/>
  <c r="K18" i="111"/>
  <c r="J18" i="111"/>
  <c r="G18" i="111"/>
  <c r="F18" i="111"/>
  <c r="C18" i="111"/>
  <c r="B18" i="11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J23" i="110"/>
  <c r="J22" i="110"/>
  <c r="J460" i="121" s="1"/>
  <c r="L460" i="121" s="1"/>
  <c r="M460" i="121" s="1"/>
  <c r="J21" i="110"/>
  <c r="J459" i="121" s="1"/>
  <c r="L459" i="121" s="1"/>
  <c r="M459" i="121" s="1"/>
  <c r="J20" i="110"/>
  <c r="J458" i="121" s="1"/>
  <c r="L458" i="121" s="1"/>
  <c r="M458" i="121" s="1"/>
  <c r="J456" i="121"/>
  <c r="L456" i="121" s="1"/>
  <c r="M456"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E136" i="111"/>
  <c r="D136" i="111"/>
  <c r="C136" i="111"/>
  <c r="B136" i="111"/>
  <c r="F135" i="111"/>
  <c r="E135" i="111"/>
  <c r="D135" i="111"/>
  <c r="C135" i="111"/>
  <c r="B135" i="111"/>
  <c r="F123" i="111"/>
  <c r="E123" i="111"/>
  <c r="D123" i="111"/>
  <c r="C123" i="111"/>
  <c r="B123" i="111"/>
  <c r="F122" i="111"/>
  <c r="E122" i="111"/>
  <c r="D122" i="111"/>
  <c r="C122" i="111"/>
  <c r="B122" i="111"/>
  <c r="K106" i="111"/>
  <c r="J106" i="111"/>
  <c r="I106" i="111"/>
  <c r="H106" i="111"/>
  <c r="G106" i="111"/>
  <c r="F106" i="111"/>
  <c r="E106" i="111"/>
  <c r="D106" i="111"/>
  <c r="C106" i="111"/>
  <c r="B106" i="111"/>
  <c r="K105" i="111"/>
  <c r="J105" i="111"/>
  <c r="I105" i="111"/>
  <c r="H105" i="111"/>
  <c r="G105" i="111"/>
  <c r="F105" i="111"/>
  <c r="E105" i="111"/>
  <c r="D105" i="111"/>
  <c r="C105" i="111"/>
  <c r="B105" i="111"/>
  <c r="K93" i="111"/>
  <c r="J93" i="111"/>
  <c r="I93" i="111"/>
  <c r="H93" i="111"/>
  <c r="G93" i="111"/>
  <c r="F93" i="111"/>
  <c r="E93" i="111"/>
  <c r="D93" i="111"/>
  <c r="C93" i="111"/>
  <c r="B93" i="111"/>
  <c r="K92" i="111"/>
  <c r="J92" i="111"/>
  <c r="I92" i="111"/>
  <c r="H92" i="111"/>
  <c r="G92" i="111"/>
  <c r="F92" i="111"/>
  <c r="E92" i="111"/>
  <c r="D92" i="111"/>
  <c r="C92" i="111"/>
  <c r="B92" i="111"/>
  <c r="B99" i="111" s="1"/>
  <c r="K76" i="111"/>
  <c r="K776" i="121" s="1"/>
  <c r="J76" i="111"/>
  <c r="J776" i="121" s="1"/>
  <c r="I76" i="111"/>
  <c r="I776" i="121" s="1"/>
  <c r="H76" i="111"/>
  <c r="H776" i="121" s="1"/>
  <c r="K75" i="111"/>
  <c r="J75" i="111"/>
  <c r="I75" i="111"/>
  <c r="H75" i="111"/>
  <c r="G75" i="111"/>
  <c r="F75" i="111"/>
  <c r="E75" i="111"/>
  <c r="D75" i="111"/>
  <c r="C75" i="111"/>
  <c r="B75" i="111"/>
  <c r="K74" i="111"/>
  <c r="J74" i="111"/>
  <c r="I74" i="111"/>
  <c r="H74" i="111"/>
  <c r="G74" i="111"/>
  <c r="F74" i="111"/>
  <c r="E74" i="111"/>
  <c r="D74" i="111"/>
  <c r="C74" i="111"/>
  <c r="B74" i="111"/>
  <c r="K61" i="111"/>
  <c r="K69" i="111" s="1"/>
  <c r="J61" i="111"/>
  <c r="I61" i="111"/>
  <c r="H61" i="111"/>
  <c r="G61" i="111"/>
  <c r="G69" i="111" s="1"/>
  <c r="F61" i="111"/>
  <c r="E61" i="111"/>
  <c r="D61" i="111"/>
  <c r="C61" i="111"/>
  <c r="C69" i="111" s="1"/>
  <c r="B61" i="111"/>
  <c r="K60" i="111"/>
  <c r="J60" i="111"/>
  <c r="I60" i="111"/>
  <c r="I68" i="111" s="1"/>
  <c r="H60" i="111"/>
  <c r="G60" i="111"/>
  <c r="F60" i="111"/>
  <c r="E60" i="111"/>
  <c r="E68" i="111" s="1"/>
  <c r="D60" i="111"/>
  <c r="C60" i="111"/>
  <c r="B60" i="111"/>
  <c r="K43" i="111"/>
  <c r="J43" i="111"/>
  <c r="I43" i="111"/>
  <c r="H43" i="111"/>
  <c r="G43" i="111"/>
  <c r="F43" i="111"/>
  <c r="E43" i="111"/>
  <c r="D43" i="111"/>
  <c r="C43" i="111"/>
  <c r="B43" i="111"/>
  <c r="K42" i="111"/>
  <c r="J42" i="111"/>
  <c r="I42" i="111"/>
  <c r="H42" i="111"/>
  <c r="G42" i="111"/>
  <c r="F42" i="111"/>
  <c r="E42" i="111"/>
  <c r="D42" i="111"/>
  <c r="C42" i="111"/>
  <c r="B42" i="111"/>
  <c r="A36" i="111"/>
  <c r="A35" i="111"/>
  <c r="A67" i="111" s="1"/>
  <c r="A98" i="111" s="1"/>
  <c r="A128" i="111" s="1"/>
  <c r="A34" i="111"/>
  <c r="A66" i="111" s="1"/>
  <c r="A97" i="111" s="1"/>
  <c r="A127" i="111" s="1"/>
  <c r="K29" i="111"/>
  <c r="J29" i="111"/>
  <c r="I29" i="111"/>
  <c r="H29" i="111"/>
  <c r="G29" i="111"/>
  <c r="F29" i="111"/>
  <c r="F37" i="111" s="1"/>
  <c r="E29" i="111"/>
  <c r="D29" i="111"/>
  <c r="C29" i="111"/>
  <c r="B29" i="111"/>
  <c r="B37" i="111" s="1"/>
  <c r="K28" i="111"/>
  <c r="J28" i="111"/>
  <c r="I28" i="111"/>
  <c r="H28" i="111"/>
  <c r="G28" i="111"/>
  <c r="F28" i="111"/>
  <c r="E28" i="111"/>
  <c r="D28" i="111"/>
  <c r="D36" i="111" s="1"/>
  <c r="C28" i="111"/>
  <c r="B28" i="111"/>
  <c r="N179" i="107"/>
  <c r="O10" i="105"/>
  <c r="D3" i="115"/>
  <c r="AK422" i="112"/>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K22" i="120"/>
  <c r="J22" i="120"/>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N425" i="112"/>
  <c r="AJ425" i="112"/>
  <c r="AI425" i="112"/>
  <c r="AH425" i="112"/>
  <c r="AG425" i="112"/>
  <c r="AJ424" i="112"/>
  <c r="AI424" i="112"/>
  <c r="AH424" i="112"/>
  <c r="AG424" i="112"/>
  <c r="Q399" i="112"/>
  <c r="Q387" i="112"/>
  <c r="P384" i="112"/>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O265" i="112"/>
  <c r="O1414" i="121" s="1"/>
  <c r="L1414" i="121" s="1"/>
  <c r="K250" i="112"/>
  <c r="J250" i="112"/>
  <c r="J1399" i="121" s="1"/>
  <c r="K249" i="112"/>
  <c r="K251" i="112" s="1"/>
  <c r="J249" i="112"/>
  <c r="J1398" i="121" s="1"/>
  <c r="V238" i="112"/>
  <c r="P238" i="112"/>
  <c r="P229" i="112"/>
  <c r="O229" i="112"/>
  <c r="L226" i="112"/>
  <c r="L225" i="112"/>
  <c r="P224" i="112"/>
  <c r="O224" i="112"/>
  <c r="O222" i="112" s="1"/>
  <c r="P222" i="112"/>
  <c r="L221" i="112"/>
  <c r="L220" i="112"/>
  <c r="Q219" i="112"/>
  <c r="Q218" i="112"/>
  <c r="P216" i="112"/>
  <c r="P215" i="112" s="1"/>
  <c r="P212" i="112" s="1"/>
  <c r="O216" i="112"/>
  <c r="O215" i="112" s="1"/>
  <c r="Q214" i="112"/>
  <c r="L214" i="112"/>
  <c r="L213" i="112"/>
  <c r="Q208" i="112"/>
  <c r="V206" i="112"/>
  <c r="P206" i="112"/>
  <c r="P1363" i="121" s="1"/>
  <c r="K1530" i="121" s="1"/>
  <c r="K1529" i="121" s="1"/>
  <c r="O206" i="112"/>
  <c r="O1363" i="121" s="1"/>
  <c r="Q190" i="112"/>
  <c r="L183" i="112"/>
  <c r="L182" i="112"/>
  <c r="L181" i="112"/>
  <c r="P180" i="112"/>
  <c r="P1337" i="121" s="1"/>
  <c r="O180" i="112"/>
  <c r="O1337" i="121" s="1"/>
  <c r="L178" i="112"/>
  <c r="P177" i="112"/>
  <c r="O177" i="112"/>
  <c r="O1334" i="121" s="1"/>
  <c r="P169" i="112"/>
  <c r="L161" i="112"/>
  <c r="P160" i="112"/>
  <c r="BA432" i="112" s="1"/>
  <c r="O160" i="112"/>
  <c r="P152" i="112"/>
  <c r="BC431" i="112" s="1"/>
  <c r="O152" i="112"/>
  <c r="O1309" i="121" s="1"/>
  <c r="Q145" i="112"/>
  <c r="L145" i="112"/>
  <c r="Q144" i="112"/>
  <c r="L144" i="112"/>
  <c r="L132" i="112"/>
  <c r="L131" i="112"/>
  <c r="L130" i="112"/>
  <c r="L129" i="112"/>
  <c r="L128" i="112"/>
  <c r="L126" i="112"/>
  <c r="L125" i="112"/>
  <c r="L124" i="112"/>
  <c r="O123" i="112"/>
  <c r="O122" i="112"/>
  <c r="P121" i="112"/>
  <c r="P117" i="112" s="1"/>
  <c r="BC429" i="112" s="1"/>
  <c r="P108" i="112"/>
  <c r="O108" i="112"/>
  <c r="Q107" i="112"/>
  <c r="Q104" i="112"/>
  <c r="Q103" i="112"/>
  <c r="P101" i="112"/>
  <c r="O101" i="112"/>
  <c r="O1258" i="121" s="1"/>
  <c r="Q1258" i="121" s="1"/>
  <c r="P92" i="112"/>
  <c r="P89" i="112" s="1"/>
  <c r="O92" i="112"/>
  <c r="O89" i="112" s="1"/>
  <c r="P80" i="112"/>
  <c r="O80" i="112"/>
  <c r="L80" i="112" s="1"/>
  <c r="L79" i="112"/>
  <c r="P78" i="112"/>
  <c r="P55" i="112" s="1"/>
  <c r="BC426" i="112" s="1"/>
  <c r="O75" i="112"/>
  <c r="M71" i="112"/>
  <c r="M75" i="112" s="1"/>
  <c r="J71" i="112"/>
  <c r="J75" i="112" s="1"/>
  <c r="J1232" i="121" s="1"/>
  <c r="Q56" i="112"/>
  <c r="L56" i="112"/>
  <c r="P46" i="112"/>
  <c r="O46" i="112"/>
  <c r="P44" i="112"/>
  <c r="O44" i="112"/>
  <c r="P25" i="112"/>
  <c r="O25" i="112"/>
  <c r="O1182" i="121" s="1"/>
  <c r="P21" i="112"/>
  <c r="O21" i="112"/>
  <c r="L359" i="112"/>
  <c r="J90" i="113"/>
  <c r="H90" i="113"/>
  <c r="F90" i="113"/>
  <c r="E130" i="111"/>
  <c r="C129" i="111"/>
  <c r="F130" i="111"/>
  <c r="D130" i="111"/>
  <c r="C130" i="111"/>
  <c r="B130" i="111"/>
  <c r="F129" i="111"/>
  <c r="E129" i="111"/>
  <c r="D129" i="111"/>
  <c r="B129" i="111"/>
  <c r="J100" i="111"/>
  <c r="E99" i="111"/>
  <c r="K100" i="111"/>
  <c r="I100" i="111"/>
  <c r="H100" i="111"/>
  <c r="G100" i="111"/>
  <c r="F100" i="111"/>
  <c r="E100" i="111"/>
  <c r="D100" i="111"/>
  <c r="C100" i="111"/>
  <c r="B100" i="111"/>
  <c r="K99" i="111"/>
  <c r="J99" i="111"/>
  <c r="I99" i="111"/>
  <c r="H99" i="111"/>
  <c r="G99" i="111"/>
  <c r="F99" i="111"/>
  <c r="D99" i="111"/>
  <c r="C99" i="111"/>
  <c r="A69" i="111"/>
  <c r="A100" i="111" s="1"/>
  <c r="A130" i="111" s="1"/>
  <c r="K68" i="111"/>
  <c r="J69" i="111"/>
  <c r="I69" i="111"/>
  <c r="H69" i="111"/>
  <c r="F69" i="111"/>
  <c r="E69" i="111"/>
  <c r="D69" i="111"/>
  <c r="B69" i="111"/>
  <c r="A61" i="111"/>
  <c r="A93" i="111" s="1"/>
  <c r="A123" i="111" s="1"/>
  <c r="J68" i="111"/>
  <c r="H68" i="111"/>
  <c r="G68" i="111"/>
  <c r="F68" i="111"/>
  <c r="D68" i="111"/>
  <c r="C68" i="111"/>
  <c r="B68" i="111"/>
  <c r="A60" i="111"/>
  <c r="A92" i="111" s="1"/>
  <c r="A122" i="111" s="1"/>
  <c r="A59" i="111"/>
  <c r="A91" i="111" s="1"/>
  <c r="A121" i="111" s="1"/>
  <c r="A58" i="111"/>
  <c r="A90" i="111" s="1"/>
  <c r="A120" i="111" s="1"/>
  <c r="K37" i="111"/>
  <c r="G37" i="111"/>
  <c r="D37" i="111"/>
  <c r="C37" i="111"/>
  <c r="K36" i="111"/>
  <c r="H36" i="111"/>
  <c r="G36" i="111"/>
  <c r="C36" i="111"/>
  <c r="A68" i="111"/>
  <c r="A99" i="111" s="1"/>
  <c r="A129" i="111" s="1"/>
  <c r="B31" i="111"/>
  <c r="J37" i="111"/>
  <c r="I37" i="111"/>
  <c r="H37" i="111"/>
  <c r="E37" i="111"/>
  <c r="J36" i="111"/>
  <c r="I36" i="111"/>
  <c r="F36" i="111"/>
  <c r="E36" i="111"/>
  <c r="B36" i="111"/>
  <c r="D14" i="111"/>
  <c r="E14" i="111" s="1"/>
  <c r="C14" i="11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J216" i="110"/>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K82" i="111" s="1"/>
  <c r="P207" i="110"/>
  <c r="J82" i="111" s="1"/>
  <c r="O207" i="110"/>
  <c r="I82" i="111" s="1"/>
  <c r="N207" i="110"/>
  <c r="H82" i="111" s="1"/>
  <c r="M207" i="110"/>
  <c r="G82" i="111" s="1"/>
  <c r="L207" i="110"/>
  <c r="F82" i="111" s="1"/>
  <c r="K207" i="110"/>
  <c r="E82" i="111" s="1"/>
  <c r="J207" i="110"/>
  <c r="D82" i="111" s="1"/>
  <c r="I207" i="110"/>
  <c r="C82" i="111" s="1"/>
  <c r="H207" i="110"/>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N198" i="110"/>
  <c r="H50" i="111" s="1"/>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P189" i="110"/>
  <c r="O189" i="110"/>
  <c r="I18" i="111" s="1"/>
  <c r="N189" i="110"/>
  <c r="H18" i="111" s="1"/>
  <c r="M189" i="110"/>
  <c r="L189" i="110"/>
  <c r="K189" i="110"/>
  <c r="E18" i="111" s="1"/>
  <c r="J189" i="110"/>
  <c r="D18" i="111" s="1"/>
  <c r="I189" i="110"/>
  <c r="H189" i="110"/>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L41" i="110"/>
  <c r="M41" i="110" s="1"/>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L30" i="110"/>
  <c r="M30" i="110" s="1"/>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L22" i="110"/>
  <c r="M22" i="110" s="1"/>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M16" i="110"/>
  <c r="L16" i="110"/>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M14" i="110"/>
  <c r="L14" i="110"/>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1" i="106"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F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V146" i="107" s="1"/>
  <c r="S18" i="107"/>
  <c r="P18" i="107"/>
  <c r="P146" i="107" s="1"/>
  <c r="P162" i="107" s="1"/>
  <c r="P164" i="107" s="1"/>
  <c r="P166" i="107" s="1"/>
  <c r="M18" i="107"/>
  <c r="J18" i="107"/>
  <c r="G18" i="107"/>
  <c r="U17" i="107"/>
  <c r="A17" i="107"/>
  <c r="U16" i="107"/>
  <c r="A16" i="107"/>
  <c r="U15" i="107"/>
  <c r="A15" i="107"/>
  <c r="W8" i="107"/>
  <c r="O8" i="107"/>
  <c r="V6" i="107"/>
  <c r="I60" i="106"/>
  <c r="P88" i="121"/>
  <c r="P43" i="106"/>
  <c r="P42" i="106"/>
  <c r="P41" i="106"/>
  <c r="P84" i="121" s="1"/>
  <c r="P40" i="106"/>
  <c r="P83" i="121" s="1"/>
  <c r="S37" i="106"/>
  <c r="L33" i="106"/>
  <c r="S19" i="106"/>
  <c r="S4" i="106"/>
  <c r="K29" i="105"/>
  <c r="K28" i="121" s="1"/>
  <c r="B53" i="82" l="1"/>
  <c r="B731" i="121"/>
  <c r="C31" i="111"/>
  <c r="L42" i="110"/>
  <c r="M42" i="110" s="1"/>
  <c r="L18" i="110"/>
  <c r="M18" i="110" s="1"/>
  <c r="L34" i="110"/>
  <c r="M34" i="110" s="1"/>
  <c r="L40" i="110"/>
  <c r="M40" i="110" s="1"/>
  <c r="L25" i="110"/>
  <c r="M25" i="110" s="1"/>
  <c r="L26" i="110"/>
  <c r="M26" i="110" s="1"/>
  <c r="L38" i="110"/>
  <c r="M38" i="110" s="1"/>
  <c r="L45" i="110"/>
  <c r="M45" i="110" s="1"/>
  <c r="L24" i="110"/>
  <c r="M24" i="110" s="1"/>
  <c r="L20" i="110"/>
  <c r="M20" i="110" s="1"/>
  <c r="L21" i="110"/>
  <c r="M21" i="110" s="1"/>
  <c r="L32" i="110"/>
  <c r="M32" i="110" s="1"/>
  <c r="L37" i="110"/>
  <c r="M37" i="110" s="1"/>
  <c r="L36" i="110"/>
  <c r="M36" i="110" s="1"/>
  <c r="L28" i="110"/>
  <c r="M28" i="110" s="1"/>
  <c r="L33" i="110"/>
  <c r="M33" i="110" s="1"/>
  <c r="L44" i="110"/>
  <c r="M44" i="110" s="1"/>
  <c r="L48" i="110"/>
  <c r="M48" i="110" s="1"/>
  <c r="L46" i="110"/>
  <c r="M46" i="110" s="1"/>
  <c r="J484" i="121"/>
  <c r="L484" i="121" s="1"/>
  <c r="M484" i="121" s="1"/>
  <c r="L19" i="110"/>
  <c r="M19" i="110" s="1"/>
  <c r="J457" i="121"/>
  <c r="L457" i="121" s="1"/>
  <c r="M457" i="121" s="1"/>
  <c r="L23" i="110"/>
  <c r="M23" i="110" s="1"/>
  <c r="J461" i="121"/>
  <c r="L461" i="121" s="1"/>
  <c r="M461" i="121" s="1"/>
  <c r="L27" i="110"/>
  <c r="M27" i="110" s="1"/>
  <c r="J465" i="121"/>
  <c r="L465" i="121" s="1"/>
  <c r="M465" i="121" s="1"/>
  <c r="L31" i="110"/>
  <c r="M31" i="110" s="1"/>
  <c r="J469" i="121"/>
  <c r="L469" i="121" s="1"/>
  <c r="M469" i="121" s="1"/>
  <c r="L35" i="110"/>
  <c r="M35" i="110" s="1"/>
  <c r="J473" i="121"/>
  <c r="L473" i="121" s="1"/>
  <c r="M473" i="121" s="1"/>
  <c r="L39" i="110"/>
  <c r="M39" i="110" s="1"/>
  <c r="J477" i="121"/>
  <c r="L477" i="121" s="1"/>
  <c r="M477" i="121" s="1"/>
  <c r="L43" i="110"/>
  <c r="M43" i="110" s="1"/>
  <c r="J481" i="121"/>
  <c r="L481" i="121" s="1"/>
  <c r="M481" i="121" s="1"/>
  <c r="L47" i="110"/>
  <c r="M47" i="110" s="1"/>
  <c r="J485" i="121"/>
  <c r="L485" i="121" s="1"/>
  <c r="M485" i="121" s="1"/>
  <c r="N51" i="106"/>
  <c r="I10" i="105"/>
  <c r="E108" i="107"/>
  <c r="J108" i="107" s="1"/>
  <c r="C21" i="86"/>
  <c r="D21" i="86" s="1"/>
  <c r="E21" i="86" s="1"/>
  <c r="F21" i="86" s="1"/>
  <c r="G21" i="86" s="1"/>
  <c r="H21" i="86" s="1"/>
  <c r="I21" i="86" s="1"/>
  <c r="L95" i="121"/>
  <c r="N95" i="121" s="1"/>
  <c r="I9" i="121"/>
  <c r="L94" i="121"/>
  <c r="N94" i="121" s="1"/>
  <c r="L52" i="106"/>
  <c r="N52" i="106" s="1"/>
  <c r="M67" i="85"/>
  <c r="J146" i="107"/>
  <c r="J162" i="107" s="1"/>
  <c r="J164" i="107" s="1"/>
  <c r="J166" i="107" s="1"/>
  <c r="D45" i="106"/>
  <c r="D88" i="121" s="1"/>
  <c r="C135" i="90"/>
  <c r="F122" i="107"/>
  <c r="F38" i="107"/>
  <c r="M146" i="107"/>
  <c r="M162" i="107" s="1"/>
  <c r="M164" i="107" s="1"/>
  <c r="M166" i="107" s="1"/>
  <c r="S146" i="107"/>
  <c r="G43" i="107"/>
  <c r="E40" i="107"/>
  <c r="E38" i="107"/>
  <c r="F39" i="107"/>
  <c r="E3" i="86"/>
  <c r="G146" i="107"/>
  <c r="C64" i="111"/>
  <c r="D64" i="111"/>
  <c r="E64" i="111"/>
  <c r="B64" i="111"/>
  <c r="F64" i="111"/>
  <c r="D27" i="111"/>
  <c r="H27" i="111"/>
  <c r="E59" i="111"/>
  <c r="I59" i="111"/>
  <c r="B91" i="111"/>
  <c r="F91" i="111"/>
  <c r="J91" i="111"/>
  <c r="B121" i="111"/>
  <c r="F121" i="111"/>
  <c r="E27" i="111"/>
  <c r="I27" i="111"/>
  <c r="B59" i="111"/>
  <c r="F59" i="111"/>
  <c r="J59" i="111"/>
  <c r="C91" i="111"/>
  <c r="G91" i="111"/>
  <c r="K91" i="111"/>
  <c r="C121" i="111"/>
  <c r="B27" i="111"/>
  <c r="F27" i="111"/>
  <c r="J27" i="111"/>
  <c r="C59" i="111"/>
  <c r="G59" i="111"/>
  <c r="K59" i="111"/>
  <c r="D91" i="111"/>
  <c r="H91" i="111"/>
  <c r="D121" i="111"/>
  <c r="C27" i="111"/>
  <c r="G27" i="111"/>
  <c r="K27" i="111"/>
  <c r="D59" i="111"/>
  <c r="H59" i="111"/>
  <c r="E91" i="111"/>
  <c r="I91" i="111"/>
  <c r="E121" i="111"/>
  <c r="J58" i="111"/>
  <c r="J65" i="82" s="1"/>
  <c r="C90" i="111"/>
  <c r="E26" i="111"/>
  <c r="G90" i="111"/>
  <c r="B35" i="87" s="1"/>
  <c r="I26" i="111"/>
  <c r="I45" i="82" s="1"/>
  <c r="B58" i="111"/>
  <c r="B758" i="121" s="1"/>
  <c r="K90" i="111"/>
  <c r="F58" i="111"/>
  <c r="C120" i="111"/>
  <c r="C820" i="121" s="1"/>
  <c r="B26" i="111"/>
  <c r="F26" i="111"/>
  <c r="J26" i="111"/>
  <c r="C58" i="111"/>
  <c r="G58" i="111"/>
  <c r="K58" i="111"/>
  <c r="D90" i="111"/>
  <c r="H90" i="111"/>
  <c r="D120" i="111"/>
  <c r="J287" i="121"/>
  <c r="J288" i="121" s="1"/>
  <c r="J290" i="121" s="1"/>
  <c r="J293" i="121" s="1"/>
  <c r="E45" i="82"/>
  <c r="B13" i="87"/>
  <c r="E726" i="121"/>
  <c r="C26" i="111"/>
  <c r="G26" i="111"/>
  <c r="K26" i="111"/>
  <c r="D58" i="111"/>
  <c r="H58" i="111"/>
  <c r="E90" i="111"/>
  <c r="I90" i="111"/>
  <c r="E120" i="111"/>
  <c r="B31" i="87"/>
  <c r="C790" i="121"/>
  <c r="B39" i="87"/>
  <c r="K790" i="121"/>
  <c r="J177" i="107"/>
  <c r="D26" i="111"/>
  <c r="H26" i="111"/>
  <c r="E58" i="111"/>
  <c r="I58" i="111"/>
  <c r="B90" i="111"/>
  <c r="F90" i="111"/>
  <c r="J90" i="111"/>
  <c r="B120" i="111"/>
  <c r="F120" i="111"/>
  <c r="O121" i="112"/>
  <c r="O117" i="112" s="1"/>
  <c r="O1274" i="121" s="1"/>
  <c r="Q108" i="112"/>
  <c r="O1265" i="121"/>
  <c r="Q1265" i="121" s="1"/>
  <c r="Q46" i="112"/>
  <c r="O1203" i="121"/>
  <c r="Q1203" i="121" s="1"/>
  <c r="O37" i="112"/>
  <c r="O1194" i="121" s="1"/>
  <c r="O1201" i="121"/>
  <c r="Q25" i="112"/>
  <c r="L25" i="112"/>
  <c r="L1182" i="121"/>
  <c r="Q1182" i="121"/>
  <c r="O169" i="112"/>
  <c r="AW433" i="112" s="1"/>
  <c r="BB446" i="112"/>
  <c r="P1517" i="121"/>
  <c r="K378" i="112"/>
  <c r="P1326" i="121"/>
  <c r="K1527" i="121" s="1"/>
  <c r="AV432" i="112"/>
  <c r="O1317" i="121"/>
  <c r="K384" i="112"/>
  <c r="O1533" i="121"/>
  <c r="K1533" i="121" s="1"/>
  <c r="H15" i="100"/>
  <c r="C44" i="90"/>
  <c r="O29" i="105"/>
  <c r="E18" i="89"/>
  <c r="A307" i="121"/>
  <c r="J26" i="121"/>
  <c r="A45" i="121"/>
  <c r="A2" i="105"/>
  <c r="A1" i="121" s="1"/>
  <c r="AZ437" i="112"/>
  <c r="P1414" i="121"/>
  <c r="AZ443" i="112"/>
  <c r="P1488" i="121"/>
  <c r="Q670" i="121"/>
  <c r="O663" i="121"/>
  <c r="O664" i="121"/>
  <c r="K144" i="112"/>
  <c r="O1178" i="121"/>
  <c r="O27" i="112"/>
  <c r="O1184" i="121" s="1"/>
  <c r="I61" i="115"/>
  <c r="I60" i="115"/>
  <c r="I63" i="115"/>
  <c r="I62" i="115"/>
  <c r="J251" i="112"/>
  <c r="O143" i="112"/>
  <c r="R160" i="112"/>
  <c r="R169" i="112"/>
  <c r="P37" i="112"/>
  <c r="BC425" i="112" s="1"/>
  <c r="J377" i="112"/>
  <c r="J1526" i="121" s="1"/>
  <c r="BC446" i="112"/>
  <c r="L37" i="112"/>
  <c r="Q44" i="112"/>
  <c r="K377" i="112"/>
  <c r="AW432" i="112"/>
  <c r="AZ433"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K153"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Q224" i="110"/>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K40" i="115" s="1"/>
  <c r="J42" i="115"/>
  <c r="J43" i="115"/>
  <c r="J45" i="115"/>
  <c r="K45" i="115" s="1"/>
  <c r="J46" i="115"/>
  <c r="K46" i="115" s="1"/>
  <c r="J47" i="115"/>
  <c r="J49" i="115"/>
  <c r="K49" i="115" s="1"/>
  <c r="J50" i="115"/>
  <c r="J51" i="115"/>
  <c r="K51" i="115" s="1"/>
  <c r="B64" i="115"/>
  <c r="J33" i="115"/>
  <c r="K33" i="115" s="1"/>
  <c r="K52" i="115" s="1"/>
  <c r="K54" i="115" s="1"/>
  <c r="K68" i="115" s="1"/>
  <c r="K70" i="115" s="1"/>
  <c r="J35" i="115"/>
  <c r="K35" i="115" s="1"/>
  <c r="J37" i="115"/>
  <c r="K37" i="115" s="1"/>
  <c r="J38" i="115"/>
  <c r="J41" i="115"/>
  <c r="K41" i="115" s="1"/>
  <c r="J44" i="115"/>
  <c r="K44" i="115" s="1"/>
  <c r="AX425" i="112"/>
  <c r="AW425" i="112"/>
  <c r="AV425" i="112"/>
  <c r="BB427" i="112"/>
  <c r="BA427" i="112"/>
  <c r="AZ427" i="112"/>
  <c r="AW435" i="112"/>
  <c r="K306" i="112"/>
  <c r="K1455" i="121" s="1"/>
  <c r="K381" i="112"/>
  <c r="BC427" i="112"/>
  <c r="AV435" i="112"/>
  <c r="P20" i="112"/>
  <c r="P1177" i="121" s="1"/>
  <c r="O100" i="112"/>
  <c r="O1257" i="121" s="1"/>
  <c r="AX431" i="112"/>
  <c r="AW431" i="112"/>
  <c r="AV431" i="112"/>
  <c r="BA435" i="112"/>
  <c r="AZ435" i="112"/>
  <c r="AJ456" i="112"/>
  <c r="O207" i="112"/>
  <c r="O212" i="112"/>
  <c r="K382" i="112"/>
  <c r="P239" i="112"/>
  <c r="K307" i="112"/>
  <c r="L265" i="112"/>
  <c r="AW437" i="112"/>
  <c r="AV437" i="112"/>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43" i="112"/>
  <c r="BB431" i="112"/>
  <c r="BA431" i="112"/>
  <c r="AZ431" i="112"/>
  <c r="AJ457" i="112"/>
  <c r="AZ436" i="112"/>
  <c r="BA436" i="112"/>
  <c r="J383" i="112"/>
  <c r="J1532" i="121" s="1"/>
  <c r="AI456" i="112"/>
  <c r="BB426" i="112"/>
  <c r="AZ426" i="112"/>
  <c r="BA426" i="112"/>
  <c r="AX427" i="112"/>
  <c r="AV427" i="112"/>
  <c r="AW427" i="112"/>
  <c r="BB429" i="112"/>
  <c r="BA429" i="112"/>
  <c r="AZ429" i="112"/>
  <c r="P207" i="112"/>
  <c r="AJ449" i="112"/>
  <c r="AY425" i="112"/>
  <c r="AY427" i="112"/>
  <c r="AY431" i="112"/>
  <c r="AI458" i="112"/>
  <c r="K383" i="112"/>
  <c r="AJ458" i="112"/>
  <c r="F14" i="111"/>
  <c r="D98" i="111"/>
  <c r="H98" i="111"/>
  <c r="R117" i="111"/>
  <c r="S117" i="11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E41" i="107" s="1"/>
  <c r="F40" i="107"/>
  <c r="F37" i="107" s="1"/>
  <c r="F124" i="107"/>
  <c r="M121" i="110" l="1"/>
  <c r="K115" i="110"/>
  <c r="B41" i="87"/>
  <c r="J758" i="121"/>
  <c r="M158" i="110"/>
  <c r="I726" i="121"/>
  <c r="I738" i="121" s="1"/>
  <c r="B28" i="87"/>
  <c r="B17" i="87"/>
  <c r="R23" i="111"/>
  <c r="R25" i="111"/>
  <c r="D31" i="111"/>
  <c r="C53" i="82"/>
  <c r="C731" i="121"/>
  <c r="M155" i="110"/>
  <c r="K156" i="110"/>
  <c r="O156" i="110"/>
  <c r="L152" i="110"/>
  <c r="O157" i="110"/>
  <c r="M49" i="110"/>
  <c r="M50" i="110" s="1"/>
  <c r="B715" i="121" s="1"/>
  <c r="M487" i="121"/>
  <c r="M488" i="121" s="1"/>
  <c r="B14" i="82"/>
  <c r="J176" i="107"/>
  <c r="J178" i="107" s="1"/>
  <c r="J180" i="107" s="1"/>
  <c r="B4" i="82"/>
  <c r="I104" i="121"/>
  <c r="C18" i="100"/>
  <c r="L34" i="106"/>
  <c r="I61" i="106"/>
  <c r="J35" i="111"/>
  <c r="R39" i="111"/>
  <c r="R24" i="111"/>
  <c r="R34" i="111"/>
  <c r="R37" i="111"/>
  <c r="R29" i="111"/>
  <c r="R31" i="111"/>
  <c r="G34" i="86"/>
  <c r="C764" i="121"/>
  <c r="R33" i="111"/>
  <c r="R36" i="111"/>
  <c r="C54" i="86"/>
  <c r="F764" i="121"/>
  <c r="I34" i="86"/>
  <c r="E764" i="121"/>
  <c r="E34" i="86"/>
  <c r="K732" i="121"/>
  <c r="D34" i="86"/>
  <c r="J732" i="121"/>
  <c r="F14" i="86"/>
  <c r="E732" i="121"/>
  <c r="F34" i="86"/>
  <c r="B764" i="121"/>
  <c r="I14" i="86"/>
  <c r="H732" i="121"/>
  <c r="H14" i="86"/>
  <c r="G732" i="121"/>
  <c r="G14" i="86"/>
  <c r="F732" i="121"/>
  <c r="H34" i="86"/>
  <c r="D764" i="121"/>
  <c r="R32" i="111"/>
  <c r="R40" i="111"/>
  <c r="R28" i="111"/>
  <c r="R38" i="111"/>
  <c r="R30" i="111"/>
  <c r="R27" i="111"/>
  <c r="C34" i="86"/>
  <c r="I732" i="121"/>
  <c r="R35" i="111"/>
  <c r="I47" i="106" s="1"/>
  <c r="I90" i="121" s="1"/>
  <c r="E14" i="86"/>
  <c r="D732" i="121"/>
  <c r="D14" i="86"/>
  <c r="C732" i="121"/>
  <c r="C14" i="86"/>
  <c r="B732" i="121"/>
  <c r="R26" i="111"/>
  <c r="B44" i="111"/>
  <c r="B744" i="121" s="1"/>
  <c r="R22" i="111"/>
  <c r="R21" i="111"/>
  <c r="E26" i="87"/>
  <c r="H759" i="121"/>
  <c r="H767" i="121" s="1"/>
  <c r="H67" i="111"/>
  <c r="E11" i="87"/>
  <c r="C727" i="121"/>
  <c r="C735" i="121" s="1"/>
  <c r="C35" i="111"/>
  <c r="K67" i="111"/>
  <c r="E29" i="87"/>
  <c r="K759" i="121"/>
  <c r="K767" i="121" s="1"/>
  <c r="E14" i="87"/>
  <c r="F727" i="121"/>
  <c r="F735" i="121" s="1"/>
  <c r="E35" i="87"/>
  <c r="G791" i="121"/>
  <c r="G798" i="121" s="1"/>
  <c r="G98" i="111"/>
  <c r="E27" i="87"/>
  <c r="I759" i="121"/>
  <c r="I767" i="121" s="1"/>
  <c r="I67" i="111"/>
  <c r="E43" i="87"/>
  <c r="E821" i="121"/>
  <c r="E828" i="121" s="1"/>
  <c r="E128" i="111"/>
  <c r="E22" i="87"/>
  <c r="D759" i="121"/>
  <c r="D767" i="121" s="1"/>
  <c r="D67" i="111"/>
  <c r="E42" i="87"/>
  <c r="D821" i="121"/>
  <c r="D828" i="121" s="1"/>
  <c r="D128" i="111"/>
  <c r="G67" i="111"/>
  <c r="E25" i="87"/>
  <c r="G759" i="121"/>
  <c r="G767" i="121" s="1"/>
  <c r="B35" i="111"/>
  <c r="E10" i="87"/>
  <c r="B727" i="121"/>
  <c r="B735" i="121" s="1"/>
  <c r="B41" i="111"/>
  <c r="C41" i="111" s="1"/>
  <c r="E31" i="87"/>
  <c r="C791" i="121"/>
  <c r="C798" i="121" s="1"/>
  <c r="C98" i="111"/>
  <c r="E17" i="87"/>
  <c r="I727" i="121"/>
  <c r="I735" i="121" s="1"/>
  <c r="I35" i="111"/>
  <c r="E38" i="87"/>
  <c r="J791" i="121"/>
  <c r="J798" i="121" s="1"/>
  <c r="J98" i="111"/>
  <c r="E23" i="87"/>
  <c r="E759" i="121"/>
  <c r="E767" i="121" s="1"/>
  <c r="E67" i="111"/>
  <c r="E20" i="87"/>
  <c r="B759" i="121"/>
  <c r="B767" i="121" s="1"/>
  <c r="B67" i="111"/>
  <c r="F35" i="111"/>
  <c r="E37" i="87"/>
  <c r="I791" i="121"/>
  <c r="I798" i="121" s="1"/>
  <c r="I98" i="111"/>
  <c r="E19" i="87"/>
  <c r="K727" i="121"/>
  <c r="K735" i="121" s="1"/>
  <c r="K35" i="111"/>
  <c r="E36" i="87"/>
  <c r="H791" i="121"/>
  <c r="H798" i="121" s="1"/>
  <c r="C67" i="111"/>
  <c r="E21" i="87"/>
  <c r="C759" i="121"/>
  <c r="C767" i="121" s="1"/>
  <c r="E41" i="87"/>
  <c r="C821" i="121"/>
  <c r="C828" i="121" s="1"/>
  <c r="C128" i="111"/>
  <c r="E28" i="87"/>
  <c r="J759" i="121"/>
  <c r="J767" i="121" s="1"/>
  <c r="J67" i="111"/>
  <c r="E13" i="87"/>
  <c r="E727" i="121"/>
  <c r="E735" i="121" s="1"/>
  <c r="E35" i="111"/>
  <c r="E34" i="87"/>
  <c r="F791" i="121"/>
  <c r="F798" i="121" s="1"/>
  <c r="F98" i="111"/>
  <c r="E16" i="87"/>
  <c r="H727" i="121"/>
  <c r="H735" i="121" s="1"/>
  <c r="H35" i="111"/>
  <c r="E40" i="87"/>
  <c r="B821" i="121"/>
  <c r="B828" i="121" s="1"/>
  <c r="B128" i="111"/>
  <c r="E33" i="87"/>
  <c r="E791" i="121"/>
  <c r="E798" i="121" s="1"/>
  <c r="E98" i="111"/>
  <c r="E15" i="87"/>
  <c r="G727" i="121"/>
  <c r="G735" i="121" s="1"/>
  <c r="G35" i="111"/>
  <c r="E32" i="87"/>
  <c r="D791" i="121"/>
  <c r="D798" i="121" s="1"/>
  <c r="E18" i="87"/>
  <c r="J727" i="121"/>
  <c r="J735" i="121" s="1"/>
  <c r="E39" i="87"/>
  <c r="K791" i="121"/>
  <c r="K798" i="121" s="1"/>
  <c r="K98" i="111"/>
  <c r="E24" i="87"/>
  <c r="F759" i="121"/>
  <c r="F767" i="121" s="1"/>
  <c r="F67" i="111"/>
  <c r="E44" i="87"/>
  <c r="F821" i="121"/>
  <c r="F828" i="121" s="1"/>
  <c r="F128" i="111"/>
  <c r="E30" i="87"/>
  <c r="B791" i="121"/>
  <c r="B798" i="121" s="1"/>
  <c r="B98" i="111"/>
  <c r="E12" i="87"/>
  <c r="D727" i="121"/>
  <c r="D735" i="121" s="1"/>
  <c r="D35" i="111"/>
  <c r="F758" i="121"/>
  <c r="F766" i="121" s="1"/>
  <c r="F65" i="82"/>
  <c r="B24" i="87"/>
  <c r="G790" i="121"/>
  <c r="G801" i="121" s="1"/>
  <c r="B65" i="82"/>
  <c r="B20" i="87"/>
  <c r="B44" i="87"/>
  <c r="F820" i="121"/>
  <c r="B43" i="87"/>
  <c r="E820" i="121"/>
  <c r="D65" i="82"/>
  <c r="B22" i="87"/>
  <c r="D758" i="121"/>
  <c r="B36" i="87"/>
  <c r="H790" i="121"/>
  <c r="B21" i="87"/>
  <c r="C65" i="82"/>
  <c r="C758" i="121"/>
  <c r="B40" i="87"/>
  <c r="B820" i="121"/>
  <c r="I65" i="82"/>
  <c r="B27" i="87"/>
  <c r="I758" i="121"/>
  <c r="B16" i="87"/>
  <c r="H45" i="82"/>
  <c r="H726" i="121"/>
  <c r="B37" i="87"/>
  <c r="I790" i="121"/>
  <c r="K45" i="82"/>
  <c r="B19" i="87"/>
  <c r="K726" i="121"/>
  <c r="B32" i="87"/>
  <c r="D790" i="121"/>
  <c r="B18" i="87"/>
  <c r="J45" i="82"/>
  <c r="J726" i="121"/>
  <c r="B30" i="87"/>
  <c r="B790" i="121"/>
  <c r="J766" i="121"/>
  <c r="B38" i="87"/>
  <c r="J790" i="121"/>
  <c r="E65" i="82"/>
  <c r="B23" i="87"/>
  <c r="E758" i="121"/>
  <c r="D45" i="82"/>
  <c r="B12" i="87"/>
  <c r="D726" i="121"/>
  <c r="K797" i="121"/>
  <c r="K801" i="121"/>
  <c r="B33" i="87"/>
  <c r="E790" i="121"/>
  <c r="B15" i="87"/>
  <c r="G45" i="82"/>
  <c r="G726" i="121"/>
  <c r="E734" i="121"/>
  <c r="E738" i="121"/>
  <c r="K65" i="82"/>
  <c r="B29" i="87"/>
  <c r="K758" i="121"/>
  <c r="F45" i="82"/>
  <c r="B14" i="87"/>
  <c r="F726" i="121"/>
  <c r="C797" i="121"/>
  <c r="B34" i="87"/>
  <c r="F790" i="121"/>
  <c r="C827" i="121"/>
  <c r="B26" i="87"/>
  <c r="H65" i="82"/>
  <c r="H758" i="121"/>
  <c r="B11" i="87"/>
  <c r="C45" i="82"/>
  <c r="C726" i="121"/>
  <c r="B766" i="121"/>
  <c r="B770" i="121"/>
  <c r="B42" i="87"/>
  <c r="D820" i="121"/>
  <c r="B25" i="87"/>
  <c r="G65" i="82"/>
  <c r="G758" i="121"/>
  <c r="B45" i="82"/>
  <c r="B10" i="87"/>
  <c r="B726" i="121"/>
  <c r="C75" i="100"/>
  <c r="B40" i="111"/>
  <c r="C40" i="111" s="1"/>
  <c r="AV433" i="112"/>
  <c r="J378" i="112"/>
  <c r="J1400" i="121"/>
  <c r="O238" i="112"/>
  <c r="O1326" i="121"/>
  <c r="O1278" i="121"/>
  <c r="AX429" i="112"/>
  <c r="AY429" i="112"/>
  <c r="AV429" i="112"/>
  <c r="AW429" i="112"/>
  <c r="O55" i="112"/>
  <c r="O1212" i="121" s="1"/>
  <c r="O1235" i="121"/>
  <c r="L1194" i="121"/>
  <c r="Q1201" i="121"/>
  <c r="O20" i="112"/>
  <c r="O1177" i="121" s="1"/>
  <c r="P310" i="112"/>
  <c r="P1364" i="121"/>
  <c r="J310" i="112"/>
  <c r="O1364" i="121"/>
  <c r="J1459" i="121" s="1"/>
  <c r="N28" i="121"/>
  <c r="Q672" i="121"/>
  <c r="N670" i="121" s="1"/>
  <c r="P4" i="110"/>
  <c r="O28" i="121"/>
  <c r="P442" i="121"/>
  <c r="P141" i="112"/>
  <c r="P1300" i="121"/>
  <c r="AZ442" i="112"/>
  <c r="P1480" i="121"/>
  <c r="O141" i="112"/>
  <c r="O1300" i="121"/>
  <c r="A123" i="110"/>
  <c r="O1488" i="121"/>
  <c r="R1488" i="121" s="1"/>
  <c r="A561" i="121"/>
  <c r="M115" i="110"/>
  <c r="P94" i="110"/>
  <c r="O121" i="110"/>
  <c r="O118" i="110"/>
  <c r="P167" i="110"/>
  <c r="P56" i="110"/>
  <c r="J25" i="95" s="1"/>
  <c r="N100" i="110"/>
  <c r="P162" i="110"/>
  <c r="P108" i="110"/>
  <c r="N121" i="110"/>
  <c r="N118" i="110"/>
  <c r="P114" i="110"/>
  <c r="M151" i="110"/>
  <c r="Q689" i="121"/>
  <c r="P671" i="121"/>
  <c r="O375" i="112"/>
  <c r="O1524" i="121" s="1"/>
  <c r="K1524" i="121" s="1"/>
  <c r="J1527" i="121"/>
  <c r="Q27" i="112"/>
  <c r="Q1184" i="121"/>
  <c r="O310" i="112"/>
  <c r="O1459" i="121" s="1"/>
  <c r="L1459" i="121" s="1"/>
  <c r="E10" i="112"/>
  <c r="H183" i="110"/>
  <c r="H621" i="121" s="1"/>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Q232" i="110"/>
  <c r="B21" i="111" s="1"/>
  <c r="AH449" i="112"/>
  <c r="K43" i="115"/>
  <c r="K38" i="115"/>
  <c r="K47" i="115"/>
  <c r="K42" i="115"/>
  <c r="K34" i="115"/>
  <c r="K50" i="115"/>
  <c r="BC424" i="112"/>
  <c r="BB424" i="112"/>
  <c r="BA424" i="112"/>
  <c r="AZ424" i="112"/>
  <c r="AV442" i="112"/>
  <c r="R331" i="112"/>
  <c r="J306" i="112"/>
  <c r="J1455" i="121" s="1"/>
  <c r="J381" i="112"/>
  <c r="AX428" i="112"/>
  <c r="AW428" i="112"/>
  <c r="AV428" i="112"/>
  <c r="AY428" i="112"/>
  <c r="K380"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Q165" i="110"/>
  <c r="Q603" i="121" s="1"/>
  <c r="P141" i="110"/>
  <c r="K152" i="110"/>
  <c r="P171" i="110"/>
  <c r="P161" i="110"/>
  <c r="K168" i="110"/>
  <c r="M63" i="110"/>
  <c r="P153" i="110"/>
  <c r="P97" i="110"/>
  <c r="K155" i="110"/>
  <c r="K131" i="110"/>
  <c r="P132" i="110"/>
  <c r="P143" i="110"/>
  <c r="K154" i="110"/>
  <c r="P154" i="110" s="1"/>
  <c r="P163" i="110"/>
  <c r="P66" i="110"/>
  <c r="P144" i="110"/>
  <c r="P104" i="110"/>
  <c r="P64" i="110"/>
  <c r="Q169" i="110" s="1"/>
  <c r="Q607" i="121" s="1"/>
  <c r="N63" i="110"/>
  <c r="N157" i="110"/>
  <c r="P135" i="110"/>
  <c r="K158" i="110"/>
  <c r="L118" i="110"/>
  <c r="O168" i="110"/>
  <c r="O170" i="110" s="1"/>
  <c r="O172" i="110" s="1"/>
  <c r="P58" i="110"/>
  <c r="J27" i="95" s="1"/>
  <c r="P142" i="110"/>
  <c r="K125" i="110"/>
  <c r="P105" i="110"/>
  <c r="Q161" i="110"/>
  <c r="Q599" i="121" s="1"/>
  <c r="L125" i="110"/>
  <c r="L156" i="110"/>
  <c r="M156" i="110"/>
  <c r="M125" i="110"/>
  <c r="O151" i="110"/>
  <c r="P116" i="110"/>
  <c r="K151" i="110"/>
  <c r="P140" i="110"/>
  <c r="AD108" i="107" s="1"/>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G37" i="107"/>
  <c r="AY424" i="112" l="1"/>
  <c r="AV424" i="112"/>
  <c r="AX424" i="112"/>
  <c r="AW424" i="112"/>
  <c r="I734" i="121"/>
  <c r="G797" i="121"/>
  <c r="B15" i="82"/>
  <c r="J183" i="107"/>
  <c r="E31" i="111"/>
  <c r="D53" i="82"/>
  <c r="D731" i="121"/>
  <c r="P152" i="110"/>
  <c r="P621" i="121"/>
  <c r="B15" i="111"/>
  <c r="B16" i="111" s="1"/>
  <c r="P183" i="110"/>
  <c r="P94" i="121"/>
  <c r="P95" i="121"/>
  <c r="I105" i="121"/>
  <c r="P52" i="106"/>
  <c r="P51" i="106"/>
  <c r="I62" i="106"/>
  <c r="P47" i="106" s="1"/>
  <c r="P90" i="121" s="1"/>
  <c r="L77" i="121"/>
  <c r="L78" i="121" s="1"/>
  <c r="L35" i="106"/>
  <c r="C801" i="121"/>
  <c r="F770" i="121"/>
  <c r="C44" i="111"/>
  <c r="J770" i="121"/>
  <c r="C831" i="121"/>
  <c r="C741" i="121"/>
  <c r="D41" i="111"/>
  <c r="C11" i="86"/>
  <c r="D11" i="86"/>
  <c r="B741" i="121"/>
  <c r="C740" i="121"/>
  <c r="D40" i="111"/>
  <c r="F797" i="121"/>
  <c r="F801" i="121"/>
  <c r="F734" i="121"/>
  <c r="F738" i="121"/>
  <c r="K766" i="121"/>
  <c r="K770" i="121"/>
  <c r="E770" i="121"/>
  <c r="E766" i="121"/>
  <c r="D797" i="121"/>
  <c r="D801" i="121"/>
  <c r="G766" i="121"/>
  <c r="G770" i="121"/>
  <c r="K738" i="121"/>
  <c r="K734" i="121"/>
  <c r="B827" i="121"/>
  <c r="B831" i="121"/>
  <c r="F831" i="121"/>
  <c r="F827" i="121"/>
  <c r="D10" i="86"/>
  <c r="C10" i="86"/>
  <c r="B740" i="121"/>
  <c r="C738" i="121"/>
  <c r="C734" i="121"/>
  <c r="H766" i="121"/>
  <c r="H770" i="121"/>
  <c r="G738" i="121"/>
  <c r="G734" i="121"/>
  <c r="D734" i="121"/>
  <c r="D738" i="121"/>
  <c r="I801" i="121"/>
  <c r="I797" i="121"/>
  <c r="C766" i="121"/>
  <c r="C770" i="121"/>
  <c r="D766" i="121"/>
  <c r="D770" i="121"/>
  <c r="E827" i="121"/>
  <c r="E831" i="121"/>
  <c r="J801" i="121"/>
  <c r="J797" i="121"/>
  <c r="I766" i="121"/>
  <c r="I770" i="121"/>
  <c r="D827" i="121"/>
  <c r="D831" i="121"/>
  <c r="E797" i="121"/>
  <c r="E801" i="121"/>
  <c r="B801" i="121"/>
  <c r="B797" i="121"/>
  <c r="J734" i="121"/>
  <c r="J738" i="121"/>
  <c r="H738" i="121"/>
  <c r="H734" i="121"/>
  <c r="H797" i="121"/>
  <c r="H801" i="121"/>
  <c r="O1395" i="121"/>
  <c r="L1395" i="121" s="1"/>
  <c r="O239" i="112"/>
  <c r="O1396" i="121" s="1"/>
  <c r="L238" i="112"/>
  <c r="AW436" i="112"/>
  <c r="J307" i="112"/>
  <c r="J1456" i="121" s="1"/>
  <c r="N228" i="112"/>
  <c r="AV436" i="112"/>
  <c r="J382" i="112"/>
  <c r="J1531" i="121" s="1"/>
  <c r="J303" i="112"/>
  <c r="AI457" i="112"/>
  <c r="K375" i="112"/>
  <c r="J380" i="112"/>
  <c r="J1529" i="121" s="1"/>
  <c r="J1530" i="121"/>
  <c r="P303" i="112"/>
  <c r="P1459" i="121"/>
  <c r="O1298" i="121"/>
  <c r="AY430" i="112"/>
  <c r="AV430" i="112"/>
  <c r="AW430" i="112"/>
  <c r="AX430" i="112"/>
  <c r="P1298" i="121"/>
  <c r="BC430" i="112"/>
  <c r="BB430" i="112"/>
  <c r="BB449" i="112" s="1"/>
  <c r="BA430" i="112"/>
  <c r="AZ430" i="112"/>
  <c r="Q166" i="110"/>
  <c r="Q604" i="121" s="1"/>
  <c r="P121" i="110"/>
  <c r="Q171" i="110"/>
  <c r="Q609" i="121" s="1"/>
  <c r="F57" i="89"/>
  <c r="F240" i="121"/>
  <c r="B721" i="121"/>
  <c r="F241" i="121"/>
  <c r="P118" i="110"/>
  <c r="B716" i="121"/>
  <c r="B717" i="121" s="1"/>
  <c r="B720" i="121" s="1"/>
  <c r="B725" i="121" s="1"/>
  <c r="B733" i="121" s="1"/>
  <c r="L310" i="112"/>
  <c r="O303" i="112"/>
  <c r="O1452" i="121" s="1"/>
  <c r="K1452" i="121" s="1"/>
  <c r="AF108" i="107"/>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F131" i="107"/>
  <c r="F130" i="107"/>
  <c r="C21" i="111"/>
  <c r="E21" i="111"/>
  <c r="F21" i="111"/>
  <c r="D21" i="111"/>
  <c r="BA438" i="112"/>
  <c r="BA449" i="112" s="1"/>
  <c r="AZ438" i="112"/>
  <c r="P286" i="112"/>
  <c r="AV438" i="112"/>
  <c r="O286" i="112"/>
  <c r="I286" i="112"/>
  <c r="AW438" i="112"/>
  <c r="E274" i="112"/>
  <c r="BC449" i="112"/>
  <c r="AY446" i="112"/>
  <c r="AX446" i="112"/>
  <c r="AX449" i="112" s="1"/>
  <c r="I368" i="112"/>
  <c r="H14" i="111"/>
  <c r="G21" i="111"/>
  <c r="G15" i="111"/>
  <c r="Q167" i="110"/>
  <c r="Q605" i="121" s="1"/>
  <c r="P157" i="110"/>
  <c r="K65" i="110"/>
  <c r="P63" i="110"/>
  <c r="Q164" i="110"/>
  <c r="Q602" i="121" s="1"/>
  <c r="K170" i="110"/>
  <c r="P168" i="110"/>
  <c r="Q163" i="110"/>
  <c r="Q601" i="121" s="1"/>
  <c r="P125" i="110"/>
  <c r="P131" i="110"/>
  <c r="P155" i="110"/>
  <c r="P111" i="110"/>
  <c r="P158" i="110"/>
  <c r="F31" i="111" l="1"/>
  <c r="E53" i="82"/>
  <c r="E731" i="121"/>
  <c r="F15" i="111"/>
  <c r="E15" i="111"/>
  <c r="C15" i="111"/>
  <c r="C52" i="100"/>
  <c r="D15" i="111"/>
  <c r="M76" i="110"/>
  <c r="B738" i="121"/>
  <c r="B734" i="121"/>
  <c r="P53" i="106"/>
  <c r="P96" i="121"/>
  <c r="C744" i="121"/>
  <c r="D44" i="111"/>
  <c r="D741" i="121"/>
  <c r="E41" i="111"/>
  <c r="E11" i="86"/>
  <c r="D740" i="121"/>
  <c r="E40" i="111"/>
  <c r="E10" i="86"/>
  <c r="AY449" i="112"/>
  <c r="P1452" i="121"/>
  <c r="AZ440" i="112"/>
  <c r="AJ459" i="112"/>
  <c r="AZ439" i="112"/>
  <c r="P1435" i="121"/>
  <c r="AV439" i="112"/>
  <c r="O1435" i="121"/>
  <c r="AW449" i="112"/>
  <c r="M79" i="110"/>
  <c r="H7" i="100"/>
  <c r="M88" i="110"/>
  <c r="O85" i="110"/>
  <c r="N76" i="110"/>
  <c r="L73" i="110"/>
  <c r="N175" i="110"/>
  <c r="N613" i="121" s="1"/>
  <c r="N79" i="110"/>
  <c r="N88" i="110"/>
  <c r="N73" i="110"/>
  <c r="L82" i="110"/>
  <c r="L175" i="110"/>
  <c r="L613" i="121" s="1"/>
  <c r="AV440" i="112"/>
  <c r="K238" i="112"/>
  <c r="K303" i="112"/>
  <c r="J265" i="112"/>
  <c r="AI459" i="112"/>
  <c r="O82" i="110"/>
  <c r="O79" i="110"/>
  <c r="Q246" i="110"/>
  <c r="Q247" i="110" s="1"/>
  <c r="Q238" i="110" s="1"/>
  <c r="B723" i="121" s="1"/>
  <c r="B739" i="121" s="1"/>
  <c r="P246" i="110"/>
  <c r="O76" i="110"/>
  <c r="E13" i="100"/>
  <c r="J32" i="95"/>
  <c r="O70" i="110"/>
  <c r="O175" i="110"/>
  <c r="O613" i="121" s="1"/>
  <c r="M85" i="110"/>
  <c r="M73" i="110"/>
  <c r="M82" i="110"/>
  <c r="M70" i="110"/>
  <c r="N82" i="110"/>
  <c r="N70" i="110"/>
  <c r="AD111" i="107"/>
  <c r="AD113" i="107"/>
  <c r="O88" i="110"/>
  <c r="L76" i="110"/>
  <c r="L85" i="110"/>
  <c r="L88" i="110"/>
  <c r="L79" i="110"/>
  <c r="C53" i="100"/>
  <c r="E16" i="111"/>
  <c r="C16" i="111"/>
  <c r="F16" i="111"/>
  <c r="G16" i="111"/>
  <c r="G17" i="111" s="1"/>
  <c r="G20" i="111" s="1"/>
  <c r="D16" i="111"/>
  <c r="B17" i="111"/>
  <c r="AF111" i="107"/>
  <c r="AZ449" i="112"/>
  <c r="P407" i="112" s="1"/>
  <c r="I14" i="111"/>
  <c r="H21" i="111"/>
  <c r="H15" i="111"/>
  <c r="H16" i="111"/>
  <c r="K172" i="110"/>
  <c r="P172" i="110" s="1"/>
  <c r="P170" i="110"/>
  <c r="P247" i="110"/>
  <c r="K67" i="110"/>
  <c r="P65" i="110"/>
  <c r="E17" i="111" l="1"/>
  <c r="E20" i="111" s="1"/>
  <c r="G31" i="111"/>
  <c r="F53" i="82"/>
  <c r="F731" i="121"/>
  <c r="C17" i="111"/>
  <c r="C20" i="111" s="1"/>
  <c r="D17" i="111"/>
  <c r="D20" i="111" s="1"/>
  <c r="D744" i="121"/>
  <c r="E44" i="111"/>
  <c r="E741" i="121"/>
  <c r="F41" i="111"/>
  <c r="F11" i="86"/>
  <c r="E740" i="121"/>
  <c r="F40" i="111"/>
  <c r="F10" i="86"/>
  <c r="AV449" i="112"/>
  <c r="O407" i="112" s="1"/>
  <c r="O6" i="112" s="1"/>
  <c r="P6" i="112"/>
  <c r="P1556" i="121"/>
  <c r="P1163" i="121" s="1"/>
  <c r="P277" i="121"/>
  <c r="P278" i="121" s="1"/>
  <c r="P280" i="121" s="1"/>
  <c r="F158" i="121"/>
  <c r="F167" i="121"/>
  <c r="J159" i="121"/>
  <c r="J168" i="121"/>
  <c r="J277" i="121"/>
  <c r="J278" i="121" s="1"/>
  <c r="J280" i="121" s="1"/>
  <c r="F159" i="121"/>
  <c r="F168" i="121"/>
  <c r="M167" i="107"/>
  <c r="M168" i="107" s="1"/>
  <c r="M170" i="107" s="1"/>
  <c r="M277" i="121"/>
  <c r="M278" i="121" s="1"/>
  <c r="M280" i="121" s="1"/>
  <c r="E174" i="90"/>
  <c r="F49" i="107"/>
  <c r="F58" i="107"/>
  <c r="F17" i="111"/>
  <c r="F20" i="111" s="1"/>
  <c r="K179" i="110"/>
  <c r="J49" i="107"/>
  <c r="J58" i="107"/>
  <c r="K6" i="111"/>
  <c r="L4" i="95"/>
  <c r="B20" i="111"/>
  <c r="C54" i="100"/>
  <c r="J4" i="91"/>
  <c r="K8" i="111"/>
  <c r="AF113" i="107"/>
  <c r="AF115" i="107" s="1"/>
  <c r="E109" i="107" s="1"/>
  <c r="I109" i="107" s="1"/>
  <c r="AD115" i="107"/>
  <c r="P167" i="107"/>
  <c r="P168" i="107" s="1"/>
  <c r="P170" i="107" s="1"/>
  <c r="F48" i="107"/>
  <c r="K147" i="112"/>
  <c r="K1304" i="121" s="1"/>
  <c r="F57" i="107"/>
  <c r="J167" i="107"/>
  <c r="J168" i="107" s="1"/>
  <c r="B23" i="111"/>
  <c r="C13" i="86" s="1"/>
  <c r="H17" i="111"/>
  <c r="H20" i="111" s="1"/>
  <c r="J14" i="111"/>
  <c r="I15" i="111"/>
  <c r="I21" i="111"/>
  <c r="I16" i="111"/>
  <c r="Q239" i="110"/>
  <c r="N239" i="110"/>
  <c r="Q251" i="110"/>
  <c r="P67" i="110"/>
  <c r="Q234" i="110" s="1"/>
  <c r="N232" i="110" s="1"/>
  <c r="K175" i="110"/>
  <c r="K613" i="121" s="1"/>
  <c r="K85" i="110"/>
  <c r="K73" i="110"/>
  <c r="K82" i="110"/>
  <c r="K70" i="110"/>
  <c r="K76" i="110"/>
  <c r="K79" i="110"/>
  <c r="K88" i="110"/>
  <c r="B39" i="111" l="1"/>
  <c r="H31" i="111"/>
  <c r="G53" i="82"/>
  <c r="G731" i="121"/>
  <c r="E744" i="121"/>
  <c r="F44" i="111"/>
  <c r="F741" i="121"/>
  <c r="G41" i="111"/>
  <c r="G11" i="86"/>
  <c r="F740" i="121"/>
  <c r="G40" i="111"/>
  <c r="G10" i="86"/>
  <c r="O1556" i="121"/>
  <c r="O1163" i="121" s="1"/>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C39" i="111" s="1"/>
  <c r="F23" i="111"/>
  <c r="F39" i="111" s="1"/>
  <c r="D23" i="111"/>
  <c r="D39" i="111" s="1"/>
  <c r="E23" i="111"/>
  <c r="E39" i="111" s="1"/>
  <c r="G23" i="111"/>
  <c r="G39" i="111" s="1"/>
  <c r="B25" i="111"/>
  <c r="H23" i="111"/>
  <c r="H39" i="111" s="1"/>
  <c r="I23" i="111"/>
  <c r="C33" i="86" s="1"/>
  <c r="K14" i="111"/>
  <c r="J23" i="111"/>
  <c r="D33" i="86" s="1"/>
  <c r="J21" i="111"/>
  <c r="J15" i="111"/>
  <c r="J16" i="111"/>
  <c r="I17" i="111"/>
  <c r="I20" i="111" s="1"/>
  <c r="K243" i="110"/>
  <c r="K244" i="110"/>
  <c r="K242" i="110"/>
  <c r="O225" i="110"/>
  <c r="J115" i="110"/>
  <c r="K241" i="110"/>
  <c r="J118" i="110"/>
  <c r="K239" i="110"/>
  <c r="K240" i="110"/>
  <c r="J121" i="110"/>
  <c r="J50" i="110"/>
  <c r="J49" i="110"/>
  <c r="O226" i="110"/>
  <c r="P70" i="110"/>
  <c r="P73" i="110"/>
  <c r="P85" i="110"/>
  <c r="P233" i="110"/>
  <c r="P82" i="110"/>
  <c r="P79" i="110"/>
  <c r="P88" i="110"/>
  <c r="P76" i="110"/>
  <c r="D34" i="90"/>
  <c r="D33" i="90"/>
  <c r="D35" i="90"/>
  <c r="F53" i="89"/>
  <c r="H16" i="85"/>
  <c r="I39" i="111" l="1"/>
  <c r="I31" i="111"/>
  <c r="H53" i="82"/>
  <c r="H731" i="121"/>
  <c r="B34" i="111"/>
  <c r="B38" i="111"/>
  <c r="F744" i="121"/>
  <c r="G44" i="111"/>
  <c r="G741" i="121"/>
  <c r="H41" i="111"/>
  <c r="I11" i="86" s="1"/>
  <c r="H11" i="86"/>
  <c r="G740" i="121"/>
  <c r="H40" i="111"/>
  <c r="H10" i="86"/>
  <c r="AF122" i="107"/>
  <c r="AH122" i="107" s="1"/>
  <c r="I25" i="111"/>
  <c r="B33" i="111"/>
  <c r="C9" i="86" s="1"/>
  <c r="B44" i="82"/>
  <c r="F25" i="111"/>
  <c r="G13" i="86"/>
  <c r="G25" i="111"/>
  <c r="H13" i="86"/>
  <c r="C25" i="111"/>
  <c r="D13" i="86"/>
  <c r="E25" i="111"/>
  <c r="F13" i="86"/>
  <c r="H25" i="111"/>
  <c r="I13" i="86"/>
  <c r="D25" i="111"/>
  <c r="E13" i="86"/>
  <c r="AF125" i="107"/>
  <c r="AH125" i="107" s="1"/>
  <c r="M74" i="112"/>
  <c r="M76" i="112" s="1"/>
  <c r="O76" i="112"/>
  <c r="J74" i="112"/>
  <c r="J17" i="111"/>
  <c r="J20" i="111" s="1"/>
  <c r="J25" i="111" s="1"/>
  <c r="B46" i="111"/>
  <c r="K15" i="111"/>
  <c r="K21"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J39" i="111" l="1"/>
  <c r="J31" i="111"/>
  <c r="I53" i="82"/>
  <c r="I731" i="121"/>
  <c r="J34" i="111"/>
  <c r="J38" i="111"/>
  <c r="I34" i="111"/>
  <c r="I38" i="111"/>
  <c r="H38" i="111"/>
  <c r="H34" i="111"/>
  <c r="C34" i="111"/>
  <c r="C38" i="111"/>
  <c r="F38" i="111"/>
  <c r="F34" i="111"/>
  <c r="D38" i="111"/>
  <c r="D34" i="111"/>
  <c r="E38" i="111"/>
  <c r="E34" i="111"/>
  <c r="G34" i="111"/>
  <c r="G38" i="111"/>
  <c r="G744" i="121"/>
  <c r="H44" i="111"/>
  <c r="H741" i="121"/>
  <c r="I41" i="111"/>
  <c r="H740" i="121"/>
  <c r="I40" i="111"/>
  <c r="S21" i="111"/>
  <c r="I10" i="86"/>
  <c r="J1231" i="121"/>
  <c r="J76" i="112"/>
  <c r="J1233" i="121" s="1"/>
  <c r="J33" i="111"/>
  <c r="J44" i="82"/>
  <c r="H33" i="111"/>
  <c r="I9" i="86" s="1"/>
  <c r="H44" i="82"/>
  <c r="C33" i="111"/>
  <c r="C44" i="82"/>
  <c r="F33" i="111"/>
  <c r="G9" i="86" s="1"/>
  <c r="F44" i="82"/>
  <c r="D33" i="111"/>
  <c r="E9" i="86" s="1"/>
  <c r="D44" i="82"/>
  <c r="E33" i="111"/>
  <c r="F9" i="86" s="1"/>
  <c r="E44" i="82"/>
  <c r="G33" i="111"/>
  <c r="H9" i="86" s="1"/>
  <c r="G44" i="82"/>
  <c r="E127" i="107"/>
  <c r="A127" i="107" s="1"/>
  <c r="I33" i="111"/>
  <c r="C29" i="86" s="1"/>
  <c r="I44" i="82"/>
  <c r="C46" i="111"/>
  <c r="B55" i="111"/>
  <c r="F33" i="86" s="1"/>
  <c r="B53" i="111"/>
  <c r="B47" i="111"/>
  <c r="B48" i="111"/>
  <c r="K17" i="111"/>
  <c r="K20" i="111" s="1"/>
  <c r="K25" i="111" s="1"/>
  <c r="K39" i="111" l="1"/>
  <c r="K31" i="111"/>
  <c r="K33" i="111" s="1"/>
  <c r="E29" i="86" s="1"/>
  <c r="J53" i="82"/>
  <c r="J731" i="121"/>
  <c r="K34" i="111"/>
  <c r="K38" i="111"/>
  <c r="H744" i="121"/>
  <c r="I44" i="111"/>
  <c r="I741" i="121"/>
  <c r="J41" i="111"/>
  <c r="C31" i="86"/>
  <c r="I740" i="121"/>
  <c r="J40" i="111"/>
  <c r="C30" i="86"/>
  <c r="K44" i="82"/>
  <c r="D9" i="86"/>
  <c r="S28" i="111"/>
  <c r="S23" i="111"/>
  <c r="S26" i="111"/>
  <c r="S25" i="111"/>
  <c r="S24" i="111"/>
  <c r="S27" i="111"/>
  <c r="S22" i="111"/>
  <c r="S29" i="111"/>
  <c r="D29" i="86"/>
  <c r="B49" i="111"/>
  <c r="B52" i="111" s="1"/>
  <c r="B57" i="111" s="1"/>
  <c r="D46" i="111"/>
  <c r="C47" i="111"/>
  <c r="C53" i="111"/>
  <c r="C55" i="111"/>
  <c r="G33" i="86" s="1"/>
  <c r="C48" i="111"/>
  <c r="B71" i="111" l="1"/>
  <c r="B63" i="111"/>
  <c r="B65" i="111" s="1"/>
  <c r="F29" i="86" s="1"/>
  <c r="K53" i="82"/>
  <c r="K731" i="121"/>
  <c r="B70" i="111"/>
  <c r="B66" i="111"/>
  <c r="I744" i="121"/>
  <c r="J44" i="111"/>
  <c r="S30" i="111"/>
  <c r="J741" i="121"/>
  <c r="K41" i="111"/>
  <c r="D31" i="86"/>
  <c r="J740" i="121"/>
  <c r="K40" i="111"/>
  <c r="D30" i="86"/>
  <c r="B64" i="82"/>
  <c r="C49" i="111"/>
  <c r="C52" i="111" s="1"/>
  <c r="C57" i="111" s="1"/>
  <c r="E46" i="111"/>
  <c r="D47" i="111"/>
  <c r="D53" i="111"/>
  <c r="D55" i="111"/>
  <c r="H33" i="86" s="1"/>
  <c r="D48" i="111"/>
  <c r="C71" i="111" l="1"/>
  <c r="C63" i="111"/>
  <c r="B73" i="82"/>
  <c r="B763" i="121"/>
  <c r="C70" i="111"/>
  <c r="C66" i="111"/>
  <c r="J744" i="121"/>
  <c r="K44" i="111"/>
  <c r="K741" i="121"/>
  <c r="B73" i="111"/>
  <c r="E31" i="86"/>
  <c r="S31" i="111"/>
  <c r="K740" i="121"/>
  <c r="B72" i="111"/>
  <c r="E30" i="86"/>
  <c r="C65" i="111"/>
  <c r="G29" i="86" s="1"/>
  <c r="C64" i="82"/>
  <c r="D49" i="111"/>
  <c r="D52" i="111" s="1"/>
  <c r="D57" i="111" s="1"/>
  <c r="F46" i="111"/>
  <c r="E47" i="111"/>
  <c r="E55" i="111"/>
  <c r="I33" i="86" s="1"/>
  <c r="E53" i="111"/>
  <c r="E48" i="111"/>
  <c r="D71" i="111" l="1"/>
  <c r="D63" i="111"/>
  <c r="D65" i="111" s="1"/>
  <c r="H29" i="86" s="1"/>
  <c r="C73" i="82"/>
  <c r="C763" i="121"/>
  <c r="D66" i="111"/>
  <c r="D70" i="111"/>
  <c r="K744" i="121"/>
  <c r="B76" i="111"/>
  <c r="S32" i="111"/>
  <c r="B773" i="121"/>
  <c r="C73" i="111"/>
  <c r="F31" i="86"/>
  <c r="B772" i="121"/>
  <c r="C72" i="111"/>
  <c r="F30" i="86"/>
  <c r="D64" i="82"/>
  <c r="G46" i="111"/>
  <c r="F55" i="111"/>
  <c r="C53" i="86" s="1"/>
  <c r="F47" i="111"/>
  <c r="F53" i="111"/>
  <c r="F48" i="111"/>
  <c r="E49" i="111"/>
  <c r="E52" i="111" s="1"/>
  <c r="E57" i="111" s="1"/>
  <c r="V176" i="72"/>
  <c r="V177" i="72"/>
  <c r="E71" i="111" l="1"/>
  <c r="E63" i="111"/>
  <c r="D73" i="82"/>
  <c r="D763" i="121"/>
  <c r="E70" i="111"/>
  <c r="E66" i="111"/>
  <c r="B776" i="121"/>
  <c r="C76" i="111"/>
  <c r="C773" i="121"/>
  <c r="D73" i="111"/>
  <c r="G31" i="86"/>
  <c r="S33" i="111"/>
  <c r="C772" i="121"/>
  <c r="D72" i="111"/>
  <c r="G30" i="86"/>
  <c r="E65" i="111"/>
  <c r="E64" i="82"/>
  <c r="H46" i="111"/>
  <c r="G47" i="111"/>
  <c r="G53" i="111"/>
  <c r="G55" i="111"/>
  <c r="D53" i="86" s="1"/>
  <c r="G48" i="111"/>
  <c r="F49" i="111"/>
  <c r="F52" i="111" s="1"/>
  <c r="F57" i="111" s="1"/>
  <c r="F71" i="111" l="1"/>
  <c r="F63" i="111"/>
  <c r="E73" i="82"/>
  <c r="E763" i="121"/>
  <c r="F70" i="111"/>
  <c r="F66" i="111"/>
  <c r="C776" i="121"/>
  <c r="D76" i="111"/>
  <c r="D773" i="121"/>
  <c r="E73" i="111"/>
  <c r="H31" i="86"/>
  <c r="D772" i="121"/>
  <c r="E72" i="111"/>
  <c r="H30" i="86"/>
  <c r="F65" i="111"/>
  <c r="C49" i="86" s="1"/>
  <c r="F64" i="82"/>
  <c r="S34" i="111"/>
  <c r="I29" i="86"/>
  <c r="I46" i="111"/>
  <c r="H55" i="111"/>
  <c r="E53" i="86" s="1"/>
  <c r="H47" i="111"/>
  <c r="H53" i="111"/>
  <c r="H48" i="111"/>
  <c r="G49" i="111"/>
  <c r="G52" i="111" s="1"/>
  <c r="G57" i="111" s="1"/>
  <c r="G71" i="111" l="1"/>
  <c r="G63" i="111"/>
  <c r="F73" i="82"/>
  <c r="F763" i="121"/>
  <c r="G66" i="111"/>
  <c r="G70" i="111"/>
  <c r="D776" i="121"/>
  <c r="E76" i="111"/>
  <c r="S35" i="111"/>
  <c r="F47" i="106" s="1"/>
  <c r="E773" i="121"/>
  <c r="F73" i="111"/>
  <c r="I31" i="86"/>
  <c r="E772" i="121"/>
  <c r="F72" i="111"/>
  <c r="I30" i="86"/>
  <c r="G65" i="111"/>
  <c r="S36" i="111" s="1"/>
  <c r="G64" i="82"/>
  <c r="J46" i="111"/>
  <c r="I47" i="111"/>
  <c r="I53" i="111"/>
  <c r="I55" i="111"/>
  <c r="F53" i="86" s="1"/>
  <c r="I48" i="111"/>
  <c r="H49" i="111"/>
  <c r="H52" i="111" s="1"/>
  <c r="H57" i="111" s="1"/>
  <c r="H71" i="111" l="1"/>
  <c r="H63" i="111"/>
  <c r="G73" i="82"/>
  <c r="G763" i="121"/>
  <c r="H66" i="111"/>
  <c r="H70" i="111"/>
  <c r="E776" i="121"/>
  <c r="F76" i="111"/>
  <c r="F773" i="121"/>
  <c r="G73" i="111"/>
  <c r="C51" i="86"/>
  <c r="F772" i="121"/>
  <c r="G72" i="111"/>
  <c r="C50" i="86"/>
  <c r="L47" i="106"/>
  <c r="L90" i="121" s="1"/>
  <c r="F90" i="121"/>
  <c r="H65" i="111"/>
  <c r="S37" i="111" s="1"/>
  <c r="H64" i="82"/>
  <c r="K46" i="111"/>
  <c r="J55" i="111"/>
  <c r="G53" i="86" s="1"/>
  <c r="J53" i="111"/>
  <c r="J47" i="111"/>
  <c r="J48" i="111"/>
  <c r="I49" i="111"/>
  <c r="I52" i="111" s="1"/>
  <c r="I57" i="111" s="1"/>
  <c r="I71" i="111" l="1"/>
  <c r="I63" i="111"/>
  <c r="I65" i="111" s="1"/>
  <c r="S38" i="111" s="1"/>
  <c r="H73" i="82"/>
  <c r="H763" i="121"/>
  <c r="I66" i="111"/>
  <c r="I70" i="111"/>
  <c r="F776" i="121"/>
  <c r="G76" i="111"/>
  <c r="G776" i="121" s="1"/>
  <c r="G773" i="121"/>
  <c r="H73" i="111"/>
  <c r="D51" i="86"/>
  <c r="G772" i="121"/>
  <c r="H72" i="111"/>
  <c r="D50" i="86"/>
  <c r="I64" i="82"/>
  <c r="J49" i="111"/>
  <c r="J52" i="111" s="1"/>
  <c r="J57" i="111" s="1"/>
  <c r="B78" i="111"/>
  <c r="K53" i="111"/>
  <c r="K55" i="111"/>
  <c r="H53" i="86" s="1"/>
  <c r="K47" i="111"/>
  <c r="K48" i="111"/>
  <c r="I133" i="73"/>
  <c r="G59" i="93"/>
  <c r="G61" i="93"/>
  <c r="O138" i="72"/>
  <c r="J71" i="111" l="1"/>
  <c r="J63" i="111"/>
  <c r="I73" i="82"/>
  <c r="I763" i="121"/>
  <c r="J70" i="111"/>
  <c r="J66" i="111"/>
  <c r="H773" i="121"/>
  <c r="I73" i="111"/>
  <c r="E51" i="86"/>
  <c r="H772" i="121"/>
  <c r="I72" i="111"/>
  <c r="E50" i="86"/>
  <c r="J65" i="111"/>
  <c r="S39" i="111" s="1"/>
  <c r="J64" i="82"/>
  <c r="K49" i="111"/>
  <c r="K52" i="111" s="1"/>
  <c r="K57" i="111" s="1"/>
  <c r="C78" i="111"/>
  <c r="B85" i="111"/>
  <c r="B87" i="111"/>
  <c r="B79" i="111"/>
  <c r="B80" i="111"/>
  <c r="G62" i="93"/>
  <c r="G63" i="93"/>
  <c r="G58" i="93"/>
  <c r="G60" i="93"/>
  <c r="P47" i="72"/>
  <c r="P46" i="72"/>
  <c r="P45" i="72"/>
  <c r="K71" i="111" l="1"/>
  <c r="K63" i="111"/>
  <c r="J73" i="82"/>
  <c r="J763" i="121"/>
  <c r="K66" i="111"/>
  <c r="K70" i="111"/>
  <c r="I773" i="121"/>
  <c r="J73" i="111"/>
  <c r="F51" i="86"/>
  <c r="I772" i="121"/>
  <c r="J72" i="111"/>
  <c r="G50" i="86" s="1"/>
  <c r="F50" i="86"/>
  <c r="K65" i="111"/>
  <c r="S40" i="111" s="1"/>
  <c r="K64" i="82"/>
  <c r="B81" i="111"/>
  <c r="B84" i="111" s="1"/>
  <c r="B89" i="111" s="1"/>
  <c r="D78" i="111"/>
  <c r="C79" i="111"/>
  <c r="C87" i="111"/>
  <c r="C85" i="111"/>
  <c r="C80" i="111"/>
  <c r="AB57" i="72"/>
  <c r="AB58" i="72"/>
  <c r="AB59" i="72"/>
  <c r="AB60" i="72"/>
  <c r="AB61" i="72"/>
  <c r="Z56" i="72"/>
  <c r="AI35" i="72"/>
  <c r="AH35" i="72"/>
  <c r="AG35" i="72"/>
  <c r="AF35" i="72"/>
  <c r="AE35" i="72"/>
  <c r="AD35" i="72"/>
  <c r="B102" i="111" l="1"/>
  <c r="B95" i="111"/>
  <c r="K73" i="82"/>
  <c r="K763" i="121"/>
  <c r="B101" i="111"/>
  <c r="B97" i="111"/>
  <c r="J773" i="121"/>
  <c r="K73" i="111"/>
  <c r="G51" i="86"/>
  <c r="J772" i="121"/>
  <c r="K72" i="111"/>
  <c r="H50" i="86" s="1"/>
  <c r="E78" i="111"/>
  <c r="D79" i="111"/>
  <c r="D85" i="111"/>
  <c r="D87" i="111"/>
  <c r="D80" i="111"/>
  <c r="C81" i="111"/>
  <c r="C84" i="111" s="1"/>
  <c r="C89" i="111" s="1"/>
  <c r="R344" i="72"/>
  <c r="D4" i="93"/>
  <c r="C102" i="111" l="1"/>
  <c r="C95" i="111"/>
  <c r="B795" i="121"/>
  <c r="B96" i="111"/>
  <c r="B796" i="121" s="1"/>
  <c r="C96" i="111"/>
  <c r="C796" i="121" s="1"/>
  <c r="C97" i="111"/>
  <c r="C101" i="111"/>
  <c r="K773" i="121"/>
  <c r="B104" i="111"/>
  <c r="H51" i="86"/>
  <c r="K772" i="121"/>
  <c r="L100" i="85"/>
  <c r="L70" i="85"/>
  <c r="B103" i="111"/>
  <c r="F78" i="111"/>
  <c r="E79" i="111"/>
  <c r="E85" i="111"/>
  <c r="E87" i="111"/>
  <c r="E80" i="111"/>
  <c r="D81" i="111"/>
  <c r="D84" i="111" s="1"/>
  <c r="D89" i="111" s="1"/>
  <c r="D14" i="100"/>
  <c r="C148" i="90"/>
  <c r="C146" i="90"/>
  <c r="G132" i="90"/>
  <c r="D132" i="90"/>
  <c r="C132" i="90"/>
  <c r="E58" i="90"/>
  <c r="C58" i="90"/>
  <c r="C56" i="90"/>
  <c r="C8" i="90"/>
  <c r="E68" i="89"/>
  <c r="E29" i="89"/>
  <c r="E5" i="89"/>
  <c r="O6" i="86"/>
  <c r="F17" i="85"/>
  <c r="F15" i="85"/>
  <c r="D16" i="83"/>
  <c r="D102" i="111" l="1"/>
  <c r="D95" i="111"/>
  <c r="C795" i="121"/>
  <c r="D96" i="111"/>
  <c r="D796" i="121" s="1"/>
  <c r="D101" i="111"/>
  <c r="D97" i="111"/>
  <c r="B804" i="121"/>
  <c r="C104" i="111"/>
  <c r="B803" i="121"/>
  <c r="C103" i="111"/>
  <c r="E81" i="111"/>
  <c r="E84" i="111" s="1"/>
  <c r="E89" i="111" s="1"/>
  <c r="G78" i="111"/>
  <c r="F85" i="111"/>
  <c r="F87" i="111"/>
  <c r="F79" i="111"/>
  <c r="F80" i="111"/>
  <c r="E16" i="100"/>
  <c r="F19" i="85" s="1"/>
  <c r="C16"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102" i="111" l="1"/>
  <c r="E95" i="111"/>
  <c r="D795" i="121"/>
  <c r="E96" i="111"/>
  <c r="E796" i="121" s="1"/>
  <c r="E101" i="111"/>
  <c r="E97" i="111"/>
  <c r="C804" i="121"/>
  <c r="D104" i="111"/>
  <c r="C803" i="121"/>
  <c r="D103" i="111"/>
  <c r="F81" i="111"/>
  <c r="F84" i="111" s="1"/>
  <c r="F89" i="111" s="1"/>
  <c r="H78" i="11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F102" i="111" l="1"/>
  <c r="F95" i="111"/>
  <c r="E795" i="121"/>
  <c r="F96" i="111"/>
  <c r="F796" i="121" s="1"/>
  <c r="F101" i="111"/>
  <c r="F97" i="111"/>
  <c r="D804" i="121"/>
  <c r="E104" i="111"/>
  <c r="D803" i="121"/>
  <c r="E103" i="111"/>
  <c r="G81" i="111"/>
  <c r="G84" i="111" s="1"/>
  <c r="G89" i="111" s="1"/>
  <c r="I78" i="111"/>
  <c r="H79" i="111"/>
  <c r="H85" i="111"/>
  <c r="H87" i="111"/>
  <c r="H80" i="111"/>
  <c r="E62" i="100"/>
  <c r="K37" i="100"/>
  <c r="C40" i="100"/>
  <c r="K35" i="100"/>
  <c r="K62" i="100"/>
  <c r="G102" i="111" l="1"/>
  <c r="G95" i="111"/>
  <c r="F795" i="121"/>
  <c r="G96" i="111"/>
  <c r="G796" i="121" s="1"/>
  <c r="G97" i="111"/>
  <c r="G101" i="111"/>
  <c r="E804" i="121"/>
  <c r="F104" i="111"/>
  <c r="E803" i="121"/>
  <c r="F103" i="111"/>
  <c r="J78" i="111"/>
  <c r="I79" i="111"/>
  <c r="I85" i="111"/>
  <c r="I87" i="111"/>
  <c r="I80" i="111"/>
  <c r="H81" i="111"/>
  <c r="H84" i="111" s="1"/>
  <c r="H89" i="111"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H102" i="111" l="1"/>
  <c r="H95" i="111"/>
  <c r="G795" i="121"/>
  <c r="H96" i="111"/>
  <c r="H796" i="121" s="1"/>
  <c r="H101" i="111"/>
  <c r="H97" i="111"/>
  <c r="F804" i="121"/>
  <c r="G104" i="111"/>
  <c r="F803" i="121"/>
  <c r="G103" i="111"/>
  <c r="I81" i="111"/>
  <c r="I84" i="111" s="1"/>
  <c r="I89" i="111" s="1"/>
  <c r="K78" i="111"/>
  <c r="J87" i="111"/>
  <c r="J85" i="111"/>
  <c r="J79" i="111"/>
  <c r="J80" i="111"/>
  <c r="I102" i="111" l="1"/>
  <c r="I95" i="111"/>
  <c r="H795" i="121"/>
  <c r="I96" i="111"/>
  <c r="I796" i="121" s="1"/>
  <c r="I101" i="111"/>
  <c r="I97" i="111"/>
  <c r="G804" i="121"/>
  <c r="H104" i="111"/>
  <c r="G803" i="121"/>
  <c r="H103" i="111"/>
  <c r="J81" i="111"/>
  <c r="J84" i="111" s="1"/>
  <c r="J89" i="111" s="1"/>
  <c r="B108" i="111"/>
  <c r="K85" i="111"/>
  <c r="K87" i="111"/>
  <c r="K79" i="111"/>
  <c r="K80" i="111"/>
  <c r="F18" i="85"/>
  <c r="J102" i="111" l="1"/>
  <c r="J95" i="111"/>
  <c r="I795" i="121"/>
  <c r="J96" i="111"/>
  <c r="J796" i="121" s="1"/>
  <c r="J97" i="111"/>
  <c r="J101" i="111"/>
  <c r="H804" i="121"/>
  <c r="I104" i="111"/>
  <c r="H803" i="121"/>
  <c r="I103" i="111"/>
  <c r="C108" i="111"/>
  <c r="B109" i="111"/>
  <c r="B117" i="111"/>
  <c r="B115" i="111"/>
  <c r="B110" i="111"/>
  <c r="K81" i="111"/>
  <c r="K84" i="111" s="1"/>
  <c r="K89" i="111" s="1"/>
  <c r="E242" i="72"/>
  <c r="K102" i="111" l="1"/>
  <c r="K95" i="111"/>
  <c r="J795" i="121"/>
  <c r="K96" i="111"/>
  <c r="K796" i="121" s="1"/>
  <c r="K97" i="111"/>
  <c r="K101" i="111"/>
  <c r="I804" i="121"/>
  <c r="J104" i="111"/>
  <c r="I803" i="121"/>
  <c r="J103" i="111"/>
  <c r="B111" i="111"/>
  <c r="B114" i="111" s="1"/>
  <c r="B119" i="111" s="1"/>
  <c r="D108" i="111"/>
  <c r="C109" i="111"/>
  <c r="C117" i="111"/>
  <c r="C115" i="111"/>
  <c r="C110" i="111"/>
  <c r="Q295" i="72"/>
  <c r="Q298" i="72"/>
  <c r="Q94" i="72"/>
  <c r="Q312" i="72"/>
  <c r="Q311" i="72"/>
  <c r="B132" i="111" l="1"/>
  <c r="B125" i="111"/>
  <c r="K795" i="121"/>
  <c r="B126" i="111"/>
  <c r="B131" i="111"/>
  <c r="B127" i="111"/>
  <c r="J804" i="121"/>
  <c r="K104" i="111"/>
  <c r="J803" i="121"/>
  <c r="K103" i="111"/>
  <c r="E108" i="111"/>
  <c r="D115" i="111"/>
  <c r="D109" i="111"/>
  <c r="D117" i="111"/>
  <c r="D110" i="111"/>
  <c r="C111" i="111"/>
  <c r="C114" i="111" s="1"/>
  <c r="C119" i="111" s="1"/>
  <c r="I91" i="72"/>
  <c r="C132" i="111" l="1"/>
  <c r="C125" i="111"/>
  <c r="B825" i="121"/>
  <c r="C126" i="111"/>
  <c r="C127" i="111"/>
  <c r="C131" i="111"/>
  <c r="K804" i="121"/>
  <c r="B134" i="111"/>
  <c r="K803" i="121"/>
  <c r="B133" i="111"/>
  <c r="D111" i="111"/>
  <c r="D114" i="111" s="1"/>
  <c r="D119" i="111" s="1"/>
  <c r="F108" i="111"/>
  <c r="E109" i="111"/>
  <c r="E115" i="111"/>
  <c r="E117" i="111"/>
  <c r="E110" i="111"/>
  <c r="L285" i="72"/>
  <c r="D132" i="111" l="1"/>
  <c r="D125" i="111"/>
  <c r="C825" i="121"/>
  <c r="D126" i="111"/>
  <c r="D127" i="111"/>
  <c r="D131" i="111"/>
  <c r="B834" i="121"/>
  <c r="C134" i="111"/>
  <c r="B833" i="121"/>
  <c r="C133" i="111"/>
  <c r="F109" i="111"/>
  <c r="F117" i="111"/>
  <c r="F115" i="111"/>
  <c r="F110" i="111"/>
  <c r="E111" i="111"/>
  <c r="E114" i="111" s="1"/>
  <c r="E119" i="111" s="1"/>
  <c r="Q339" i="73"/>
  <c r="H152" i="72"/>
  <c r="E132" i="111" l="1"/>
  <c r="E125" i="111"/>
  <c r="D825" i="121"/>
  <c r="E126" i="111"/>
  <c r="E127" i="111"/>
  <c r="E131" i="111"/>
  <c r="C834" i="121"/>
  <c r="D134" i="111"/>
  <c r="C833" i="121"/>
  <c r="D133" i="111"/>
  <c r="F111" i="111"/>
  <c r="F114" i="111" s="1"/>
  <c r="F119" i="111" s="1"/>
  <c r="L184" i="72"/>
  <c r="F132" i="111" l="1"/>
  <c r="F125" i="111"/>
  <c r="F825" i="121" s="1"/>
  <c r="E825" i="121"/>
  <c r="F126" i="111"/>
  <c r="F127" i="111"/>
  <c r="F131" i="111"/>
  <c r="D834" i="121"/>
  <c r="E134" i="111"/>
  <c r="D833" i="121"/>
  <c r="E133" i="111"/>
  <c r="L242" i="72"/>
  <c r="P225" i="72"/>
  <c r="R225" i="72"/>
  <c r="Q18" i="72"/>
  <c r="E834" i="121" l="1"/>
  <c r="F134" i="111"/>
  <c r="F834" i="121" s="1"/>
  <c r="E833" i="121"/>
  <c r="F133" i="111"/>
  <c r="F833" i="121" s="1"/>
  <c r="F31" i="72"/>
  <c r="F30" i="72"/>
  <c r="E30" i="72"/>
  <c r="F29" i="72"/>
  <c r="E29" i="72"/>
  <c r="F28" i="72"/>
  <c r="F27" i="72"/>
  <c r="F26" i="72"/>
  <c r="N210" i="73"/>
  <c r="J274" i="72"/>
  <c r="K226" i="72"/>
  <c r="J113" i="72"/>
  <c r="M56" i="73"/>
  <c r="F24" i="72"/>
  <c r="F23" i="72"/>
  <c r="F22" i="72"/>
  <c r="P310" i="72"/>
  <c r="E24" i="72"/>
  <c r="L274" i="72" l="1"/>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<sst xmlns="http://schemas.openxmlformats.org/spreadsheetml/2006/main" count="14358" uniqueCount="5245">
  <si>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</si>
  <si>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</si>
  <si>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</si>
  <si>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</si>
  <si>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</si>
  <si>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</si>
  <si>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</si>
  <si>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</si>
  <si>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</si>
  <si>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</si>
  <si>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</si>
  <si>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</si>
  <si>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</si>
  <si>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</si>
  <si>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</si>
  <si>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</si>
  <si>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</si>
  <si>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</si>
  <si>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</si>
  <si>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</si>
  <si>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</si>
  <si>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</si>
  <si>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</si>
  <si>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</si>
  <si>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</si>
  <si>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</si>
  <si>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</si>
  <si>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</si>
  <si>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</si>
  <si>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</si>
  <si>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2024PA010</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</si>
  <si>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</si>
  <si>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</si>
  <si>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</si>
  <si>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</si>
  <si>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</si>
  <si>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Prestwick Development Company, LLC</t>
  </si>
  <si>
    <t>Contact</t>
  </si>
  <si>
    <t>Wiley A. Tucker III</t>
  </si>
  <si>
    <t>Title</t>
  </si>
  <si>
    <t>Manager-CEO</t>
  </si>
  <si>
    <t>Office Phone</t>
  </si>
  <si>
    <t>Ext.</t>
  </si>
  <si>
    <t>Direct Line</t>
  </si>
  <si>
    <t>E-mail</t>
  </si>
  <si>
    <t>jody@prestwickcompanies.com</t>
  </si>
  <si>
    <t>Cellular</t>
  </si>
  <si>
    <t>Alternate Contact</t>
  </si>
  <si>
    <t>Edrick Harris</t>
  </si>
  <si>
    <t>Partner-EVP</t>
  </si>
  <si>
    <t>edrick@prestwickcompanies.com</t>
  </si>
  <si>
    <t>IV.</t>
  </si>
  <si>
    <t>PROJECT LOCATION</t>
  </si>
  <si>
    <t>Project Name</t>
  </si>
  <si>
    <t>Finley Place</t>
  </si>
  <si>
    <t>QCT?</t>
  </si>
  <si>
    <t>No</t>
  </si>
  <si>
    <t>City</t>
  </si>
  <si>
    <t>Austell</t>
  </si>
  <si>
    <t>County</t>
  </si>
  <si>
    <t>DDA?</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</si>
  <si>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</si>
  <si>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</si>
  <si>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</si>
  <si>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</si>
  <si>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</si>
  <si>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</si>
  <si>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</si>
  <si>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</si>
  <si>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</si>
  <si>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</si>
  <si>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</si>
  <si>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</si>
  <si>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</si>
  <si>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</si>
  <si>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</si>
  <si>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</si>
  <si>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</si>
  <si>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</si>
  <si>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</si>
  <si>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</si>
  <si>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 xml:space="preserve">The Prestwick Development team is requesting $1,295,000 in 9% credits for Finley Place, below the maximum credit award limit for New Affordability in Metro Pools.
</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</si>
  <si>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</si>
  <si>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</si>
  <si>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</si>
  <si>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</si>
  <si>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</si>
  <si>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</si>
  <si>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</si>
  <si>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</si>
  <si>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</si>
  <si>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</si>
  <si>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</si>
  <si>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</si>
  <si>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</si>
  <si>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</si>
  <si>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</si>
  <si>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</si>
  <si>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</si>
  <si>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</si>
  <si>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</si>
  <si>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</si>
  <si>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</si>
  <si>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</si>
  <si>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</si>
  <si>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</si>
  <si>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</si>
  <si>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</si>
  <si>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</si>
  <si>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</si>
  <si>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</si>
  <si>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</si>
  <si>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</si>
  <si>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</si>
  <si>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</si>
  <si>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</si>
  <si>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</si>
  <si>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</si>
  <si>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</si>
  <si>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</si>
  <si>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</si>
  <si>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</si>
  <si>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</si>
  <si>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</si>
  <si>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</si>
  <si>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</si>
  <si>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</si>
  <si>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</si>
  <si>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</si>
  <si>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</si>
  <si>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</si>
  <si>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</si>
  <si>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</si>
  <si>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</si>
  <si>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</si>
  <si>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</si>
  <si>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</si>
  <si>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</si>
  <si>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</si>
  <si>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</si>
  <si>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</si>
  <si>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</si>
  <si>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</si>
  <si>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</si>
  <si>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</si>
  <si>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</si>
  <si>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</si>
  <si>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</si>
  <si>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</si>
  <si>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</si>
  <si>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</si>
  <si>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</si>
  <si>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</si>
  <si>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</si>
  <si>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</si>
  <si>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</si>
  <si>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</si>
  <si>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</si>
  <si>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</si>
  <si>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</si>
  <si>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</si>
  <si>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</si>
  <si>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</si>
  <si>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</si>
  <si>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</si>
  <si>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</si>
  <si>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</si>
  <si>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</si>
  <si>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</si>
  <si>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</si>
  <si>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</si>
  <si>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</si>
  <si>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</si>
  <si>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</si>
  <si>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</si>
  <si>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</si>
  <si>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</si>
  <si>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</si>
  <si>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</si>
  <si>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</si>
  <si>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</si>
  <si>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</si>
  <si>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</si>
  <si>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</si>
  <si>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</si>
  <si>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</si>
  <si>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</si>
  <si>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</si>
  <si>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</si>
  <si>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</si>
  <si>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</si>
  <si>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</si>
  <si>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</si>
  <si>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</si>
  <si>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</si>
  <si>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</si>
  <si>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</si>
  <si>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</si>
  <si>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</si>
  <si>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</si>
  <si>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</si>
  <si>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</si>
  <si>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</si>
  <si>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</si>
  <si>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</si>
  <si>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</si>
  <si>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</si>
  <si>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</si>
  <si>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</si>
  <si>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</si>
  <si>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</si>
  <si>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</si>
  <si>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</si>
  <si>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</si>
  <si>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</si>
  <si>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</si>
  <si>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</si>
  <si>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</si>
  <si>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</si>
  <si>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</si>
  <si>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</si>
  <si>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</si>
  <si>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</si>
  <si>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</si>
  <si>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</si>
  <si>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</si>
  <si>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</si>
  <si>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</si>
  <si>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</si>
  <si>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</si>
  <si>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</si>
  <si>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</si>
  <si>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</si>
  <si>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</si>
  <si>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</si>
  <si>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</si>
  <si>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</si>
  <si>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</si>
  <si>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</si>
  <si>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</si>
  <si>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</si>
  <si>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</si>
  <si>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</si>
  <si>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</si>
  <si>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</si>
  <si>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</si>
  <si>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</si>
  <si>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</si>
  <si>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</si>
  <si>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</si>
  <si>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</si>
  <si>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</si>
  <si>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</si>
  <si>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</si>
  <si>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</si>
  <si>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</si>
  <si>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</si>
  <si>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</si>
  <si>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</si>
  <si>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</si>
  <si>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</si>
  <si>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</si>
  <si>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</si>
  <si>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</si>
  <si>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</si>
  <si>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</si>
  <si>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</si>
  <si>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</si>
  <si>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</si>
  <si>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</si>
  <si>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</si>
  <si>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</si>
  <si>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</si>
  <si>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</si>
  <si>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</si>
  <si>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</si>
  <si>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</si>
  <si>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</si>
  <si>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</si>
  <si>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</si>
  <si>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</si>
  <si>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</si>
  <si>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</si>
  <si>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</si>
  <si>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</si>
  <si>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</si>
  <si>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</si>
  <si>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</si>
  <si>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</si>
  <si>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</si>
  <si>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</si>
  <si>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</si>
  <si>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</si>
  <si>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</si>
  <si>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</si>
  <si>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</si>
  <si>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</si>
  <si>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</si>
  <si>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</si>
  <si>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</si>
  <si>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</si>
  <si>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</si>
  <si>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</si>
  <si>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</si>
  <si>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</si>
  <si>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</si>
  <si>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</si>
  <si>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</si>
  <si>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</si>
  <si>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</si>
  <si>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</si>
  <si>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</si>
  <si>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</si>
  <si>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</si>
  <si>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</si>
  <si>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</si>
  <si>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</si>
  <si>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</si>
  <si>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</si>
  <si>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</si>
  <si>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</si>
  <si>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</si>
  <si>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</si>
  <si>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</si>
  <si>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</si>
  <si>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</si>
  <si>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</si>
  <si>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</si>
  <si>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</si>
  <si>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</si>
  <si>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</si>
  <si>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</si>
  <si>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</si>
  <si>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</si>
  <si>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</si>
  <si>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</si>
  <si>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</si>
  <si>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</si>
  <si>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</si>
  <si>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</si>
  <si>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</si>
  <si>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</si>
  <si>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</si>
  <si>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</si>
  <si>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</si>
  <si>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</si>
  <si>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</si>
  <si>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</si>
  <si>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</si>
  <si>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</si>
  <si>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</si>
  <si>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</si>
  <si>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</si>
  <si>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</si>
  <si>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</si>
  <si>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</si>
  <si>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</si>
  <si>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</si>
  <si>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</si>
  <si>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</si>
  <si>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</si>
  <si>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</si>
  <si>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Yes</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</si>
  <si>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</si>
  <si>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</si>
  <si>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</si>
  <si>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</si>
  <si>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</si>
  <si>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</si>
  <si>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</si>
  <si>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</si>
  <si>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</si>
  <si>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</si>
  <si>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</si>
  <si>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</si>
  <si>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</si>
  <si>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</si>
  <si>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</si>
  <si>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</si>
  <si>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</si>
  <si>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</si>
  <si>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</si>
  <si>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</si>
  <si>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</si>
  <si>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</si>
  <si>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</si>
  <si>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</si>
  <si>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Marietta Housing Authority</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</si>
  <si>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</si>
  <si>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</si>
  <si>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</si>
  <si>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</si>
  <si>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</si>
  <si>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</si>
  <si>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</si>
  <si>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</si>
  <si>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</si>
  <si>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</si>
  <si>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</si>
  <si>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</si>
  <si>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</si>
  <si>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</si>
  <si>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</si>
  <si>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</si>
  <si>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</si>
  <si>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</si>
  <si>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</si>
  <si>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Truist Bank</t>
  </si>
  <si>
    <t>ConstB</t>
  </si>
  <si>
    <t>Mortgage B</t>
  </si>
  <si>
    <t>Neighborhood Stabilization Program Loan</t>
  </si>
  <si>
    <t>ConstC</t>
  </si>
  <si>
    <t>Mortgage C</t>
  </si>
  <si>
    <t>Const_FedGrant</t>
  </si>
  <si>
    <t>Federal Grant</t>
  </si>
  <si>
    <t>Const_StateLocalGrant</t>
  </si>
  <si>
    <t>State, Local, or Private Grant</t>
  </si>
  <si>
    <t>Const_DDF</t>
  </si>
  <si>
    <t>Deferred Developer Fees</t>
  </si>
  <si>
    <t>Const_FedEquity</t>
  </si>
  <si>
    <t>Federal Housing Credit Equity</t>
  </si>
  <si>
    <t>Truist Community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</si>
  <si>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</si>
  <si>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</si>
  <si>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</si>
  <si>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</si>
  <si>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</si>
  <si>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</si>
  <si>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</si>
  <si>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</si>
  <si>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</si>
  <si>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</si>
  <si>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</si>
  <si>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</si>
  <si>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</si>
  <si>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</si>
  <si>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</si>
  <si>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</si>
  <si>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</si>
  <si>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</si>
  <si>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</si>
  <si>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</si>
  <si>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</si>
  <si>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</si>
  <si>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</si>
  <si>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N/A</t>
  </si>
  <si>
    <t>Cash Flow</t>
  </si>
  <si>
    <t>PermC</t>
  </si>
  <si>
    <t>Mortgage C (Lien Position 3)</t>
  </si>
  <si>
    <t>Perm_Other</t>
  </si>
  <si>
    <t>Other:</t>
  </si>
  <si>
    <t>Perm_FoundCharityGovt</t>
  </si>
  <si>
    <t>Foundation, charity or other govt*</t>
  </si>
  <si>
    <t>Perm_DDF</t>
  </si>
  <si>
    <t>Deferred Devlpr Fee</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</si>
  <si>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</si>
  <si>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</si>
  <si>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</si>
  <si>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</si>
  <si>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</si>
  <si>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</si>
  <si>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</si>
  <si>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</si>
  <si>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</si>
  <si>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</si>
  <si>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</si>
  <si>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</si>
  <si>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</si>
  <si>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</si>
  <si>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</si>
  <si>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</si>
  <si>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</si>
  <si>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</si>
  <si>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</si>
  <si>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</si>
  <si>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</si>
  <si>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</si>
  <si>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</si>
  <si>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</si>
  <si>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</si>
  <si>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percentage of unrestricted funding ($3,110,008 (First Mortgage) + $6,582 (DDF))/$22,230,471 = 14.02% and is greater than the percentage of unrestricted units in the community 1 - 89.66% (Affordable Units) = 10.34%. Therefore, only unrestricted funds are used to pay for unrestricted units.</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</si>
  <si>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</si>
  <si>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</si>
  <si>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</si>
  <si>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</si>
  <si>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</si>
  <si>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</si>
  <si>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</si>
  <si>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</si>
  <si>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</si>
  <si>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</si>
  <si>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</si>
  <si>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</si>
  <si>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</si>
  <si>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</si>
  <si>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</si>
  <si>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</si>
  <si>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</si>
  <si>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</si>
  <si>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</si>
  <si>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</si>
  <si>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</si>
  <si>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</si>
  <si>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</si>
  <si>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</si>
  <si>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</si>
  <si>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</si>
  <si>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</si>
  <si>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</si>
  <si>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</si>
  <si>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</si>
  <si>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</si>
  <si>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</si>
  <si>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</si>
  <si>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</si>
  <si>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</si>
  <si>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</si>
  <si>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</si>
  <si>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</si>
  <si>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</si>
  <si>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</si>
  <si>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</si>
  <si>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</si>
  <si>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</si>
  <si>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</si>
  <si>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</si>
  <si>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</si>
  <si>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</si>
  <si>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</si>
  <si>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</si>
  <si>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</si>
  <si>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</si>
  <si>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</si>
  <si>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</si>
  <si>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</si>
  <si>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</si>
  <si>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</si>
  <si>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</si>
  <si>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</si>
  <si>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</si>
  <si>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</si>
  <si>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Noise Study</t>
  </si>
  <si>
    <t>Pre-Dev_Other1</t>
  </si>
  <si>
    <t>Othr PD2</t>
  </si>
  <si>
    <t>&lt;&lt; Enter description here; provide detail &amp; justification in tab Part III-b &gt;&gt;</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</si>
  <si>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</si>
  <si>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</si>
  <si>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</si>
  <si>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</si>
  <si>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</si>
  <si>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</si>
  <si>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</si>
  <si>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</si>
  <si>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</si>
  <si>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</si>
  <si>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</si>
  <si>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</si>
  <si>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</si>
  <si>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</si>
  <si>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</si>
  <si>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</si>
  <si>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</si>
  <si>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</si>
  <si>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</si>
  <si>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</si>
  <si>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</si>
  <si>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</si>
  <si>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</si>
  <si>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</si>
  <si>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</si>
  <si>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</si>
  <si>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</si>
  <si>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</si>
  <si>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</si>
  <si>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</si>
  <si>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</si>
  <si>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</si>
  <si>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</si>
  <si>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</si>
  <si>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</si>
  <si>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</si>
  <si>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</si>
  <si>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</si>
  <si>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</si>
  <si>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</si>
  <si>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</si>
  <si>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</si>
  <si>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</si>
  <si>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</si>
  <si>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</si>
  <si>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</si>
  <si>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</si>
  <si>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</si>
  <si>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</si>
  <si>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</si>
  <si>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</si>
  <si>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</si>
  <si>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</si>
  <si>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</si>
  <si>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</si>
  <si>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</si>
  <si>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</si>
  <si>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</si>
  <si>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</si>
  <si>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</si>
  <si>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</si>
  <si>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</si>
  <si>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</si>
  <si>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</si>
  <si>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</si>
  <si>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</si>
  <si>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Construction Loan Due Diligence</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</si>
  <si>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</si>
  <si>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</si>
  <si>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</si>
  <si>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</si>
  <si>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</si>
  <si>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</si>
  <si>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</si>
  <si>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</si>
  <si>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</si>
  <si>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</si>
  <si>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</si>
  <si>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</si>
  <si>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</si>
  <si>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</si>
  <si>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</si>
  <si>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Radon Testing</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</si>
  <si>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</si>
  <si>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</si>
  <si>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</si>
  <si>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</si>
  <si>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</si>
  <si>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</si>
  <si>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</si>
  <si>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</si>
  <si>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</si>
  <si>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</si>
  <si>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</si>
  <si>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</si>
  <si>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</si>
  <si>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</si>
  <si>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</si>
  <si>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</si>
  <si>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</si>
  <si>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</si>
  <si>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</si>
  <si>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</si>
  <si>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</si>
  <si>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</si>
  <si>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</si>
  <si>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</si>
  <si>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</si>
  <si>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</si>
  <si>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</si>
  <si>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</si>
  <si>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</si>
  <si>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</si>
  <si>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</si>
  <si>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</si>
  <si>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</si>
  <si>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</si>
  <si>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</si>
  <si>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</si>
  <si>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</si>
  <si>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</si>
  <si>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</si>
  <si>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</si>
  <si>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</si>
  <si>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</si>
  <si>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</si>
  <si>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</si>
  <si>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</si>
  <si>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</si>
  <si>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</si>
  <si>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</si>
  <si>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</si>
  <si>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</si>
  <si>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</si>
  <si>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</si>
  <si>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</si>
  <si>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</si>
  <si>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</si>
  <si>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</si>
  <si>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</si>
  <si>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</si>
  <si>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</si>
  <si>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</si>
  <si>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</si>
  <si>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</si>
  <si>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</si>
  <si>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</si>
  <si>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</si>
  <si>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</si>
  <si>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</si>
  <si>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</si>
  <si>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</si>
  <si>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</si>
  <si>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</si>
  <si>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</si>
  <si>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</si>
  <si>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</si>
  <si>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</si>
  <si>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</si>
  <si>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Signage and Security</t>
  </si>
  <si>
    <t>OTHER COSTS</t>
  </si>
  <si>
    <t>Relocation</t>
  </si>
  <si>
    <t>Site Lighting</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</si>
  <si>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</si>
  <si>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</si>
  <si>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</si>
  <si>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</si>
  <si>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</si>
  <si>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</si>
  <si>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</si>
  <si>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</si>
  <si>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</si>
  <si>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</si>
  <si>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</si>
  <si>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</si>
  <si>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</si>
  <si>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</si>
  <si>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</si>
  <si>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</si>
  <si>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</si>
  <si>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</si>
  <si>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</si>
  <si>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</si>
  <si>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</si>
  <si>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</si>
  <si>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&lt;&lt;Select&gt;&gt;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</si>
  <si>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</si>
  <si>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</si>
  <si>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</si>
  <si>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</si>
  <si>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</si>
  <si>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</si>
  <si>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</si>
  <si>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</si>
  <si>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</si>
  <si>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</si>
  <si>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</si>
  <si>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</si>
  <si>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</si>
  <si>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</si>
  <si>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</si>
  <si>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</si>
  <si>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</si>
  <si>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</si>
  <si>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</si>
  <si>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</si>
  <si>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</si>
  <si>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</si>
  <si>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</si>
  <si>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</si>
  <si>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</si>
  <si>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</si>
  <si>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</si>
  <si>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</si>
  <si>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xml:space="preserve">Construction cost estimate is based off of our historical cost to deliver similar projects that are currenlty under construction and a preliminary budget from our contractor.
Local government fees were confirmed by the local government and our construction managment team.  Charts with the fee breakdown are provided by the city of Austell and Cobb County that were utilized in estimating the costs.
The supporting documentation shows all water tap fees, sewer tap fees, and impact fees as adding up to $295,165. 
Permit Fees include the Permit Fees and LDP and Site Review Fees
Water Tap Fees include Fire Meter Fee, Domestic Meter Fee, and Irrigation Meter Fee.
Sewer Tap Fees include the Sewer Development &amp; Tap Fee.
Construction Interest is calculated based on having to stabilize and hold the property for three months before conversion.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</si>
  <si>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</si>
  <si>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</si>
  <si>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</si>
  <si>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</si>
  <si>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Required document due to Threshold and lender requirements</t>
  </si>
  <si>
    <t>100% of work is related to construction work</t>
  </si>
  <si>
    <t>Total Cost</t>
  </si>
  <si>
    <t>OTHER CONSTRUCTION HARD COSTS</t>
  </si>
  <si>
    <t>Construction Lender Due Diligence is a requirement of our lender</t>
  </si>
  <si>
    <t>100% of work is realated to construction work</t>
  </si>
  <si>
    <t>Radon Testing is a requirement of our investors</t>
  </si>
  <si>
    <t>100% of the work is related to construction work</t>
  </si>
  <si>
    <r>
      <t>DCA-RELATED COSTS</t>
    </r>
    <r>
      <rPr>
        <sz val="10"/>
        <rFont val="Arial"/>
        <family val="2"/>
      </rPr>
      <t xml:space="preserve"> </t>
    </r>
  </si>
  <si>
    <r>
      <t>EQUITY COSTS</t>
    </r>
    <r>
      <rPr>
        <sz val="10"/>
        <rFont val="Arial"/>
        <family val="2"/>
      </rPr>
      <t xml:space="preserve"> </t>
    </r>
  </si>
  <si>
    <t>This is a construction item that fall outside of the construction contract</t>
  </si>
  <si>
    <r>
      <t>OTHER COSTS</t>
    </r>
    <r>
      <rPr>
        <sz val="10"/>
        <rFont val="Arial"/>
        <family val="2"/>
      </rPr>
      <t xml:space="preserve"> </t>
    </r>
  </si>
  <si>
    <t>This a construction item that falls outside the construction contract</t>
  </si>
  <si>
    <t>DCA Utility Region:</t>
  </si>
  <si>
    <t>Local PHA</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</si>
  <si>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</si>
  <si>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</si>
  <si>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</si>
  <si>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HUD Utility Model</t>
  </si>
  <si>
    <t>Date of Utility Allowances</t>
  </si>
  <si>
    <t>Structure</t>
  </si>
  <si>
    <t>High-Rise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</si>
  <si>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</si>
  <si>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</si>
  <si>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</si>
  <si>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</si>
  <si>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</si>
  <si>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</si>
  <si>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</si>
  <si>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</si>
  <si>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</si>
  <si>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</si>
  <si>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</si>
  <si>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</si>
  <si>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</si>
  <si>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</si>
  <si>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</si>
  <si>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</si>
  <si>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</si>
  <si>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</si>
  <si>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</si>
  <si>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</si>
  <si>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</si>
  <si>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Base Charge</t>
  </si>
  <si>
    <t>Total Utility Allowance by Unit Size</t>
  </si>
  <si>
    <t>UTILITY ALLOWANCE SCHEDULE #2</t>
  </si>
  <si>
    <t>Marietta Housing Authority-Cobb County</t>
  </si>
  <si>
    <t>Electric Base Charge</t>
  </si>
  <si>
    <r>
      <rPr>
        <sz val="8"/>
        <color rgb="FFFF0000"/>
        <rFont val="Arial"/>
        <family val="2"/>
      </rPr>
      <t>*</t>
    </r>
    <r>
      <rPr>
        <sz val="8"/>
        <rFont val="Arial"/>
        <family val="2"/>
      </rPr>
      <t>New Construction units MUST be sub-metered.</t>
    </r>
  </si>
  <si>
    <t>The HUD Utility Schedule Model is an allowed utility allowance for a Tax Credit Building with no HOME per Threshold Section 1. Feasibility, Subsection A7 Operating Utility Allowance. 
All but twenty-three (23) PBRA units will use the HUD Utility Allowance. The Marietta Housing Authority Utility Allowance will be used on these 23 units. The one provided is the one effective as of 1/1/2024. The PBRA letter also confirms the utility allowance.</t>
  </si>
  <si>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</si>
  <si>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</si>
  <si>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</si>
  <si>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</si>
  <si>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</si>
  <si>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</si>
  <si>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</si>
  <si>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</si>
  <si>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</si>
  <si>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</si>
  <si>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</si>
  <si>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</si>
  <si>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</si>
  <si>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</si>
  <si>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</si>
  <si>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</si>
  <si>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</si>
  <si>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</si>
  <si>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</si>
  <si>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</si>
  <si>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</si>
  <si>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</si>
  <si>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</si>
  <si>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</si>
  <si>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</si>
  <si>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</si>
  <si>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</si>
  <si>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</si>
  <si>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</si>
  <si>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</si>
  <si>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</si>
  <si>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</si>
  <si>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</si>
  <si>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</si>
  <si>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</si>
  <si>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</si>
  <si>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</si>
  <si>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</si>
  <si>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</si>
  <si>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</si>
  <si>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</si>
  <si>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</si>
  <si>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</si>
  <si>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</si>
  <si>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</si>
  <si>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</si>
  <si>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</si>
  <si>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</si>
  <si>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</si>
  <si>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</si>
  <si>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</si>
  <si>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</si>
  <si>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</si>
  <si>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</si>
  <si>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</si>
  <si>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</si>
  <si>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</si>
  <si>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</si>
  <si>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</si>
  <si>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</si>
  <si>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</si>
  <si>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</si>
  <si>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</si>
  <si>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</si>
  <si>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</si>
  <si>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</si>
  <si>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</si>
  <si>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</si>
  <si>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</si>
  <si>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</si>
  <si>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</si>
  <si>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</si>
  <si>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</si>
  <si>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</si>
  <si>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</si>
  <si>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</si>
  <si>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</si>
  <si>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</si>
  <si>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</si>
  <si>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</si>
  <si>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</si>
  <si>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</si>
  <si>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</si>
  <si>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</si>
  <si>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</si>
  <si>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</si>
  <si>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</si>
  <si>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</si>
  <si>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</si>
  <si>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</si>
  <si>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</si>
  <si>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</si>
  <si>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</si>
  <si>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</si>
  <si>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</si>
  <si>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</si>
  <si>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</si>
  <si>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</si>
  <si>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</si>
  <si>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</si>
  <si>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</si>
  <si>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</si>
  <si>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</si>
  <si>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</si>
  <si>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</si>
  <si>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</si>
  <si>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</si>
  <si>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</si>
  <si>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</si>
  <si>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</si>
  <si>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</si>
  <si>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</si>
  <si>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</si>
  <si>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</si>
  <si>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</si>
  <si>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</si>
  <si>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</si>
  <si>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</si>
  <si>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</si>
  <si>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</si>
  <si>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</si>
  <si>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</si>
  <si>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</si>
  <si>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</si>
  <si>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</si>
  <si>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</si>
  <si>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</si>
  <si>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</si>
  <si>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</si>
  <si>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</si>
  <si>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</si>
  <si>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</si>
  <si>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</si>
  <si>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</si>
  <si>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</si>
  <si>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</si>
  <si>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</si>
  <si>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</si>
  <si>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</si>
  <si>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</si>
  <si>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</si>
  <si>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</si>
  <si>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</si>
  <si>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</si>
  <si>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</si>
  <si>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</si>
  <si>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</si>
  <si>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</si>
  <si>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</si>
  <si>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</si>
  <si>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</si>
  <si>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</si>
  <si>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</si>
  <si>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</si>
  <si>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</si>
  <si>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</si>
  <si>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</si>
  <si>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</si>
  <si>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</si>
  <si>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</si>
  <si>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</si>
  <si>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</si>
  <si>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</si>
  <si>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</si>
  <si>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</si>
  <si>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</si>
  <si>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</si>
  <si>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</si>
  <si>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</si>
  <si>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</si>
  <si>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</si>
  <si>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</si>
  <si>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</si>
  <si>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</si>
  <si>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</si>
  <si>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</si>
  <si>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</si>
  <si>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</si>
  <si>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</si>
  <si>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</si>
  <si>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</si>
  <si>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</si>
  <si>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</si>
  <si>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</si>
  <si>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</si>
  <si>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</si>
  <si>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</si>
  <si>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</si>
  <si>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</si>
  <si>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</si>
  <si>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</si>
  <si>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</si>
  <si>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</si>
  <si>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</si>
  <si>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</si>
  <si>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</si>
  <si>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</si>
  <si>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</si>
  <si>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</si>
  <si>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</si>
  <si>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</si>
  <si>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</si>
  <si>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</si>
  <si>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</si>
  <si>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</si>
  <si>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</si>
  <si>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</si>
  <si>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</si>
  <si>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</si>
  <si>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</si>
  <si>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</si>
  <si>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</si>
  <si>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</si>
  <si>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</si>
  <si>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</si>
  <si>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</si>
  <si>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</si>
  <si>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</si>
  <si>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</si>
  <si>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</si>
  <si>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</si>
  <si>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</si>
  <si>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</si>
  <si>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</si>
  <si>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</si>
  <si>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</si>
  <si>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</si>
  <si>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</si>
  <si>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</si>
  <si>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</si>
  <si>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</si>
  <si>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</si>
  <si>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</si>
  <si>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</si>
  <si>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</si>
  <si>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</si>
  <si>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</si>
  <si>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</si>
  <si>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</si>
  <si>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</si>
  <si>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</si>
  <si>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</si>
  <si>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</si>
  <si>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</si>
  <si>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</si>
  <si>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</si>
  <si>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</si>
  <si>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</si>
  <si>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</si>
  <si>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</si>
  <si>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</si>
  <si>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</si>
  <si>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</si>
  <si>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</si>
  <si>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</si>
  <si>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</si>
  <si>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</si>
  <si>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</si>
  <si>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</si>
  <si>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</si>
  <si>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</si>
  <si>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</si>
  <si>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</si>
  <si>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</si>
  <si>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</si>
  <si>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</si>
  <si>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</si>
  <si>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</si>
  <si>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</si>
  <si>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</si>
  <si>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</si>
  <si>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</si>
  <si>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</si>
  <si>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</si>
  <si>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</si>
  <si>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</si>
  <si>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</si>
  <si>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</si>
  <si>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</si>
  <si>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</si>
  <si>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</si>
  <si>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</si>
  <si>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</si>
  <si>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</si>
  <si>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</si>
  <si>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</si>
  <si>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</si>
  <si>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</si>
  <si>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</si>
  <si>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HUD</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</si>
  <si>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</si>
  <si>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</si>
  <si>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</si>
  <si>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</si>
  <si>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</si>
  <si>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</si>
  <si>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</si>
  <si>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</si>
  <si>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</si>
  <si>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</si>
  <si>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</si>
  <si>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</si>
  <si>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</si>
  <si>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</si>
  <si>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</si>
  <si>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</si>
  <si>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</si>
  <si>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</si>
  <si>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</si>
  <si>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</si>
  <si>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</si>
  <si>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</si>
  <si>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</si>
  <si>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</si>
  <si>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</si>
  <si>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</si>
  <si>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</si>
  <si>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</si>
  <si>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</si>
  <si>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</si>
  <si>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</si>
  <si>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</si>
  <si>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</si>
  <si>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</si>
  <si>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</si>
  <si>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</si>
  <si>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</si>
  <si>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</si>
  <si>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</si>
  <si>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</si>
  <si>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</si>
  <si>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</si>
  <si>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</si>
  <si>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</si>
  <si>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</si>
  <si>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</si>
  <si>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</si>
  <si>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</si>
  <si>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</si>
  <si>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</si>
  <si>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Low-Rise Elevator</t>
  </si>
  <si>
    <t>New Construction</t>
  </si>
  <si>
    <t>Units6</t>
  </si>
  <si>
    <t>Units7</t>
  </si>
  <si>
    <t>PHA PBRA</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</si>
  <si>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</si>
  <si>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</si>
  <si>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</si>
  <si>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</si>
  <si>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</si>
  <si>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</si>
  <si>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</si>
  <si>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</si>
  <si>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</si>
  <si>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</si>
  <si>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</si>
  <si>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</si>
  <si>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</si>
  <si>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</si>
  <si>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</si>
  <si>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</si>
  <si>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</si>
  <si>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</si>
  <si>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</si>
  <si>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</si>
  <si>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</si>
  <si>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</si>
  <si>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</si>
  <si>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</si>
  <si>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</si>
  <si>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</si>
  <si>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</si>
  <si>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</si>
  <si>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</si>
  <si>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</si>
  <si>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</si>
  <si>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</si>
  <si>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</si>
  <si>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</si>
  <si>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</si>
  <si>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</si>
  <si>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</si>
  <si>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</si>
  <si>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</si>
  <si>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</si>
  <si>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</si>
  <si>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</si>
  <si>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</si>
  <si>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</si>
  <si>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</si>
  <si>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</si>
  <si>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</si>
  <si>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</si>
  <si>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</si>
  <si>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</si>
  <si>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</si>
  <si>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</si>
  <si>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</si>
  <si>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</si>
  <si>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</si>
  <si>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</si>
  <si>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</si>
  <si>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</si>
  <si>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</si>
  <si>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</si>
  <si>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</si>
  <si>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</si>
  <si>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</si>
  <si>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</si>
  <si>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</si>
  <si>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</si>
  <si>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</si>
  <si>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</si>
  <si>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</si>
  <si>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</si>
  <si>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</si>
  <si>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</si>
  <si>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</si>
  <si>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</si>
  <si>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</si>
  <si>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</si>
  <si>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</si>
  <si>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</si>
  <si>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</si>
  <si>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</si>
  <si>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</si>
  <si>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</si>
  <si>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</si>
  <si>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</si>
  <si>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</si>
  <si>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</si>
  <si>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</si>
  <si>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</si>
  <si>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</si>
  <si>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</si>
  <si>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</si>
  <si>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</si>
  <si>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</si>
  <si>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</si>
  <si>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</si>
  <si>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</si>
  <si>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</si>
  <si>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</si>
  <si>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</si>
  <si>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</si>
  <si>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</si>
  <si>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</si>
  <si>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</si>
  <si>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</si>
  <si>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</si>
  <si>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</si>
  <si>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</si>
  <si>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</si>
  <si>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</si>
  <si>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</si>
  <si>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</si>
  <si>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</si>
  <si>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</si>
  <si>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</si>
  <si>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</si>
  <si>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</si>
  <si>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</si>
  <si>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</si>
  <si>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</si>
  <si>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</si>
  <si>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</si>
  <si>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</si>
  <si>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</si>
  <si>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</si>
  <si>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</si>
  <si>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</si>
  <si>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</si>
  <si>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</si>
  <si>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</si>
  <si>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</si>
  <si>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</si>
  <si>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</si>
  <si>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</si>
  <si>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</si>
  <si>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</si>
  <si>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</si>
  <si>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</si>
  <si>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</si>
  <si>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</si>
  <si>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</si>
  <si>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</si>
  <si>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</si>
  <si>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</si>
  <si>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</si>
  <si>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</si>
  <si>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</si>
  <si>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</si>
  <si>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</si>
  <si>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</si>
  <si>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</si>
  <si>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</si>
  <si>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</si>
  <si>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</si>
  <si>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</si>
  <si>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</si>
  <si>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</si>
  <si>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</si>
  <si>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</si>
  <si>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</si>
  <si>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</si>
  <si>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</si>
  <si>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</si>
  <si>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</si>
  <si>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</si>
  <si>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</si>
  <si>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</si>
  <si>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</si>
  <si>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</si>
  <si>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</si>
  <si>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</si>
  <si>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</si>
  <si>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</si>
  <si>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</si>
  <si>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</si>
  <si>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</si>
  <si>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</si>
  <si>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</si>
  <si>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</si>
  <si>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</si>
  <si>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</si>
  <si>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</si>
  <si>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</si>
  <si>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</si>
  <si>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</si>
  <si>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</si>
  <si>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</si>
  <si>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</si>
  <si>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</si>
  <si>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</si>
  <si>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</si>
  <si>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</si>
  <si>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</si>
  <si>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</si>
  <si>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</si>
  <si>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</si>
  <si>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</si>
  <si>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</si>
  <si>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</si>
  <si>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With our Private Enterpirse Agreement associated with Marietta Houisng Authority, the property will be exempt from Real Estate Taxes.  This tax expemtion differs from ongoing annual abatment, therefor no Real Estate Taxes are shown in our Operating Expenses.
Insurance estimates were provided by our insurance company.
The Other Income underwritten includes laundry fees, vending revenue, and other related fees.
PBRA Vouchers will target 2 AMI groups - 6 units at 30% AMI and 17 units at 50% AMI</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</si>
  <si>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</si>
  <si>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</si>
  <si>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</si>
  <si>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</si>
  <si>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</si>
  <si>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</si>
  <si>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</si>
  <si>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</si>
  <si>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</si>
  <si>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</si>
  <si>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</si>
  <si>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</si>
  <si>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</si>
  <si>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</si>
  <si>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</si>
  <si>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</si>
  <si>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</si>
  <si>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</si>
  <si>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</si>
  <si>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</si>
  <si>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</si>
  <si>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</si>
  <si>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</si>
  <si>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</si>
  <si>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</si>
  <si>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</si>
  <si>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</si>
  <si>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</si>
  <si>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</si>
  <si>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</si>
  <si>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</si>
  <si>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</si>
  <si>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</si>
  <si>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</si>
  <si>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</si>
  <si>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</si>
  <si>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</si>
  <si>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</si>
  <si>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</si>
  <si>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</si>
  <si>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</si>
  <si>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</si>
  <si>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</si>
  <si>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</si>
  <si>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</si>
  <si>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</si>
  <si>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</si>
  <si>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</si>
  <si>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</si>
  <si>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</si>
  <si>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</si>
  <si>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</si>
  <si>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</si>
  <si>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</si>
  <si>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</si>
  <si>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</si>
  <si>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</si>
  <si>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</si>
  <si>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</si>
  <si>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</si>
  <si>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</si>
  <si>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The debt service payments do not deviate from the amount shown the Souces of Funds tab. The development meets Threshold Feasibility requirements.
The NSP Loan interest accrues and is not required to be paid out of annual cash flow.</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</si>
  <si>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</si>
  <si>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</si>
  <si>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</si>
  <si>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</si>
  <si>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</si>
  <si>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</si>
  <si>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</si>
  <si>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</si>
  <si>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</si>
  <si>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</si>
  <si>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</si>
  <si>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</si>
  <si>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</si>
  <si>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</si>
  <si>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</si>
  <si>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</si>
  <si>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</si>
  <si>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</si>
  <si>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</si>
  <si>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</si>
  <si>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</si>
  <si>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</si>
  <si>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</si>
  <si>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</si>
  <si>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</si>
  <si>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</si>
  <si>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</si>
  <si>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</si>
  <si>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</si>
  <si>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</si>
  <si>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</si>
  <si>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development will be an HFOP development.</t>
  </si>
  <si>
    <t>SERVICES</t>
  </si>
  <si>
    <t>Applicant certifies that they will meet all requirements of the 2024-2025 QAP, III. Services.</t>
  </si>
  <si>
    <t>Strive 360 Management will identify the needs of the community and provide social and recreational programming.</t>
  </si>
  <si>
    <t>MARKET FEASIBILITY (MARKET STUDY)</t>
  </si>
  <si>
    <t>Provide the name of the market study analyst used by applicant:</t>
  </si>
  <si>
    <t>Tad Scepaniak, Real Property Research Group</t>
  </si>
  <si>
    <t>Overall Market Occupancy Rate:</t>
  </si>
  <si>
    <t>Overall capture rate for:</t>
  </si>
  <si>
    <t>Tax Credit units</t>
  </si>
  <si>
    <t>Market rate units</t>
  </si>
  <si>
    <t>The development will include 58 units. The overall market has a very healthy occupancy of 97.6% and an overall capture rate of 2.6%.</t>
  </si>
  <si>
    <t>APPRAISALS</t>
  </si>
  <si>
    <t>Provide the name of the Appraiser, if an Appraisal is required:</t>
  </si>
  <si>
    <t>Abby Cohen, Novogradac &amp; Company, LLC</t>
  </si>
  <si>
    <t>Is there is an identity of interest between the buyer and seller of the property?</t>
  </si>
  <si>
    <t>If an identity of interest exists between the buyer and seller, did seller purchase this property within the past five (5) years?</t>
  </si>
  <si>
    <t xml:space="preserve">The appraisal has been provided by Novogradac &amp; Company LLC with a land value of $1,440,000 as of May 9, 2024 supporting the value of the property. There is an identity of interest between the ground lessor and the ground lessee. DCA is listed as an intended user in the appraisal. The appraisal meets USPAP standards. </t>
  </si>
  <si>
    <t>ENVIRONMENTAL REQUIREMENTS</t>
  </si>
  <si>
    <t>Name of Company that prepared the Phase I Assessment in accordance with ASTM 1527-21:</t>
  </si>
  <si>
    <t>Tri State Environmental Services</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</si>
  <si>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</si>
  <si>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</si>
  <si>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</si>
  <si>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</si>
  <si>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</si>
  <si>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</si>
  <si>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</si>
  <si>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</si>
  <si>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The only Recognized Environmental Condition (REC) found on site was the metal debris associated with piles located on-site. Off-site, a commercial operation located adjacent to the property is at a slighly higher elevation, and is considered a REC. These RECs required a Phase II Environmental Study. It is recommended that the piles be removed and disposed of at RCRA Subtitle D landfill facility. It is also recommended that confirmatory samples be collected from the native soils beneath the piles. The recommendations will be followed. Per the Phase II report, no additional assessment is recommended.
Lead in Soil testing was completed. While there were small amounts discovered, no additional assessment, remediation or reporting is recommended. Asbestos Containing Materials were found in vacant buildings on-site. These will be removed in accordance with Federal, State, and DCA requirements. All phase I and phase II required work is included in the construction budget.</t>
  </si>
  <si>
    <t>The piles and asbestos will be removed in an appropriate manner. No state waters will be impacted by the development. All the requirements of the QAP are met.</t>
  </si>
  <si>
    <t>SITE CONTROL</t>
  </si>
  <si>
    <t>Form of site control:</t>
  </si>
  <si>
    <t>Ground lease/Option</t>
  </si>
  <si>
    <t>Name of Entity with site control:</t>
  </si>
  <si>
    <t>Finley Place Senior I, LP</t>
  </si>
  <si>
    <t>The entity with site control and the Applicant are the same. Site control exists through at least December 31, 2025. There is a fully executed Option to Ground Lease currently in place.</t>
  </si>
  <si>
    <t>VIII.</t>
  </si>
  <si>
    <t>SITE ACCESS</t>
  </si>
  <si>
    <t>The site entrance is legally accessible from paved public roads.</t>
  </si>
  <si>
    <t>IX.</t>
  </si>
  <si>
    <t>SITE ZONING</t>
  </si>
  <si>
    <t>The site is properly zoned for the intended use.</t>
  </si>
  <si>
    <t>X.</t>
  </si>
  <si>
    <t>OPERATING UTILITIES</t>
  </si>
  <si>
    <t>Enter applicable utility provider name:</t>
  </si>
  <si>
    <t>Gas:</t>
  </si>
  <si>
    <t>Electric:</t>
  </si>
  <si>
    <t>Georgia Power</t>
  </si>
  <si>
    <t>The proposed development will be 100% electric. No gas.</t>
  </si>
  <si>
    <t>XI.</t>
  </si>
  <si>
    <t>PUBLIC WATER/SANITARY SEWER</t>
  </si>
  <si>
    <t>Enter applicable provider name:</t>
  </si>
  <si>
    <t>Public water:</t>
  </si>
  <si>
    <t>Cobb County Water System</t>
  </si>
  <si>
    <t>Sanitary sewer:</t>
  </si>
  <si>
    <t>There is currently water and sewer available at the site per the local utility provider.  No commitments or easements are required.</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</si>
  <si>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</si>
  <si>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</si>
  <si>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</si>
  <si>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</si>
  <si>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</si>
  <si>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</si>
  <si>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</si>
  <si>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</si>
  <si>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</si>
  <si>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</si>
  <si>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</si>
  <si>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</si>
  <si>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</si>
  <si>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</si>
  <si>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 xml:space="preserve">Equipped Computer Center and WiFi </t>
  </si>
  <si>
    <t>(If DCA Pre-Approved amenity not listed in Architectural Manual, describe)</t>
  </si>
  <si>
    <t>2)</t>
  </si>
  <si>
    <t>Furnished Exercise /Fitness Center</t>
  </si>
  <si>
    <t>3)</t>
  </si>
  <si>
    <t>(Select an amenity from options provided here)</t>
  </si>
  <si>
    <t>4)</t>
  </si>
  <si>
    <t>None of the proposed amenities require a waiver.</t>
  </si>
  <si>
    <t>XIII.</t>
  </si>
  <si>
    <t>REHABILITATION STANDARDS</t>
  </si>
  <si>
    <t>Has this Application received a Waiver from DCA for criteria in this section?</t>
  </si>
  <si>
    <t>Type of rehab (choose one):</t>
  </si>
  <si>
    <t>Name of consultant preparing PNA:</t>
  </si>
  <si>
    <t>N/A - Proposed development is 100% New Construction</t>
  </si>
  <si>
    <t>XIV.</t>
  </si>
  <si>
    <t>SITE INFORMATION AND CONCEPTUAL SITE DEVELOPMENT PLAN</t>
  </si>
  <si>
    <t>The CSDP and supplemental documents meet the requirements of the section.</t>
  </si>
  <si>
    <t>XV.</t>
  </si>
  <si>
    <t>BUILDING SUSTAINABILITY</t>
  </si>
  <si>
    <t>Sustainability Standards</t>
  </si>
  <si>
    <t>Applicant certifies that, at a minimum, all dwelling units will comply with the requirements of the 2024-2025 QAP, XV. Building Sustainability and the 2024 Architectural Manual.</t>
  </si>
  <si>
    <t>Agree</t>
  </si>
  <si>
    <t>Sustainable Building Certification</t>
  </si>
  <si>
    <t>HIRL NGBS - Min Bronze level of ICC-700</t>
  </si>
  <si>
    <t>The development will receive a National Green Building Standard Certification.</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</si>
  <si>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</si>
  <si>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</si>
  <si>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</si>
  <si>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</si>
  <si>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</si>
  <si>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</si>
  <si>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</si>
  <si>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</si>
  <si>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</si>
  <si>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</si>
  <si>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</si>
  <si>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</si>
  <si>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</si>
  <si>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</si>
  <si>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</si>
  <si>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</si>
  <si>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</si>
  <si>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Terry Kitay - Baker, Donelson, Bearman, Caldwell &amp; Berkowitz, PC</t>
  </si>
  <si>
    <t>Is this Consultant a member of the proposed Project Team?</t>
  </si>
  <si>
    <t>Is there an Identity of Interest between this Consultant and anyone in the Project Team?</t>
  </si>
  <si>
    <t xml:space="preserve">The development will comply with the required standards.  We are committed to providing 10% of our units for Supportive Services Referrals.  There will be 6 units adaptable under scoring requirements.  We are also committed to providing an additional 6 units that meet the mobility and sensory impairment requirements, with 6 being for mobility, 3 with curbless showers, and 2 more that are for hearing and sight-impaired residents.  </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</si>
  <si>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</si>
  <si>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</si>
  <si>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</si>
  <si>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</si>
  <si>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</si>
  <si>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</si>
  <si>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Major Building Component Materials &amp; Upgrades  (Select one):</t>
  </si>
  <si>
    <t xml:space="preserve">Fiber cement siding or other thirty year warranty product installed on all exterior wall surfaces not already required to be brick </t>
  </si>
  <si>
    <t>Additional Design Options: If the applicant has pre-approval of additional design options not listed above, please indicate below:</t>
  </si>
  <si>
    <t>The development will comply with the required standards.</t>
  </si>
  <si>
    <t>XVIII.</t>
  </si>
  <si>
    <t>PROJECT TEAM QUALIFICATIONS</t>
  </si>
  <si>
    <t xml:space="preserve">Did the Certifying Entity meet the Experience requirements in 2023? </t>
  </si>
  <si>
    <t>Yes - see Comment</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</si>
  <si>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</si>
  <si>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</si>
  <si>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</si>
  <si>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</si>
  <si>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Qualified</t>
  </si>
  <si>
    <t>DCA Final Determination:</t>
  </si>
  <si>
    <t>Applicant was deemed qualified on its pre-application determination request. The Certifying Entity met the Experience requirements in 2023 with its Wilshire II Application. It was deemed Qualified with its Qualification Determination request for Finley Place during the Pre-Application round.</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</si>
  <si>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</si>
  <si>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</si>
  <si>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</si>
  <si>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</si>
  <si>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</si>
  <si>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</si>
  <si>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</si>
  <si>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</si>
  <si>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</si>
  <si>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</si>
  <si>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</si>
  <si>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</si>
  <si>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</si>
  <si>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</si>
  <si>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</si>
  <si>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</si>
  <si>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</si>
  <si>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</si>
  <si>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</si>
  <si>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</si>
  <si>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</si>
  <si>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</si>
  <si>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 xml:space="preserve">Legal Opinion provided for Private Enterprise Agreement and Tax Exemption </t>
  </si>
  <si>
    <t xml:space="preserve">A legal opinion is provided that confirms real estate tax exemption will be obtainable for the property due to the Private Enterprise Agreement.  </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</si>
  <si>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</si>
  <si>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</si>
  <si>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</si>
  <si>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</si>
  <si>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</si>
  <si>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</si>
  <si>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 xml:space="preserve">The site has no tenants on the property. No displacement will occur.  </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</si>
  <si>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</si>
  <si>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</si>
  <si>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</si>
  <si>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</si>
  <si>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The development team agrees to prepare and submit an AFFH marketing plan that meets the requirements above, and agrees to provide reasonable accomodation for residents in the Property Management's tenant application.</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</si>
  <si>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</si>
  <si>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</si>
  <si>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</si>
  <si>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</si>
  <si>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</si>
  <si>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</si>
  <si>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The development and management team will meet all requirements for Suportive Housing</t>
  </si>
  <si>
    <t>XXV.</t>
  </si>
  <si>
    <t>TENANT SELECTION</t>
  </si>
  <si>
    <t>Applicant certifies they will meet the requirements of the 2024-2025 QAP, XXV. Tenant Selection section and the 2024 Compliance Manual.</t>
  </si>
  <si>
    <t>This development tenancy will be Housing For Older Persons and will meet all associated requirements within the QAP including elevators, interior conditioned and furnished gathering areas.</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</si>
  <si>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</si>
  <si>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</si>
  <si>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</si>
  <si>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</si>
  <si>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Applicant agrees to DCA PBRA agreements and will meet all requirements.</t>
  </si>
  <si>
    <t>XXVII.</t>
  </si>
  <si>
    <t>OPTIMAL UTILIZATION OF RESOURCES</t>
  </si>
  <si>
    <t>The development is an effective, efficient, and lawful allocation and utilization of the Housing Credit Program.</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</si>
  <si>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</si>
  <si>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</si>
  <si>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</si>
  <si>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</si>
  <si>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</si>
  <si>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</si>
  <si>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</si>
  <si>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</si>
  <si>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</si>
  <si>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</si>
  <si>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</si>
  <si>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</si>
  <si>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</si>
  <si>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</si>
  <si>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</si>
  <si>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</si>
  <si>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</si>
  <si>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</si>
  <si>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</si>
  <si>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</si>
  <si>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</si>
  <si>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</si>
  <si>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</si>
  <si>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</si>
  <si>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</si>
  <si>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</si>
  <si>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</si>
  <si>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</si>
  <si>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</si>
  <si>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</si>
  <si>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</si>
  <si>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</si>
  <si>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</si>
  <si>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</si>
  <si>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</si>
  <si>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</si>
  <si>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</si>
  <si>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</si>
  <si>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</si>
  <si>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</si>
  <si>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</si>
  <si>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</si>
  <si>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</si>
  <si>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</si>
  <si>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</si>
  <si>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</si>
  <si>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</si>
  <si>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</si>
  <si>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</si>
  <si>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</si>
  <si>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</si>
  <si>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</si>
  <si>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</si>
  <si>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</si>
  <si>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</si>
  <si>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</si>
  <si>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</si>
  <si>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</si>
  <si>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</si>
  <si>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</si>
  <si>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</si>
  <si>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</si>
  <si>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</si>
  <si>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</si>
  <si>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</si>
  <si>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</si>
  <si>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</si>
  <si>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</si>
  <si>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</si>
  <si>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</si>
  <si>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</si>
  <si>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</si>
  <si>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</si>
  <si>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</si>
  <si>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</si>
  <si>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</si>
  <si>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</si>
  <si>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</si>
  <si>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</si>
  <si>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</si>
  <si>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</si>
  <si>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</si>
  <si>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</si>
  <si>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</si>
  <si>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</si>
  <si>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</si>
  <si>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</si>
  <si>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</si>
  <si>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</si>
  <si>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</si>
  <si>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Other DCA Pre-Approved Amenity</t>
  </si>
  <si>
    <t>&lt;&lt; Select a Sustainable Development Certification &gt;&gt;</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</si>
  <si>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</si>
  <si>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</si>
  <si>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</si>
  <si>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</si>
  <si>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</si>
  <si>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</si>
  <si>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</si>
  <si>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</si>
  <si>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</si>
  <si>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</si>
  <si>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</si>
  <si>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</si>
  <si>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</si>
  <si>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</si>
  <si>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</si>
  <si>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</si>
  <si>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</si>
  <si>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</si>
  <si>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</si>
  <si>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</si>
  <si>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</si>
  <si>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</si>
  <si>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</si>
  <si>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</si>
  <si>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Atlanta Metro</t>
  </si>
  <si>
    <t>&lt;&lt; Select Pool &gt;&gt;</t>
  </si>
  <si>
    <t>New Affordability Scoring Track</t>
  </si>
  <si>
    <t>Stable Communities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</si>
  <si>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</si>
  <si>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</si>
  <si>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</si>
  <si>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</si>
  <si>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</si>
  <si>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</si>
  <si>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</si>
  <si>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</si>
  <si>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</si>
  <si>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</si>
  <si>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</si>
  <si>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</si>
  <si>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</si>
  <si>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</si>
  <si>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</si>
  <si>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</si>
  <si>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</si>
  <si>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</si>
  <si>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</si>
  <si>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</si>
  <si>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</si>
  <si>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</si>
  <si>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</si>
  <si>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</si>
  <si>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</si>
  <si>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</si>
  <si>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</si>
  <si>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</si>
  <si>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</si>
  <si>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</si>
  <si>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</si>
  <si>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The Applicant commits to engage QBs in the development or operation of Finley Place in the amount greater than or equal to 10%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t>
  </si>
  <si>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</si>
  <si>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</si>
  <si>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</si>
  <si>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</si>
  <si>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</si>
  <si>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</si>
  <si>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</si>
  <si>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</si>
  <si>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</si>
  <si>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</si>
  <si>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</si>
  <si>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</si>
  <si>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</si>
  <si>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</si>
  <si>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</si>
  <si>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</si>
  <si>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</si>
  <si>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</si>
  <si>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</si>
  <si>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</si>
  <si>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</si>
  <si>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</si>
  <si>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</si>
  <si>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</si>
  <si>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</si>
  <si>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</si>
  <si>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</si>
  <si>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</si>
  <si>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</si>
  <si>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</si>
  <si>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</si>
  <si>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</si>
  <si>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</si>
  <si>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</si>
  <si>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</si>
  <si>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</si>
  <si>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</si>
  <si>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</si>
  <si>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The development has received a Neighbrohood Stabilization Program Loan from HUD through Cobb County's administrative agency in the amount of $2,279,916. The loan will be used during the construction and permanent phases.  NSP fund terms include the interest rate is, at or below long term monthly AFR, will be utilized if the development is awarded, and will be outstanding for at least ten (10) years. Additionally, the applicant has entered into a Private Enterprise Agreement with the owner of the property, Marietta Housing Authority.  The Housing Authority, by right, is exempt from real estate property taxes.  The development is eligible to receive three (3.5) points within this category.</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</si>
  <si>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</si>
  <si>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</si>
  <si>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</si>
  <si>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</si>
  <si>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</si>
  <si>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</si>
  <si>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</si>
  <si>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</si>
  <si>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</si>
  <si>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</si>
  <si>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</si>
  <si>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</si>
  <si>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</si>
  <si>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</si>
  <si>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</si>
  <si>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</si>
  <si>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</si>
  <si>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</si>
  <si>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</si>
  <si>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</si>
  <si>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</si>
  <si>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</si>
  <si>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</si>
  <si>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</si>
  <si>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</si>
  <si>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</si>
  <si>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</si>
  <si>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</si>
  <si>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</si>
  <si>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</si>
  <si>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</si>
  <si>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</si>
  <si>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</si>
  <si>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</si>
  <si>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</si>
  <si>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</si>
  <si>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</si>
  <si>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</si>
  <si>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</si>
  <si>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Readiness to Proceed Narrative</t>
  </si>
  <si>
    <t xml:space="preserve">READINESS TO PROCEED
Finley Place Narrative
The Prestwick Development Team has completed each relevant item as it relates to readiness to proceed.  Each Threshold item has been completed and submitted in accordance with the State of Georgia 2024-2025 Qualified Action Plan.    Also, Prestwick is fully staffed with development professionals to commence closing activities and procedures upon an allocation of Tax Credits.  Furthermore, in an effort to expedite the development and secure the multifamily zoned site, Marietta Housing Authority purchased the property.  
Site Control and Zoning:  The development team confirms that they have secured site control for the project's location. Furthermore, the site has been meticulously assessed and confirmed to be zoned appropriately for the proposed use. This significant milestone underscores the team's strategic planning and diligent efforts in navigating regulatory frameworks to ensure alignment with the project's objectives. With site control established and zoning regulations in place, the team is poised to proceed confidently with the next phases of development, bringing the envisioned project to fruition in accordance with the outlined plans when Tax Credits are awarded.
Site Control – Option to Ground Lease from Marietta Housing Authority
Zoning – RM-12 (allows multifamily housing and up to 72 units)
All minimum documentation including the letter from the local government, copy of the relevant code, and the CSDP demonstrates zoning compliance.
Public Water/Sanitary Sewer and Operating Utilities:  We confirm that the project site boasts access to essential infrastructure, including public sewer, public water, and electric services. This critical confirmation underscores the site's suitability for development and alleviates potential logistical concerns. With these fundamental utilities readily available, the project is poised to proceed smoothly, ensuring seamless operations and sustainable functionality. This milestone signifies a significant step forward in realizing the project's vision with all required services and provided by the municipality and utility provider.  No easements are required with all connections being made in the right of way.
Water Provider – Cobb County
Sanitary Sewer Provider – Cobb County	
Electricity Provider – Georgia Power
Site Information and Conceptual Site Development Plan:  All items have been completed per section XIV Site Information and Conceptual Site Development Plan.  The cover sheet template provided by DCA has been utilized.  The following items where applicable have been included on the 11X17 plan:
     all existing and proposed easements defined and indicated; 
     wetlands, floodplains, and state waters located with areas of disturbance calculated for the wetlands, including required buffer zones clearly delineated to reflect how they will impact the development of the site; 
     use of all adjacent properties and structures within 100’ of the subject property boundary defined both graphically and in written form; 
     zoning setbacks and restrictions graphically indicated; 
     indication of all existing structures, tanks, slabs, utilities and any other improvements existing on the property at the time of Application Submission
     indication of all driving and walking entrance access to the property and a layout of all buildings, roads, paved pedestrian walkways and parking areas; 
     location of all interior and exterior site amenities indicated in the Application; and 
     areas of existing tree and vegetation preservation and new landscaping clearly defined both graphically and in written form.
Preliminary Financing Commitments:  We confirm that the project has successfully secured all preliminary financing commitments, encompassing both debt and equity components. This milestone marks a pivotal moment in the project's journey, underscoring the confidence and support garnered from investors and financial institutions alike. With all financing arrangements in place, the project is poised to advance swiftly through its development phases, with the necessary resources secured to fuel its progress. This achievement not only validates the project's viability but also positions it for sustained success as it moves forward towards realization.
Debt Provider – Truist Bank
Equity Provider – Truist Community Capital
Favorable Financing Provider – Cobb County NSP
Phase I Environmental Site Assessment:  We confirm the completion of comprehensive environmental assessments for the project. These assessments have been conducted with meticulous attention to detail, ensuring compliance with regulatory standards and a thorough understanding of any environmental considerations. Through diligent examination and analysis, potential risks have been identified and addressed, reaffirming our commitment to environmental stewardship and sustainable development practices. With these assessments completed, we stand ready to move forward confidently, prioritizing the preservation and protection of the environment while advancing our project goals.
All Threshold requirements have been met.  A completed Phase I ESA has been completed and included.  The report is completed to DCA standards per the environmental manual.  
General Contractor Cost Estimate:  We confirm that we have received an estimated budget from a reputable and experienced contractor for our project. This milestone represents a significant step forward in our planning process, as it provides us with valuable insights into the anticipated costs associated with the construction phase. The detailed estimate, provided by a contractor known for their expertise and reliability, reflects thorough consideration of all project requirements and specifications. Armed with this information, we can now proceed with greater clarity and confidence, ensuring that our budgeting and financing plans are aligned with the realities of construction.
Contractor – JM Wilkerson
Budget Estimate – $14,368,887
Market Study:  We confirm the completion of a comprehensive market study, which unequivocally demonstrates strong demand within our target market. This study, conducted with rigor and precision, has provided invaluable insights into consumer preferences, market trends, and competitive dynamics. The findings underscore the compelling opportunity that our project represents, validating its alignment with current market needs and future growth potential. Armed with this data-driven understanding of market demand, we are well-positioned to capitalize on opportunities and navigate challenges, ensuring the success and sustainability of our venture.
Capture rate – 2.60% for tax credit uses and .020% for the market rate units.
Market occupancy – 97.60%
Additional Documentation:  
Appraisal – completed with Land Value Supported.  </t>
  </si>
  <si>
    <t xml:space="preserve">All readiness to proceed documents are provided except the not applicable Physical Needs Assessment.  The applicant has completed all due diligence to feel comfortable that, if awarded, we could execute on the proposed development expeditously. </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</si>
  <si>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</si>
  <si>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</si>
  <si>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</si>
  <si>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</si>
  <si>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</si>
  <si>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</si>
  <si>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</si>
  <si>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</si>
  <si>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</si>
  <si>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</si>
  <si>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</si>
  <si>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Applicant agrees to utilize the PHA waiting list  as well as all other requirements of the QAP in this section.</t>
  </si>
  <si>
    <t>DESIRABLE AND UNDESIRABLE ACTIVITIES</t>
  </si>
  <si>
    <t>Desirable Activities</t>
  </si>
  <si>
    <t xml:space="preserve">Undesirable/Inefficient Site Activities/Characteristics   </t>
  </si>
  <si>
    <t>various</t>
  </si>
  <si>
    <t xml:space="preserve">Finley Place qualifies for 21.5 desirable points with a 20 point cap.  </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</si>
  <si>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</si>
  <si>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</si>
  <si>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</si>
  <si>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</si>
  <si>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</si>
  <si>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</si>
  <si>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</si>
  <si>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</si>
  <si>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</si>
  <si>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</si>
  <si>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</si>
  <si>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Cobb Linc</t>
  </si>
  <si>
    <t>770-427-4444</t>
  </si>
  <si>
    <t>cobblinc_cs@cobbcounty.org</t>
  </si>
  <si>
    <t>www.cobbcounty.org/transportation/cobblinc</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</si>
  <si>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</si>
  <si>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</si>
  <si>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</si>
  <si>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</si>
  <si>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</si>
  <si>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</si>
  <si>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</si>
  <si>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</si>
  <si>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</si>
  <si>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</si>
  <si>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</si>
  <si>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The pedestrian site entrance is located less than 0.25 miles from a CobbLinc Bus Stop.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</si>
  <si>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</si>
  <si>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</si>
  <si>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</si>
  <si>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</si>
  <si>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</si>
  <si>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</si>
  <si>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Austell Elementary</t>
  </si>
  <si>
    <t xml:space="preserve">Garrett Middle </t>
  </si>
  <si>
    <t>South Cobb High</t>
  </si>
  <si>
    <t xml:space="preserve">Finley Place is in the Cobb County School District.  Specifically, the site has attendance zone for Austell Elementary, Garrett Middle, and South Cobb High.  Collectively they serve grades K thru 12.  All 3 schools have meet the "Beating the Odds" designation in 2018 or later as well as meetign the criteria in Option C.  Therefore, as a HFOP tenancy, is eligible for 2.0 points.  School District Maps are labeled from 2013-2014, however they reflect the current attendance zones from Cobb County School District website.    </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</si>
  <si>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</si>
  <si>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</si>
  <si>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</si>
  <si>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</si>
  <si>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</si>
  <si>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</si>
  <si>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</si>
  <si>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</si>
  <si>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</si>
  <si>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</si>
  <si>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</si>
  <si>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</si>
  <si>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</si>
  <si>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</si>
  <si>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</si>
  <si>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</si>
  <si>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</si>
  <si>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</si>
  <si>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</si>
  <si>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</si>
  <si>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</si>
  <si>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</si>
  <si>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</si>
  <si>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</si>
  <si>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</si>
  <si>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</si>
  <si>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</si>
  <si>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</si>
  <si>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N/A - Claiming Stable Communities Points</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</si>
  <si>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</si>
  <si>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</si>
  <si>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</si>
  <si>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</si>
  <si>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</si>
  <si>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</si>
  <si>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</si>
  <si>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</si>
  <si>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</si>
  <si>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</si>
  <si>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</si>
  <si>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</si>
  <si>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</si>
  <si>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</si>
  <si>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</si>
  <si>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</si>
  <si>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</si>
  <si>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</si>
  <si>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</si>
  <si>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t>Above 50th</t>
  </si>
  <si>
    <t>Near Census Tract</t>
  </si>
  <si>
    <t>Transit Access Index</t>
  </si>
  <si>
    <t>Within Census Tract</t>
  </si>
  <si>
    <t>Jobs Proximity Index</t>
  </si>
  <si>
    <t>At or below 50th</t>
  </si>
  <si>
    <t>Above poverty level</t>
  </si>
  <si>
    <t>Median Income</t>
  </si>
  <si>
    <t xml:space="preserve">Finley Place is located in Cenus Tract: 13067031415.  The Nearby Census Tract is 13067031414 and located less than 0.25 miles driving distance from Subject.  There are 4 indicators above 50th percentile.  3 indicators in the Nearby Census Tract, plus 1 indicator  Within Census Tract, making it eligible for 9 points.   </t>
  </si>
  <si>
    <t>COMMUNITY DESIGNATIONS</t>
  </si>
  <si>
    <t>HUD Choice Neighborhood Implementation (CNI) Grant</t>
  </si>
  <si>
    <t>Purpose Built Communities</t>
  </si>
  <si>
    <t>N/A-Claiming Stable Community Points</t>
  </si>
  <si>
    <t>PHASED DEVELOPMENT</t>
  </si>
  <si>
    <t>Proposed project is part of a Phased Development?</t>
  </si>
  <si>
    <t>DCA Project #</t>
  </si>
  <si>
    <t>Construction Commencement Date</t>
  </si>
  <si>
    <t>First phase:</t>
  </si>
  <si>
    <t>If applicable, second phase:</t>
  </si>
  <si>
    <t>Finley Place is the first phase of a multiple phase development</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</si>
  <si>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</si>
  <si>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</si>
  <si>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</si>
  <si>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</si>
  <si>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</si>
  <si>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</si>
  <si>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</si>
  <si>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</si>
  <si>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</si>
  <si>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</si>
  <si>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There have been no awards of 9% or 4% credits given within the Local Government Boundary of Austell in the last fifteen DCA Housing Credit Competitive Rounds. The site has been annexed into the City of Austell. Austell has been incorporated since before January 1, 2018. Therefore, the development is eligible to receive five (5) points within the category.  The site was annexed into the city of Austell prior to Prestwick's involvement.</t>
  </si>
  <si>
    <t>HOUSING NEEDS CHARACTERISTICS</t>
  </si>
  <si>
    <t>Points from only one of the following sections will contribute to the Application score:</t>
  </si>
  <si>
    <t>Revitalization/Redevelopment Plans</t>
  </si>
  <si>
    <t>Housing Need and Growth</t>
  </si>
  <si>
    <t>Stable Communities and Revitalization Characteristics</t>
  </si>
  <si>
    <t>N/A-Claiming Stable Communities Points</t>
  </si>
  <si>
    <t>ECONOMIC DEVELOPMENT PROXIMITY</t>
  </si>
  <si>
    <t>Economic Development Project</t>
  </si>
  <si>
    <t>Miles from App Site per Google Maps</t>
  </si>
  <si>
    <t>Net New Jobs Expected</t>
  </si>
  <si>
    <t>Name</t>
  </si>
  <si>
    <t>Zip</t>
  </si>
  <si>
    <t>N/A -Not Eligible</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</si>
  <si>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</si>
  <si>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</si>
  <si>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</si>
  <si>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</si>
  <si>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</si>
  <si>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</si>
  <si>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</si>
  <si>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</si>
  <si>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</si>
  <si>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N/A-Finley Place is 100% New Construction</t>
  </si>
  <si>
    <t>ENRICHED PROPERTY SERVICES</t>
  </si>
  <si>
    <t>Owner-provided Services</t>
  </si>
  <si>
    <t>Entity in GP receiving certification from CORES:</t>
  </si>
  <si>
    <t>3rd Party Contractor</t>
  </si>
  <si>
    <t>The Applicant commits to accepting resident services coordination from an entity certified as a "3rd Pary Resident Services Coordination Contractor" by CORES or other DCA-approved program. The Applicant will meet all of the requirements within the QAP under this section.</t>
  </si>
  <si>
    <t>DCA COMMUNITY INITIATIVES</t>
  </si>
  <si>
    <t>Georgia Initiative for Community Housing (GICH)</t>
  </si>
  <si>
    <t>Enter GICH Community Name</t>
  </si>
  <si>
    <t>Austell is not a GICH Community</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</si>
  <si>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</si>
  <si>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</si>
  <si>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</si>
  <si>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</si>
  <si>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</si>
  <si>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</si>
  <si>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</si>
  <si>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</si>
  <si>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</si>
  <si>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</si>
  <si>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</si>
  <si>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</si>
  <si>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</si>
  <si>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</si>
  <si>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</si>
  <si>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Community Designations</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</si>
  <si>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</si>
  <si>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</si>
  <si>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</si>
  <si>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</si>
  <si>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</si>
  <si>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</si>
  <si>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</si>
  <si>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</si>
  <si>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</si>
  <si>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</si>
  <si>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</si>
  <si>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</si>
  <si>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</si>
  <si>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</si>
  <si>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</si>
  <si>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</si>
  <si>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</si>
  <si>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</si>
  <si>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</si>
  <si>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t>N/A - Finley Place is 100% New Construction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</si>
  <si>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</si>
  <si>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</si>
  <si>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</si>
  <si>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III. Extended Affordability: Applicant agreed to forego all Qualified Contract cancellation options.
VI. Compliance Performance: Certified Entities have no negative Compliance or Performance history that would result in point deduction.  Provided in Folder 06 is a list of more than 20 properties that qualify the poject team for 5 points, if necessary.
Self-Score 86.5</t>
  </si>
  <si>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</si>
  <si>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</si>
  <si>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</si>
  <si>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</si>
  <si>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</si>
  <si>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</si>
  <si>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</si>
  <si>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</si>
  <si>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</si>
  <si>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</si>
  <si>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</si>
  <si>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</si>
  <si>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</si>
  <si>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</si>
  <si>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</si>
  <si>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</si>
  <si>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</si>
  <si>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</si>
  <si>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</si>
  <si>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</si>
  <si>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</si>
  <si>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</si>
  <si>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</si>
  <si>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</si>
  <si>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</si>
  <si>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</si>
  <si>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</si>
  <si>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</si>
  <si>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</si>
  <si>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</si>
  <si>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</si>
  <si>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</si>
  <si>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</si>
  <si>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</si>
  <si>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</si>
  <si>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</si>
  <si>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</si>
  <si>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</si>
  <si>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</si>
  <si>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</si>
  <si>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</si>
  <si>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</si>
  <si>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</si>
  <si>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</si>
  <si>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</si>
  <si>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</si>
  <si>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</si>
  <si>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</si>
  <si>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</si>
  <si>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</si>
  <si>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</si>
  <si>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</si>
  <si>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</si>
  <si>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</si>
  <si>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</si>
  <si>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</si>
  <si>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</si>
  <si>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</si>
  <si>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</si>
  <si>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</si>
  <si>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</si>
  <si>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</si>
  <si>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</si>
  <si>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</si>
  <si>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</si>
  <si>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</si>
  <si>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</si>
  <si>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</si>
  <si>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</si>
  <si>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</si>
  <si>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</si>
  <si>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</si>
  <si>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</si>
  <si>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</si>
  <si>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</si>
  <si>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</si>
  <si>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</si>
  <si>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</si>
  <si>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</si>
  <si>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</si>
  <si>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</si>
  <si>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</si>
  <si>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</si>
  <si>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</si>
  <si>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</si>
  <si>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</si>
  <si>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</si>
  <si>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</si>
  <si>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</si>
  <si>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</si>
  <si>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</si>
  <si>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</si>
  <si>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</si>
  <si>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</si>
  <si>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</si>
  <si>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</si>
  <si>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</si>
  <si>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</si>
  <si>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</si>
  <si>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</si>
  <si>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</si>
  <si>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</si>
  <si>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</si>
  <si>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</si>
  <si>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</si>
  <si>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</si>
  <si>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</si>
  <si>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</si>
  <si>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</si>
  <si>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</si>
  <si>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</si>
  <si>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</si>
  <si>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</si>
  <si>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</si>
  <si>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</si>
  <si>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</si>
  <si>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</si>
  <si>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</si>
  <si>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</si>
  <si>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</si>
  <si>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</si>
  <si>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</si>
  <si>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</si>
  <si>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</si>
  <si>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</si>
  <si>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</si>
  <si>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</si>
  <si>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</si>
  <si>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</si>
  <si>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</si>
  <si>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</si>
  <si>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</si>
  <si>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</si>
  <si>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</si>
  <si>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</si>
  <si>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</si>
  <si>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</si>
  <si>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</si>
  <si>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</si>
  <si>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</si>
  <si>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</si>
  <si>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</si>
  <si>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</si>
  <si>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</si>
  <si>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</si>
  <si>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</si>
  <si>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</si>
  <si>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</si>
  <si>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</si>
  <si>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</si>
  <si>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</si>
  <si>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</si>
  <si>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</si>
  <si>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</si>
  <si>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</si>
  <si>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</si>
  <si>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</si>
  <si>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</si>
  <si>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</si>
  <si>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</si>
  <si>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</si>
  <si>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</si>
  <si>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</si>
  <si>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</si>
  <si>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</si>
  <si>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</si>
  <si>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</si>
  <si>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</si>
  <si>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</si>
  <si>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</si>
  <si>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</si>
  <si>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</si>
  <si>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</si>
  <si>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</si>
  <si>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</si>
  <si>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</si>
  <si>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</si>
  <si>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</si>
  <si>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</si>
  <si>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</si>
  <si>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</si>
  <si>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</si>
  <si>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</si>
  <si>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</si>
  <si>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</si>
  <si>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</si>
  <si>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</si>
  <si>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</si>
  <si>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</si>
  <si>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</si>
  <si>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</si>
  <si>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</si>
  <si>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</si>
  <si>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</si>
  <si>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</si>
  <si>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</si>
  <si>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</si>
  <si>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</si>
  <si>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</si>
  <si>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</si>
  <si>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</si>
  <si>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</si>
  <si>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</si>
  <si>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</si>
  <si>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</si>
  <si>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</si>
  <si>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</si>
  <si>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</si>
  <si>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</si>
  <si>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</si>
  <si>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</si>
  <si>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</si>
  <si>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</si>
  <si>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</si>
  <si>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</si>
  <si>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</si>
  <si>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</si>
  <si>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</si>
  <si>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</si>
  <si>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</si>
  <si>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</si>
  <si>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</si>
  <si>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</si>
  <si>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</si>
  <si>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</si>
  <si>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</si>
  <si>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</si>
  <si>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</si>
  <si>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</si>
  <si>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</si>
  <si>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</si>
  <si>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</si>
  <si>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</si>
  <si>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</si>
  <si>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</si>
  <si>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</si>
  <si>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</si>
  <si>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</si>
  <si>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</si>
  <si>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</si>
  <si>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</si>
  <si>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</si>
  <si>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</si>
  <si>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</si>
  <si>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</si>
  <si>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</si>
  <si>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</si>
  <si>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</si>
  <si>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</si>
  <si>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</si>
  <si>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</si>
  <si>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</si>
  <si>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</si>
  <si>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</si>
  <si>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</si>
  <si>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</si>
  <si>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</si>
  <si>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</si>
  <si>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</si>
  <si>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</si>
  <si>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</si>
  <si>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</si>
  <si>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</si>
  <si>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</si>
  <si>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</si>
  <si>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</si>
  <si>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</si>
  <si>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</si>
  <si>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</si>
  <si>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</si>
  <si>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</si>
  <si>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</si>
  <si>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</si>
  <si>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</si>
  <si>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</si>
  <si>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</si>
  <si>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</si>
  <si>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</si>
  <si>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</si>
  <si>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</si>
  <si>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</si>
  <si>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</si>
  <si>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</si>
  <si>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</si>
  <si>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</si>
  <si>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</si>
  <si>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</si>
  <si>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</si>
  <si>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</si>
  <si>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</si>
  <si>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</si>
  <si>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</si>
  <si>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</si>
  <si>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</si>
  <si>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</si>
  <si>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</si>
  <si>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</si>
  <si>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</si>
  <si>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</si>
  <si>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</si>
  <si>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</si>
  <si>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</si>
  <si>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</si>
  <si>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</si>
  <si>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</si>
  <si>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</si>
  <si>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</si>
  <si>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</si>
  <si>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</si>
  <si>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</si>
  <si>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</si>
  <si>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</si>
  <si>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</si>
  <si>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</si>
  <si>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</si>
  <si>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</si>
  <si>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</si>
  <si>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</si>
  <si>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</si>
  <si>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</si>
  <si>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</si>
  <si>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</si>
  <si>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</si>
  <si>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</si>
  <si>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</si>
  <si>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</si>
  <si>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</si>
  <si>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</si>
  <si>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</si>
  <si>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</si>
  <si>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</si>
  <si>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</si>
  <si>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</si>
  <si>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</si>
  <si>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</si>
  <si>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</si>
  <si>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</si>
  <si>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</si>
  <si>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</si>
  <si>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</si>
  <si>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</si>
  <si>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</si>
  <si>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</si>
  <si>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</si>
  <si>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</si>
  <si>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</si>
  <si>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</si>
  <si>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</si>
  <si>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</si>
  <si>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</si>
  <si>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</si>
  <si>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</si>
  <si>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</si>
  <si>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</si>
  <si>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</si>
  <si>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</si>
  <si>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</si>
  <si>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</si>
  <si>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</si>
  <si>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</si>
  <si>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</si>
  <si>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</si>
  <si>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</si>
  <si>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</si>
  <si>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</si>
  <si>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</si>
  <si>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</si>
  <si>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</si>
  <si>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</si>
  <si>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</si>
  <si>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</si>
  <si>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</si>
  <si>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</si>
  <si>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</si>
  <si>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</si>
  <si>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</si>
  <si>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</si>
  <si>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</si>
  <si>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</si>
  <si>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</si>
  <si>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</si>
  <si>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</si>
  <si>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</si>
  <si>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</si>
  <si>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</si>
  <si>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</si>
  <si>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</si>
  <si>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</si>
  <si>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</si>
  <si>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</si>
  <si>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</si>
  <si>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</si>
  <si>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</si>
  <si>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</si>
  <si>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</si>
  <si>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</si>
  <si>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</si>
  <si>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</si>
  <si>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</si>
  <si>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</si>
  <si>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</si>
  <si>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</si>
  <si>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</si>
  <si>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</si>
  <si>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</si>
  <si>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</si>
  <si>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</si>
  <si>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</si>
  <si>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</si>
  <si>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</si>
  <si>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</si>
  <si>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</si>
  <si>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</si>
  <si>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</si>
  <si>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</si>
  <si>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</si>
  <si>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</si>
  <si>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</si>
  <si>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</si>
  <si>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</si>
  <si>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</si>
  <si>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</si>
  <si>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</si>
  <si>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</si>
  <si>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</si>
  <si>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</si>
  <si>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</si>
  <si>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</si>
  <si>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</si>
  <si>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</si>
  <si>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</si>
  <si>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</si>
  <si>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</si>
  <si>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</si>
  <si>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</si>
  <si>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</si>
  <si>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</si>
  <si>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</si>
  <si>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</si>
  <si>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</si>
  <si>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</si>
  <si>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</si>
  <si>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</si>
  <si>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</si>
  <si>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</si>
  <si>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</si>
  <si>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</si>
  <si>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</si>
  <si>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</si>
  <si>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</si>
  <si>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</si>
  <si>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</si>
  <si>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</si>
  <si>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</si>
  <si>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</si>
  <si>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</si>
  <si>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</si>
  <si>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</si>
  <si>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</si>
  <si>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</si>
  <si>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</si>
  <si>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</si>
  <si>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</si>
  <si>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</si>
  <si>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</si>
  <si>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</si>
  <si>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</si>
  <si>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</si>
  <si>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</si>
  <si>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</si>
  <si>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</si>
  <si>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</si>
  <si>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</si>
  <si>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</si>
  <si>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</si>
  <si>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</si>
  <si>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</si>
  <si>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</si>
  <si>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</si>
  <si>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</si>
  <si>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</si>
  <si>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</si>
  <si>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</si>
  <si>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</si>
  <si>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</si>
  <si>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</si>
  <si>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</si>
  <si>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</si>
  <si>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</si>
  <si>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</si>
  <si>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</si>
  <si>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</si>
  <si>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</si>
  <si>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</si>
  <si>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</si>
  <si>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</si>
  <si>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</si>
  <si>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</si>
  <si>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</si>
  <si>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</si>
  <si>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</si>
  <si>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</si>
  <si>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</si>
  <si>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</si>
  <si>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</si>
  <si>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</si>
  <si>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</si>
  <si>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</si>
  <si>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</si>
  <si>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</si>
  <si>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</si>
  <si>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</si>
  <si>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</si>
  <si>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</si>
  <si>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</si>
  <si>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</si>
  <si>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</si>
  <si>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</si>
  <si>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</si>
  <si>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</si>
  <si>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</si>
  <si>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</si>
  <si>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</si>
  <si>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</si>
  <si>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</si>
  <si>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</si>
  <si>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</si>
  <si>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</si>
  <si>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</si>
  <si>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</si>
  <si>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</si>
  <si>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</si>
  <si>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</si>
  <si>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</si>
  <si>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</si>
  <si>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</si>
  <si>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</si>
  <si>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</si>
  <si>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</si>
  <si>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</si>
  <si>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</si>
  <si>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</si>
  <si>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</si>
  <si>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</si>
  <si>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</si>
  <si>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</si>
  <si>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</si>
  <si>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</si>
  <si>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</si>
  <si>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</si>
  <si>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</si>
  <si>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</si>
  <si>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</si>
  <si>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</si>
  <si>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</si>
  <si>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</si>
  <si>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</si>
  <si>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</si>
  <si>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</si>
  <si>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</si>
  <si>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</si>
  <si>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</si>
  <si>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</si>
  <si>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</si>
  <si>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</si>
  <si>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</si>
  <si>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</si>
  <si>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</si>
  <si>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</si>
  <si>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</si>
  <si>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</si>
  <si>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</si>
  <si>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</si>
  <si>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</si>
  <si>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</si>
  <si>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</si>
  <si>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</si>
  <si>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</si>
  <si>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</si>
  <si>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</si>
  <si>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</si>
  <si>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</si>
  <si>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</si>
  <si>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</si>
  <si>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</si>
  <si>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</si>
  <si>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</si>
  <si>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</si>
  <si>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</si>
  <si>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</si>
  <si>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</si>
  <si>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</si>
  <si>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</si>
  <si>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</si>
  <si>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</si>
  <si>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</si>
  <si>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</si>
  <si>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</si>
  <si>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</si>
  <si>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</si>
  <si>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</si>
  <si>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</si>
  <si>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</si>
  <si>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</si>
  <si>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</si>
  <si>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</si>
  <si>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</si>
  <si>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</si>
  <si>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</si>
  <si>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</si>
  <si>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</si>
  <si>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</si>
  <si>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</si>
  <si>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</si>
  <si>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</si>
  <si>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</si>
  <si>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</si>
  <si>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</si>
  <si>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</si>
  <si>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</si>
  <si>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</si>
  <si>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</si>
  <si>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</si>
  <si>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</si>
  <si>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</si>
  <si>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</si>
  <si>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</si>
  <si>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</si>
  <si>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</si>
  <si>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</si>
  <si>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</si>
  <si>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</si>
  <si>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</si>
  <si>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</si>
  <si>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</si>
  <si>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</si>
  <si>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</si>
  <si>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</si>
  <si>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</si>
  <si>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</si>
  <si>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</si>
  <si>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</si>
  <si>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</si>
  <si>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</si>
  <si>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</si>
  <si>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</si>
  <si>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</si>
  <si>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</si>
  <si>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</si>
  <si>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</si>
  <si>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Atlanta</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</si>
  <si>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</si>
  <si>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</si>
  <si>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</si>
  <si>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</si>
  <si>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</si>
  <si>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</si>
  <si>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</si>
  <si>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</si>
  <si>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</si>
  <si>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</si>
  <si>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</si>
  <si>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</si>
  <si>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</si>
  <si>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</si>
  <si>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</si>
  <si>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</si>
  <si>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</si>
  <si>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</si>
  <si>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</si>
  <si>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</si>
  <si>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</si>
  <si>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</si>
  <si>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</si>
  <si>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</si>
  <si>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</si>
  <si>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</si>
  <si>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</si>
  <si>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</si>
  <si>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</si>
  <si>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</si>
  <si>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</si>
  <si>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</si>
  <si>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</si>
  <si>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</si>
  <si>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</si>
  <si>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</si>
  <si>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</si>
  <si>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</si>
  <si>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</si>
  <si>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</si>
  <si>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</si>
  <si>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</si>
  <si>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</si>
  <si>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</si>
  <si>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</si>
  <si>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</si>
  <si>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</si>
  <si>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</si>
  <si>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</si>
  <si>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</si>
  <si>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</si>
  <si>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</si>
  <si>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</si>
  <si>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</si>
  <si>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</si>
  <si>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</si>
  <si>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</si>
  <si>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</si>
  <si>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</si>
  <si>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</si>
  <si>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</si>
  <si>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</si>
  <si>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</si>
  <si>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</si>
  <si>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</si>
  <si>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</si>
  <si>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</si>
  <si>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</si>
  <si>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</si>
  <si>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</si>
  <si>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</si>
  <si>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</si>
  <si>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</si>
  <si>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</si>
  <si>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</si>
  <si>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</si>
  <si>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</si>
  <si>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</si>
  <si>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</si>
  <si>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</si>
  <si>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</si>
  <si>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</si>
  <si>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</si>
  <si>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</si>
  <si>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</si>
  <si>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</si>
  <si>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</si>
  <si>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</si>
  <si>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</si>
  <si>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</si>
  <si>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</si>
  <si>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</si>
  <si>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</si>
  <si>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</si>
  <si>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</si>
  <si>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</si>
  <si>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</si>
  <si>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</si>
  <si>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</si>
  <si>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</si>
  <si>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</si>
  <si>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</si>
  <si>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</si>
  <si>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</si>
  <si>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</si>
  <si>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</si>
  <si>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</si>
  <si>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</si>
  <si>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</si>
  <si>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</si>
  <si>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</si>
  <si>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</si>
  <si>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</si>
  <si>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</si>
  <si>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</si>
  <si>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</si>
  <si>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</si>
  <si>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</si>
  <si>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</si>
  <si>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</si>
  <si>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</si>
  <si>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</si>
  <si>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</si>
  <si>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</si>
  <si>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</si>
  <si>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</si>
  <si>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</si>
  <si>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</si>
  <si>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</si>
  <si>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</si>
  <si>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</si>
  <si>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</si>
  <si>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</si>
  <si>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</si>
  <si>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</si>
  <si>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</si>
  <si>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</si>
  <si>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</si>
  <si>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</si>
  <si>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</si>
  <si>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</si>
  <si>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</si>
  <si>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</si>
  <si>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</si>
  <si>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</si>
  <si>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</si>
  <si>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</si>
  <si>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</si>
  <si>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</si>
  <si>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</si>
  <si>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</si>
  <si>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</si>
  <si>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</si>
  <si>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</si>
  <si>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</si>
  <si>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</si>
  <si>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</si>
  <si>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</si>
  <si>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</si>
  <si>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</si>
  <si>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</si>
  <si>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</si>
  <si>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</si>
  <si>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</si>
  <si>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</si>
  <si>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</si>
  <si>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</si>
  <si>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</si>
  <si>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</si>
  <si>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</si>
  <si>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</si>
  <si>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</si>
  <si>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</si>
  <si>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</si>
  <si>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</si>
  <si>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</si>
  <si>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</si>
  <si>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</si>
  <si>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</si>
  <si>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</si>
  <si>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</si>
  <si>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</si>
  <si>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</si>
  <si>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</si>
  <si>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</si>
  <si>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</si>
  <si>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</si>
  <si>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</si>
  <si>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</si>
  <si>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</si>
  <si>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</si>
  <si>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</si>
  <si>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</si>
  <si>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</si>
  <si>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</si>
  <si>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</si>
  <si>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</si>
  <si>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</si>
  <si>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</si>
  <si>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</si>
  <si>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</si>
  <si>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</si>
  <si>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</si>
  <si>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</si>
  <si>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</si>
  <si>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</si>
  <si>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</si>
  <si>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</si>
  <si>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</si>
  <si>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</si>
  <si>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</si>
  <si>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</si>
  <si>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</si>
  <si>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</si>
  <si>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</si>
  <si>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</si>
  <si>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</si>
  <si>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</si>
  <si>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</si>
  <si>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</si>
  <si>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</si>
  <si>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</si>
  <si>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</si>
  <si>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</si>
  <si>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</si>
  <si>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</si>
  <si>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</si>
  <si>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</si>
  <si>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</si>
  <si>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</si>
  <si>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</si>
  <si>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</si>
  <si>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</si>
  <si>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</si>
  <si>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</si>
  <si>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</si>
  <si>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</si>
  <si>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</si>
  <si>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</si>
  <si>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</si>
  <si>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</si>
  <si>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</si>
  <si>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</si>
  <si>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</si>
  <si>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</si>
  <si>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</si>
  <si>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</si>
  <si>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</si>
  <si>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</si>
  <si>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</si>
  <si>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</si>
  <si>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</si>
  <si>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</si>
  <si>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</si>
  <si>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</si>
  <si>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</si>
  <si>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</si>
  <si>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</si>
  <si>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</si>
  <si>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</si>
  <si>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</si>
  <si>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</si>
  <si>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</si>
  <si>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</si>
  <si>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</si>
  <si>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</si>
  <si>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</si>
  <si>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</si>
  <si>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</si>
  <si>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</si>
  <si>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</si>
  <si>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</si>
  <si>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</si>
  <si>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</si>
  <si>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</si>
  <si>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</si>
  <si>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</si>
  <si>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</si>
  <si>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</si>
  <si>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</si>
  <si>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</si>
  <si>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</si>
  <si>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</si>
  <si>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</si>
  <si>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</si>
  <si>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</si>
  <si>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</si>
  <si>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</si>
  <si>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</si>
  <si>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</si>
  <si>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</si>
  <si>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</si>
  <si>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</si>
  <si>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</si>
  <si>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</si>
  <si>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</si>
  <si>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</si>
  <si>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</si>
  <si>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</si>
  <si>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</si>
  <si>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</si>
  <si>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</si>
  <si>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</si>
  <si>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</si>
  <si>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</si>
  <si>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</si>
  <si>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</si>
  <si>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</si>
  <si>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</si>
  <si>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</si>
  <si>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</si>
  <si>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</si>
  <si>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</si>
  <si>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</si>
  <si>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</si>
  <si>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</si>
  <si>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</si>
  <si>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</si>
  <si>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</si>
  <si>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</si>
  <si>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</si>
  <si>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</si>
  <si>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</si>
  <si>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</si>
  <si>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</si>
  <si>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</si>
  <si>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</si>
  <si>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</si>
  <si>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</si>
  <si>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</si>
  <si>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</si>
  <si>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</si>
  <si>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</si>
  <si>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</si>
  <si>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</si>
  <si>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</si>
  <si>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</si>
  <si>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</si>
  <si>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</si>
  <si>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</si>
  <si>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</si>
  <si>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</si>
  <si>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</si>
  <si>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</si>
  <si>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</si>
  <si>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</si>
  <si>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</si>
  <si>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</si>
  <si>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</si>
  <si>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</si>
  <si>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</si>
  <si>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</si>
  <si>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</si>
  <si>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</si>
  <si>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</si>
  <si>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</si>
  <si>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</si>
  <si>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</si>
  <si>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</si>
  <si>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</si>
  <si>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</si>
  <si>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</si>
  <si>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</si>
  <si>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</si>
  <si>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</si>
  <si>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</si>
  <si>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</si>
  <si>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</si>
  <si>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</si>
  <si>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</si>
  <si>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</si>
  <si>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</si>
  <si>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</si>
  <si>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</si>
  <si>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</si>
  <si>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</si>
  <si>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</si>
  <si>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</si>
  <si>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</si>
  <si>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</si>
  <si>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</si>
  <si>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</si>
  <si>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</si>
  <si>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</si>
  <si>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</si>
  <si>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</si>
  <si>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</si>
  <si>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</si>
  <si>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</si>
  <si>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</si>
  <si>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</si>
  <si>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</si>
  <si>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</si>
  <si>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</si>
  <si>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</si>
  <si>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</si>
  <si>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</si>
  <si>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</si>
  <si>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</si>
  <si>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</si>
  <si>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</si>
  <si>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</si>
  <si>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</si>
  <si>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</si>
  <si>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</si>
  <si>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</si>
  <si>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</si>
  <si>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</si>
  <si>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</si>
  <si>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</si>
  <si>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</si>
  <si>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</si>
  <si>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</si>
  <si>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</si>
  <si>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</si>
  <si>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</si>
  <si>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</si>
  <si>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</si>
  <si>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</si>
  <si>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</si>
  <si>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</si>
  <si>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</si>
  <si>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</si>
  <si>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</si>
  <si>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</si>
  <si>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</si>
  <si>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</si>
  <si>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</si>
  <si>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</si>
  <si>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</si>
  <si>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</si>
  <si>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</si>
  <si>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</si>
  <si>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</si>
  <si>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</si>
  <si>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</si>
  <si>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</si>
  <si>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</si>
  <si>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</si>
  <si>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</si>
  <si>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</si>
  <si>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</si>
  <si>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</si>
  <si>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</si>
  <si>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</si>
  <si>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</si>
  <si>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</si>
  <si>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</si>
  <si>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</si>
  <si>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</si>
  <si>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</si>
  <si>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</si>
  <si>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</si>
  <si>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</si>
  <si>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</si>
  <si>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</si>
  <si>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</si>
  <si>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</si>
  <si>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</si>
  <si>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</si>
  <si>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</si>
  <si>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</si>
  <si>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</si>
  <si>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</si>
  <si>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</si>
  <si>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</si>
  <si>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</si>
  <si>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</si>
  <si>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</si>
  <si>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</si>
  <si>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</si>
  <si>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</si>
  <si>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</si>
  <si>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</si>
  <si>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</si>
  <si>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</si>
  <si>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</si>
  <si>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</si>
  <si>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</si>
  <si>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</si>
  <si>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</si>
  <si>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</si>
  <si>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</si>
  <si>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</si>
  <si>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</si>
  <si>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</si>
  <si>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</si>
  <si>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</si>
  <si>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</si>
  <si>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</si>
  <si>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</si>
  <si>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</si>
  <si>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</si>
  <si>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</si>
  <si>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</si>
  <si>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</si>
  <si>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</si>
  <si>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</si>
  <si>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</si>
  <si>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</si>
  <si>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</si>
  <si>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</si>
  <si>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</si>
  <si>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</si>
  <si>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</si>
  <si>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</si>
  <si>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</si>
  <si>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</si>
  <si>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</si>
  <si>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</si>
  <si>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</si>
  <si>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</si>
  <si>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</si>
  <si>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</si>
  <si>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</si>
  <si>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</si>
  <si>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</si>
  <si>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</si>
  <si>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</si>
  <si>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</si>
  <si>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</si>
  <si>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</si>
  <si>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</si>
  <si>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</si>
  <si>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</si>
  <si>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</si>
  <si>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</si>
  <si>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</si>
  <si>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</si>
  <si>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</si>
  <si>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</si>
  <si>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</si>
  <si>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</si>
  <si>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</si>
  <si>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</si>
  <si>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</si>
  <si>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</si>
  <si>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</si>
  <si>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</si>
  <si>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</si>
  <si>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</si>
  <si>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</si>
  <si>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</si>
  <si>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</si>
  <si>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</si>
  <si>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</si>
  <si>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</si>
  <si>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</si>
  <si>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</si>
  <si>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</si>
  <si>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</si>
  <si>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</si>
  <si>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</si>
  <si>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</si>
  <si>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</si>
  <si>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</si>
  <si>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</si>
  <si>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</si>
  <si>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</si>
  <si>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</si>
  <si>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</si>
  <si>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</si>
  <si>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</si>
  <si>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</si>
  <si>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</si>
  <si>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</si>
  <si>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</si>
  <si>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</si>
  <si>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</si>
  <si>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</si>
  <si>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</si>
  <si>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</si>
  <si>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</si>
  <si>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</si>
  <si>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</si>
  <si>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</si>
  <si>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</si>
  <si>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</si>
  <si>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</si>
  <si>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</si>
  <si>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</si>
  <si>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</si>
  <si>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</si>
  <si>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</si>
  <si>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</si>
  <si>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</si>
  <si>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</si>
  <si>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</si>
  <si>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</si>
  <si>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</si>
  <si>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</si>
  <si>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</si>
  <si>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</si>
  <si>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</si>
  <si>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</si>
  <si>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</si>
  <si>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</si>
  <si>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</si>
  <si>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</si>
  <si>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</si>
  <si>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</si>
  <si>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</si>
  <si>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</si>
  <si>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</si>
  <si>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</si>
  <si>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</si>
  <si>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</si>
  <si>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</si>
  <si>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</si>
  <si>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</si>
  <si>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</si>
  <si>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</si>
  <si>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</si>
  <si>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</si>
  <si>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</si>
  <si>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</si>
  <si>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</si>
  <si>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</si>
  <si>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</si>
  <si>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</si>
  <si>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</si>
  <si>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</si>
  <si>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</si>
  <si>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</si>
  <si>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</si>
  <si>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</si>
  <si>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</si>
  <si>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</si>
  <si>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</si>
  <si>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</si>
  <si>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</si>
  <si>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</si>
  <si>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</si>
  <si>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</si>
  <si>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</si>
  <si>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</si>
  <si>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</si>
  <si>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</si>
  <si>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</si>
  <si>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</si>
  <si>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</si>
  <si>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</si>
  <si>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</si>
  <si>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</si>
  <si>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</si>
  <si>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</si>
  <si>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</si>
  <si>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</si>
  <si>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</si>
  <si>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</si>
  <si>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</si>
  <si>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</si>
  <si>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</si>
  <si>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</si>
  <si>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</si>
  <si>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</si>
  <si>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</si>
  <si>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</si>
  <si>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</si>
  <si>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</si>
  <si>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</si>
  <si>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</si>
  <si>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</si>
  <si>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</si>
  <si>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</si>
  <si>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</si>
  <si>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</si>
  <si>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</si>
  <si>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</si>
  <si>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</si>
  <si>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</si>
  <si>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</si>
  <si>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</si>
  <si>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</si>
  <si>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</si>
  <si>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</si>
  <si>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</si>
  <si>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</si>
  <si>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</si>
  <si>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</si>
  <si>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</si>
  <si>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</si>
  <si>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</si>
  <si>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</si>
  <si>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</si>
  <si>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</si>
  <si>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</si>
  <si>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</si>
  <si>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</si>
  <si>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</si>
  <si>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</si>
  <si>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</si>
  <si>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</si>
  <si>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</si>
  <si>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</si>
  <si>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</si>
  <si>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</si>
  <si>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</si>
  <si>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</si>
  <si>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</si>
  <si>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</si>
  <si>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</si>
  <si>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</si>
  <si>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</si>
  <si>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</si>
  <si>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</si>
  <si>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</si>
  <si>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</si>
  <si>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</si>
  <si>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</si>
  <si>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</si>
  <si>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</si>
  <si>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</si>
  <si>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</si>
  <si>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</si>
  <si>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</si>
  <si>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</si>
  <si>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</si>
  <si>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</si>
  <si>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</si>
  <si>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</si>
  <si>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</si>
  <si>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</si>
  <si>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</si>
  <si>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</si>
  <si>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</si>
  <si>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</si>
  <si>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</si>
  <si>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</si>
  <si>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</si>
  <si>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</si>
  <si>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</si>
  <si>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</si>
  <si>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</si>
  <si>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</si>
  <si>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</si>
  <si>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</si>
  <si>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</si>
  <si>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</si>
  <si>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</si>
  <si>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</si>
  <si>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</si>
  <si>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</si>
  <si>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</si>
  <si>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</si>
  <si>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</si>
  <si>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</si>
  <si>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</si>
  <si>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</si>
  <si>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</si>
  <si>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</si>
  <si>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</si>
  <si>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</si>
  <si>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</si>
  <si>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</si>
  <si>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</si>
  <si>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</si>
  <si>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</si>
  <si>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</si>
  <si>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</si>
  <si>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</si>
  <si>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</si>
  <si>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</si>
  <si>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</si>
  <si>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</si>
  <si>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</si>
  <si>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</si>
  <si>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</si>
  <si>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</si>
  <si>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</si>
  <si>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</si>
  <si>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</si>
  <si>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</si>
  <si>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</si>
  <si>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</si>
  <si>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</si>
  <si>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</si>
  <si>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</si>
  <si>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</si>
  <si>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</si>
  <si>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</si>
  <si>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</si>
  <si>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</si>
  <si>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</si>
  <si>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</si>
  <si>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</si>
  <si>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</si>
  <si>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</si>
  <si>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</si>
  <si>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</si>
  <si>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</si>
  <si>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</si>
  <si>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</si>
  <si>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</si>
  <si>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</si>
  <si>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</si>
  <si>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</si>
  <si>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</si>
  <si>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</si>
  <si>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</si>
  <si>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</si>
  <si>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</si>
  <si>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</si>
  <si>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</si>
  <si>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</si>
  <si>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</si>
  <si>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</si>
  <si>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</si>
  <si>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</si>
  <si>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</si>
  <si>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</si>
  <si>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</si>
  <si>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</si>
  <si>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</si>
  <si>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</si>
  <si>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</si>
  <si>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</si>
  <si>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</si>
  <si>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</si>
  <si>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</si>
  <si>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</si>
  <si>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</si>
  <si>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</si>
  <si>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</si>
  <si>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</si>
  <si>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</si>
  <si>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</si>
  <si>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</si>
  <si>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</si>
  <si>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</si>
  <si>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</si>
  <si>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</si>
  <si>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</si>
  <si>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</si>
  <si>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</si>
  <si>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</si>
  <si>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</si>
  <si>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</si>
  <si>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</si>
  <si>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</si>
  <si>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</si>
  <si>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</si>
  <si>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</si>
  <si>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</si>
  <si>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</si>
  <si>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</si>
  <si>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</si>
  <si>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</si>
  <si>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</si>
  <si>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</si>
  <si>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</si>
  <si>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</si>
  <si>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</si>
  <si>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</si>
  <si>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</si>
  <si>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</si>
  <si>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</si>
  <si>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</si>
  <si>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</si>
  <si>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</si>
  <si>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</si>
  <si>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</si>
  <si>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</si>
  <si>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</si>
  <si>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</si>
  <si>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</si>
  <si>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</si>
  <si>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</si>
  <si>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</si>
  <si>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</si>
  <si>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</si>
  <si>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</si>
  <si>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</si>
  <si>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</si>
  <si>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</si>
  <si>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</si>
  <si>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</si>
  <si>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</si>
  <si>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</si>
  <si>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</si>
  <si>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</si>
  <si>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</si>
  <si>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</si>
  <si>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</si>
  <si>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</si>
  <si>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</si>
  <si>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</si>
  <si>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</si>
  <si>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</si>
  <si>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</si>
  <si>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</si>
  <si>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</si>
  <si>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</si>
  <si>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</si>
  <si>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</si>
  <si>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</si>
  <si>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</si>
  <si>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</si>
  <si>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</si>
  <si>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</si>
  <si>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</si>
  <si>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</si>
  <si>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</si>
  <si>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</si>
  <si>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</si>
  <si>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</si>
  <si>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</si>
  <si>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</si>
  <si>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</si>
  <si>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</si>
  <si>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</si>
  <si>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</si>
  <si>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</si>
  <si>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</si>
  <si>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</si>
  <si>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</si>
  <si>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</si>
  <si>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</si>
  <si>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</si>
  <si>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</si>
  <si>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</si>
  <si>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</si>
  <si>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</si>
  <si>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</si>
  <si>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</si>
  <si>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</si>
  <si>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</si>
  <si>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</si>
  <si>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</si>
  <si>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</si>
  <si>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</si>
  <si>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</si>
  <si>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</si>
  <si>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Urban Residential Finance Authority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</si>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</sst>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right/>
      <top style="thin">
        <color indexed="64"/>
      </top>
      <bottom/>
      <diagonal/>
    </border>
    <border>
      <left/>
      <right style="thin">
        <color indexed="64"/>
      </right>
      <top style="thin">
        <color indexed="64"/>
      </top>
      <bottom style="medium">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7"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7"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6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0" fillId="0" borderId="0" applyNumberFormat="0" applyFill="0" applyBorder="0" applyAlignment="0" applyProtection="0"/>
    <xf numFmtId="0" fontId="3" fillId="0" borderId="0"/>
    <xf numFmtId="9" fontId="3" fillId="0" borderId="0" applyFont="0" applyFill="0" applyBorder="0" applyAlignment="0" applyProtection="0"/>
  </cellStyleXfs>
  <cellXfs count="4736">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166" fontId="41" fillId="0" borderId="54" xfId="0" applyNumberFormat="1" applyFont="1" applyBorder="1" applyAlignment="1">
      <alignment horizontal="center"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14" fillId="5" borderId="60"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58" fillId="0" borderId="57" xfId="0" applyFont="1" applyBorder="1" applyAlignment="1">
      <alignment vertical="center"/>
    </xf>
    <xf numFmtId="0" fontId="58" fillId="0" borderId="57" xfId="0" applyFont="1" applyBorder="1" applyAlignment="1">
      <alignment horizontal="center" vertical="center"/>
    </xf>
    <xf numFmtId="0" fontId="57" fillId="0" borderId="54" xfId="0" applyFont="1" applyBorder="1" applyAlignment="1">
      <alignment horizontal="left" vertical="center"/>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49" fillId="16" borderId="60" xfId="0" applyFont="1" applyFill="1" applyBorder="1" applyAlignment="1">
      <alignment vertical="center"/>
    </xf>
    <xf numFmtId="0" fontId="79" fillId="0" borderId="0" xfId="0" applyFont="1"/>
    <xf numFmtId="3" fontId="10" fillId="0" borderId="60" xfId="0" applyNumberFormat="1" applyFont="1" applyBorder="1" applyAlignment="1">
      <alignment horizontal="center" vertical="center"/>
    </xf>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60" xfId="0"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5" xfId="0" applyFont="1" applyBorder="1" applyAlignment="1">
      <alignment horizontal="center" vertical="center"/>
    </xf>
    <xf numFmtId="0" fontId="38" fillId="0" borderId="66"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8" fillId="5" borderId="60" xfId="0" applyNumberFormat="1" applyFont="1" applyFill="1" applyBorder="1" applyAlignment="1" applyProtection="1">
      <alignment horizontal="center" vertical="center"/>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2"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1"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54" xfId="13" applyFont="1" applyBorder="1" applyAlignment="1">
      <alignment vertical="center"/>
    </xf>
    <xf numFmtId="0" fontId="9" fillId="0" borderId="57" xfId="13" applyFont="1" applyBorder="1" applyAlignment="1">
      <alignment vertical="center"/>
    </xf>
    <xf numFmtId="0" fontId="24" fillId="0" borderId="57" xfId="13" applyFont="1" applyBorder="1" applyAlignment="1">
      <alignment horizontal="righ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0" fontId="41" fillId="5" borderId="60" xfId="0" applyFont="1" applyFill="1" applyBorder="1" applyAlignment="1" applyProtection="1">
      <alignment horizontal="center" vertical="center"/>
      <protection locked="0"/>
    </xf>
    <xf numFmtId="166" fontId="41" fillId="5" borderId="60" xfId="0" applyNumberFormat="1" applyFont="1" applyFill="1" applyBorder="1" applyAlignment="1" applyProtection="1">
      <alignment horizontal="center" vertical="center"/>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38" fontId="8" fillId="13" borderId="60" xfId="0" applyNumberFormat="1" applyFont="1" applyFill="1" applyBorder="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13" fillId="0" borderId="60" xfId="0" applyNumberFormat="1" applyFont="1" applyBorder="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41" fillId="5" borderId="55"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143" fillId="0" borderId="60" xfId="13" applyFont="1" applyBorder="1" applyAlignment="1">
      <alignment horizontal="center" vertical="center" wrapText="1"/>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59"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1" fontId="86" fillId="0" borderId="60" xfId="0" applyNumberFormat="1" applyFont="1" applyBorder="1" applyAlignment="1">
      <alignment horizontal="center"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60" xfId="0" applyNumberFormat="1" applyFont="1" applyFill="1" applyBorder="1" applyAlignment="1" applyProtection="1">
      <alignment horizontal="right" vertical="center"/>
      <protection locked="0"/>
    </xf>
    <xf numFmtId="4" fontId="41" fillId="13" borderId="61"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38" fontId="8" fillId="0" borderId="60" xfId="0" applyNumberFormat="1" applyFont="1" applyBorder="1" applyAlignment="1">
      <alignment horizontal="center" vertical="center"/>
    </xf>
    <xf numFmtId="0" fontId="14" fillId="5" borderId="60" xfId="0" applyFont="1" applyFill="1" applyBorder="1" applyAlignment="1" applyProtection="1">
      <alignment horizontal="center" vertical="top"/>
      <protection locked="0"/>
    </xf>
    <xf numFmtId="0" fontId="14" fillId="13" borderId="60" xfId="0" applyFont="1" applyFill="1" applyBorder="1" applyAlignment="1">
      <alignment horizontal="center" vertical="top"/>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168" fontId="37" fillId="13" borderId="60" xfId="0" applyNumberFormat="1" applyFont="1" applyFill="1" applyBorder="1" applyAlignment="1">
      <alignment vertical="center"/>
    </xf>
    <xf numFmtId="0" fontId="45" fillId="0" borderId="0" xfId="0" applyFont="1" applyAlignment="1">
      <alignment vertical="center"/>
    </xf>
    <xf numFmtId="0" fontId="38" fillId="0" borderId="90" xfId="0" applyFont="1" applyBorder="1" applyAlignment="1">
      <alignment vertical="top" wrapText="1"/>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6"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1" fontId="10" fillId="5" borderId="60" xfId="0" applyNumberFormat="1" applyFont="1" applyFill="1" applyBorder="1" applyAlignment="1" applyProtection="1">
      <alignment horizontal="center" vertical="center"/>
      <protection locked="0"/>
    </xf>
    <xf numFmtId="1" fontId="10" fillId="13" borderId="60" xfId="0" applyNumberFormat="1" applyFont="1" applyFill="1" applyBorder="1" applyAlignment="1">
      <alignment horizontal="center"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37" fontId="41" fillId="5" borderId="60"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6" xfId="13" applyFont="1" applyFill="1" applyBorder="1" applyAlignment="1">
      <alignment horizontal="left"/>
    </xf>
    <xf numFmtId="180" fontId="8" fillId="10" borderId="65" xfId="13" applyNumberFormat="1" applyFont="1" applyFill="1" applyBorder="1" applyAlignment="1">
      <alignment horizontal="left"/>
    </xf>
    <xf numFmtId="10" fontId="8" fillId="10" borderId="57"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38" fontId="8" fillId="13" borderId="60" xfId="0" applyNumberFormat="1" applyFont="1" applyFill="1" applyBorder="1" applyAlignment="1" applyProtection="1">
      <alignment horizontal="center" vertical="center"/>
      <protection locked="0"/>
    </xf>
    <xf numFmtId="0" fontId="14" fillId="13" borderId="95"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6"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6" xfId="1" applyNumberFormat="1" applyFont="1" applyFill="1" applyBorder="1" applyAlignment="1" applyProtection="1">
      <alignment horizontal="center" vertical="center"/>
      <protection locked="0"/>
    </xf>
    <xf numFmtId="3" fontId="13" fillId="5" borderId="96" xfId="1" applyNumberFormat="1" applyFont="1" applyFill="1" applyBorder="1" applyAlignment="1" applyProtection="1">
      <alignment horizontal="center" vertical="center"/>
      <protection locked="0"/>
    </xf>
    <xf numFmtId="38" fontId="3" fillId="0" borderId="59" xfId="1" applyNumberFormat="1" applyFont="1" applyFill="1" applyBorder="1" applyAlignment="1" applyProtection="1">
      <alignment vertical="center"/>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38" fontId="8" fillId="0" borderId="57" xfId="1" applyNumberFormat="1" applyFont="1" applyFill="1" applyBorder="1" applyAlignment="1" applyProtection="1">
      <alignment horizontal="right" vertical="center"/>
    </xf>
    <xf numFmtId="38" fontId="8" fillId="0" borderId="60"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8" fontId="21" fillId="0" borderId="57" xfId="1" applyNumberFormat="1" applyFont="1" applyFill="1" applyBorder="1" applyAlignment="1" applyProtection="1">
      <alignment horizontal="right" vertical="center"/>
    </xf>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6" xfId="1" applyNumberFormat="1" applyFont="1" applyFill="1" applyBorder="1" applyAlignment="1" applyProtection="1">
      <alignment horizontal="center" vertical="center"/>
      <protection locked="0"/>
    </xf>
    <xf numFmtId="38" fontId="13" fillId="0" borderId="96" xfId="1" applyNumberFormat="1" applyFont="1" applyFill="1" applyBorder="1" applyAlignment="1" applyProtection="1">
      <alignment horizontal="center" vertical="center"/>
    </xf>
    <xf numFmtId="0" fontId="37" fillId="5" borderId="96" xfId="0" applyFont="1" applyFill="1" applyBorder="1" applyAlignment="1" applyProtection="1">
      <alignment horizontal="center" vertical="center"/>
      <protection locked="0"/>
    </xf>
    <xf numFmtId="0" fontId="13" fillId="5" borderId="96"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77" xfId="0" applyNumberFormat="1" applyFont="1" applyBorder="1"/>
    <xf numFmtId="38" fontId="3" fillId="0" borderId="76" xfId="0" applyNumberFormat="1" applyFont="1" applyBorder="1"/>
    <xf numFmtId="38" fontId="3" fillId="0" borderId="78" xfId="0" applyNumberFormat="1" applyFont="1" applyBorder="1"/>
    <xf numFmtId="38" fontId="3" fillId="0" borderId="97"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98" xfId="0" applyNumberFormat="1" applyFont="1" applyBorder="1"/>
    <xf numFmtId="38" fontId="3" fillId="0" borderId="87" xfId="0" applyNumberFormat="1" applyFont="1" applyBorder="1"/>
    <xf numFmtId="38" fontId="3" fillId="0" borderId="73" xfId="0" applyNumberFormat="1" applyFont="1" applyBorder="1"/>
    <xf numFmtId="38" fontId="8" fillId="0" borderId="84"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8"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76" xfId="1" applyNumberFormat="1" applyFont="1" applyFill="1" applyBorder="1" applyAlignment="1" applyProtection="1">
      <alignment horizontal="right" vertical="center"/>
    </xf>
    <xf numFmtId="38" fontId="3" fillId="0" borderId="78"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1"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7"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72"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0" fontId="38" fillId="0" borderId="60" xfId="0" applyFont="1" applyBorder="1" applyAlignment="1">
      <alignment horizontal="center" vertical="center"/>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3" fontId="8" fillId="0" borderId="60" xfId="0" applyNumberFormat="1" applyFont="1" applyBorder="1" applyAlignment="1">
      <alignment horizontal="center" vertical="center"/>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10" fontId="14" fillId="0" borderId="60" xfId="0" applyNumberFormat="1" applyFont="1" applyBorder="1" applyAlignment="1">
      <alignment horizontal="center" vertical="center"/>
    </xf>
    <xf numFmtId="38" fontId="8" fillId="0" borderId="100"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89" xfId="0" applyNumberFormat="1" applyFont="1" applyBorder="1" applyAlignment="1">
      <alignment horizontal="center" vertical="top" wrapText="1"/>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6"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3" fillId="5" borderId="60" xfId="0" applyFont="1" applyFill="1" applyBorder="1" applyAlignment="1" applyProtection="1">
      <alignment horizontal="center" vertical="center"/>
      <protection locked="0"/>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73"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9" xfId="1" applyNumberFormat="1" applyFont="1" applyFill="1" applyBorder="1" applyAlignment="1" applyProtection="1">
      <alignment vertical="center"/>
    </xf>
    <xf numFmtId="38" fontId="3" fillId="0" borderId="62"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84" xfId="0" applyFont="1" applyFill="1" applyBorder="1" applyAlignment="1" applyProtection="1">
      <alignment horizontal="center" vertical="center"/>
      <protection locked="0"/>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0" fontId="100" fillId="0" borderId="60"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41" fillId="5" borderId="104" xfId="0" applyFont="1" applyFill="1" applyBorder="1" applyAlignment="1" applyProtection="1">
      <alignment horizontal="center"/>
      <protection locked="0"/>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80" fillId="0" borderId="59" xfId="0" applyFont="1" applyBorder="1" applyAlignment="1" applyProtection="1">
      <alignment horizontal="center" vertical="center"/>
      <protection locked="0"/>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56" xfId="0" applyBorder="1" applyAlignment="1">
      <alignment vertical="center"/>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4" fillId="5" borderId="104" xfId="0" applyFont="1" applyFill="1" applyBorder="1" applyAlignment="1" applyProtection="1">
      <alignment horizontal="center" vertical="center"/>
      <protection locked="0"/>
    </xf>
    <xf numFmtId="0" fontId="14" fillId="13" borderId="104" xfId="0" applyFont="1" applyFill="1" applyBorder="1" applyAlignment="1">
      <alignment horizontal="center"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168" fontId="38" fillId="10" borderId="60" xfId="0" applyNumberFormat="1" applyFont="1" applyFill="1" applyBorder="1" applyAlignment="1" applyProtection="1">
      <alignment vertical="center"/>
      <protection locked="0"/>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0" fontId="38" fillId="0" borderId="104" xfId="0" applyFont="1" applyBorder="1" applyAlignment="1">
      <alignment horizont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 fillId="13" borderId="60" xfId="0" applyFont="1" applyFill="1" applyBorder="1" applyAlignment="1">
      <alignment vertical="top"/>
    </xf>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38" fontId="8" fillId="5" borderId="104" xfId="0" applyNumberFormat="1" applyFont="1" applyFill="1" applyBorder="1" applyAlignment="1" applyProtection="1">
      <alignment horizontal="center" vertical="center"/>
      <protection locked="0"/>
    </xf>
    <xf numFmtId="38" fontId="8" fillId="13" borderId="104" xfId="0" applyNumberFormat="1" applyFont="1" applyFill="1" applyBorder="1" applyAlignment="1">
      <alignment horizontal="center" vertical="center"/>
    </xf>
    <xf numFmtId="0" fontId="86" fillId="0" borderId="0" xfId="0" applyFont="1" applyAlignment="1">
      <alignment horizontal="center" vertical="center" wrapText="1"/>
    </xf>
    <xf numFmtId="0" fontId="205" fillId="0" borderId="0" xfId="33" applyFont="1"/>
    <xf numFmtId="0" fontId="70" fillId="0" borderId="56" xfId="33" applyFont="1" applyBorder="1" applyAlignment="1">
      <alignment horizontal="left" vertical="center"/>
    </xf>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116"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64" fontId="205" fillId="28" borderId="112" xfId="34" applyNumberFormat="1" applyFont="1" applyFill="1" applyBorder="1"/>
    <xf numFmtId="0" fontId="205" fillId="0" borderId="56" xfId="33" applyFont="1" applyBorder="1"/>
    <xf numFmtId="0" fontId="205" fillId="0" borderId="115" xfId="33" applyFont="1" applyBorder="1" applyAlignment="1">
      <alignment horizontal="center"/>
    </xf>
    <xf numFmtId="0" fontId="83" fillId="0" borderId="60" xfId="33" applyFont="1" applyBorder="1" applyAlignment="1">
      <alignment horizontal="center" wrapText="1"/>
    </xf>
    <xf numFmtId="0" fontId="205" fillId="0" borderId="57" xfId="33" applyFont="1" applyBorder="1" applyAlignment="1">
      <alignment vertical="center"/>
    </xf>
    <xf numFmtId="164" fontId="205" fillId="0" borderId="57" xfId="34" applyNumberFormat="1" applyFont="1" applyBorder="1" applyAlignment="1">
      <alignment horizontal="center" vertical="center"/>
    </xf>
    <xf numFmtId="0" fontId="207" fillId="0" borderId="57" xfId="33" applyFont="1" applyBorder="1" applyAlignment="1">
      <alignment vertical="center"/>
    </xf>
    <xf numFmtId="0" fontId="205" fillId="0" borderId="116" xfId="33" applyFont="1" applyBorder="1" applyAlignment="1">
      <alignment vertical="center"/>
    </xf>
    <xf numFmtId="164" fontId="205" fillId="28" borderId="118" xfId="34" applyNumberFormat="1" applyFont="1" applyFill="1" applyBorder="1" applyAlignment="1">
      <alignment horizontal="center" vertical="center"/>
    </xf>
    <xf numFmtId="182" fontId="205" fillId="28" borderId="104" xfId="33" applyNumberFormat="1" applyFont="1" applyFill="1" applyBorder="1" applyAlignment="1">
      <alignment horizontal="center" vertical="center"/>
    </xf>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164" fontId="205" fillId="28" borderId="112" xfId="34" applyNumberFormat="1" applyFont="1" applyFill="1" applyBorder="1" applyAlignment="1">
      <alignment horizontal="center" vertical="center"/>
    </xf>
    <xf numFmtId="0" fontId="205" fillId="11" borderId="60" xfId="33" applyFont="1" applyFill="1" applyBorder="1" applyAlignment="1">
      <alignment horizontal="center" vertical="center"/>
    </xf>
    <xf numFmtId="0" fontId="205" fillId="11" borderId="59" xfId="33"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119"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7" fillId="0" borderId="118" xfId="33" applyFont="1" applyBorder="1" applyAlignment="1">
      <alignment horizontal="right"/>
    </xf>
    <xf numFmtId="0" fontId="204" fillId="0" borderId="0" xfId="33" applyFont="1"/>
    <xf numFmtId="164" fontId="207" fillId="29" borderId="117" xfId="34" applyNumberFormat="1" applyFont="1" applyFill="1" applyBorder="1" applyAlignment="1">
      <alignment horizontal="center" vertical="center"/>
    </xf>
    <xf numFmtId="164" fontId="207" fillId="29" borderId="117" xfId="34" applyNumberFormat="1" applyFont="1" applyFill="1" applyBorder="1" applyAlignment="1">
      <alignment horizontal="center"/>
    </xf>
    <xf numFmtId="182" fontId="205" fillId="0" borderId="116" xfId="33" applyNumberFormat="1" applyFont="1" applyBorder="1" applyAlignment="1">
      <alignment horizontal="center"/>
    </xf>
    <xf numFmtId="0" fontId="205" fillId="0" borderId="113" xfId="33" applyFont="1" applyBorder="1" applyAlignment="1">
      <alignment horizontal="center"/>
    </xf>
    <xf numFmtId="0" fontId="205" fillId="0" borderId="34" xfId="33" applyFont="1" applyBorder="1" applyAlignment="1">
      <alignment horizontal="center"/>
    </xf>
    <xf numFmtId="0" fontId="205" fillId="0" borderId="114"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126" xfId="33" applyFont="1" applyBorder="1"/>
    <xf numFmtId="164" fontId="205" fillId="28" borderId="118" xfId="34" applyNumberFormat="1" applyFont="1" applyFill="1" applyBorder="1"/>
    <xf numFmtId="0" fontId="205" fillId="0" borderId="110" xfId="33" applyFont="1" applyBorder="1"/>
    <xf numFmtId="184" fontId="211" fillId="28" borderId="104" xfId="33" applyNumberFormat="1" applyFont="1" applyFill="1" applyBorder="1" applyAlignment="1">
      <alignment horizontal="center" vertical="center"/>
    </xf>
    <xf numFmtId="182" fontId="211" fillId="28" borderId="104" xfId="33" applyNumberFormat="1" applyFont="1" applyFill="1" applyBorder="1" applyAlignment="1">
      <alignment horizontal="center" vertical="center"/>
    </xf>
    <xf numFmtId="0" fontId="211" fillId="0" borderId="0" xfId="33" applyFont="1"/>
    <xf numFmtId="164" fontId="211" fillId="28" borderId="104" xfId="34" applyNumberFormat="1" applyFont="1" applyFill="1" applyBorder="1" applyAlignment="1">
      <alignment horizontal="center" vertical="center"/>
    </xf>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5"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5" borderId="104" xfId="1" applyNumberFormat="1" applyFont="1" applyFill="1" applyBorder="1" applyAlignment="1" applyProtection="1">
      <alignment horizontal="center" vertical="center"/>
      <protection locked="0"/>
    </xf>
    <xf numFmtId="3" fontId="13" fillId="10" borderId="12" xfId="1" applyNumberFormat="1" applyFont="1" applyFill="1" applyBorder="1" applyAlignment="1" applyProtection="1">
      <alignment horizontal="center" vertical="center"/>
      <protection locked="0"/>
    </xf>
    <xf numFmtId="3" fontId="13" fillId="10" borderId="96" xfId="1" applyNumberFormat="1" applyFont="1" applyFill="1" applyBorder="1" applyAlignment="1" applyProtection="1">
      <alignment horizontal="center" vertical="center"/>
      <protection locked="0"/>
    </xf>
    <xf numFmtId="10" fontId="216" fillId="0" borderId="137" xfId="0" applyNumberFormat="1" applyFont="1" applyBorder="1" applyAlignment="1">
      <alignment horizontal="center" vertical="center"/>
    </xf>
    <xf numFmtId="10" fontId="216" fillId="0" borderId="138" xfId="0" applyNumberFormat="1" applyFont="1" applyBorder="1" applyAlignment="1">
      <alignment horizontal="center" vertical="center"/>
    </xf>
    <xf numFmtId="10" fontId="216" fillId="0" borderId="139" xfId="0" applyNumberFormat="1" applyFont="1" applyBorder="1" applyAlignment="1">
      <alignment horizontal="center" vertical="center"/>
    </xf>
    <xf numFmtId="10" fontId="216" fillId="0" borderId="144" xfId="0" applyNumberFormat="1" applyFont="1" applyBorder="1" applyAlignment="1">
      <alignment horizontal="center" vertical="center"/>
    </xf>
    <xf numFmtId="10" fontId="216" fillId="0" borderId="135" xfId="0" applyNumberFormat="1" applyFont="1" applyBorder="1" applyAlignment="1">
      <alignment horizontal="center" vertical="center"/>
    </xf>
    <xf numFmtId="10" fontId="216" fillId="0" borderId="145"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4"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207" fillId="0" borderId="116" xfId="33" applyFont="1" applyBorder="1" applyAlignment="1">
      <alignment horizontal="right"/>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7" fillId="0" borderId="116" xfId="33" applyFont="1" applyBorder="1"/>
    <xf numFmtId="0" fontId="207" fillId="0" borderId="115" xfId="33"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04" xfId="33" applyFont="1" applyFill="1" applyBorder="1" applyAlignment="1">
      <alignment horizontal="center"/>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207" fillId="0" borderId="116" xfId="33" applyFont="1" applyBorder="1" applyAlignment="1">
      <alignment horizontal="center"/>
    </xf>
    <xf numFmtId="0" fontId="9" fillId="0" borderId="50" xfId="13" applyFont="1" applyBorder="1"/>
    <xf numFmtId="0" fontId="9" fillId="0" borderId="58" xfId="13" applyFont="1" applyBorder="1" applyAlignment="1">
      <alignment horizontal="center"/>
    </xf>
    <xf numFmtId="0" fontId="143" fillId="0" borderId="58"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120" xfId="33" applyNumberFormat="1" applyFont="1" applyFill="1" applyBorder="1" applyAlignment="1" applyProtection="1">
      <alignment horizontal="center" vertical="center"/>
      <protection locked="0"/>
    </xf>
    <xf numFmtId="182" fontId="211" fillId="13" borderId="104" xfId="33" applyNumberFormat="1" applyFont="1" applyFill="1" applyBorder="1" applyAlignment="1" applyProtection="1">
      <alignment horizontal="center" vertical="center"/>
      <protection locked="0"/>
    </xf>
    <xf numFmtId="183" fontId="211" fillId="13" borderId="104" xfId="33" applyNumberFormat="1" applyFont="1" applyFill="1" applyBorder="1" applyAlignment="1" applyProtection="1">
      <alignment horizontal="center" vertical="center"/>
      <protection locked="0"/>
    </xf>
    <xf numFmtId="182" fontId="211" fillId="13" borderId="121"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122"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5"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6" fillId="0" borderId="140" xfId="0" applyNumberFormat="1" applyFont="1" applyBorder="1" applyAlignment="1">
      <alignment horizontal="center" vertical="center"/>
    </xf>
    <xf numFmtId="3" fontId="216" fillId="0" borderId="141" xfId="0" applyNumberFormat="1" applyFont="1" applyBorder="1" applyAlignment="1">
      <alignment horizontal="center" vertical="center"/>
    </xf>
    <xf numFmtId="3" fontId="217" fillId="0" borderId="142" xfId="0" applyNumberFormat="1" applyFont="1" applyBorder="1" applyAlignment="1">
      <alignment horizontal="center" vertical="center"/>
    </xf>
    <xf numFmtId="3" fontId="217" fillId="0" borderId="136" xfId="0" applyNumberFormat="1" applyFont="1" applyBorder="1" applyAlignment="1">
      <alignment horizontal="center" vertical="center"/>
    </xf>
    <xf numFmtId="3" fontId="217" fillId="0" borderId="143" xfId="0" applyNumberFormat="1" applyFont="1" applyBorder="1" applyAlignment="1">
      <alignment horizontal="center" vertical="center"/>
    </xf>
    <xf numFmtId="3" fontId="217" fillId="0" borderId="146"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63"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10" fontId="14" fillId="13" borderId="60" xfId="0" applyNumberFormat="1" applyFont="1" applyFill="1" applyBorder="1" applyAlignment="1">
      <alignment horizontal="center" vertical="center"/>
    </xf>
    <xf numFmtId="10" fontId="14" fillId="5" borderId="60" xfId="0" applyNumberFormat="1" applyFont="1" applyFill="1" applyBorder="1" applyAlignment="1" applyProtection="1">
      <alignment horizontal="center" vertical="center"/>
      <protection locked="0"/>
    </xf>
    <xf numFmtId="0" fontId="14" fillId="0" borderId="9" xfId="0" applyFont="1" applyBorder="1" applyAlignment="1">
      <alignment vertical="top" wrapText="1"/>
    </xf>
    <xf numFmtId="0" fontId="4" fillId="0" borderId="9" xfId="0" applyFont="1" applyBorder="1" applyAlignment="1">
      <alignment vertical="top"/>
    </xf>
    <xf numFmtId="10" fontId="86" fillId="0" borderId="60"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100"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60" xfId="0" applyNumberFormat="1" applyFont="1" applyFill="1" applyBorder="1" applyAlignment="1" applyProtection="1">
      <alignment horizontal="center" vertical="center"/>
      <protection locked="0"/>
    </xf>
    <xf numFmtId="1" fontId="14" fillId="13" borderId="60"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120" xfId="33" applyNumberFormat="1" applyFont="1" applyFill="1" applyBorder="1" applyAlignment="1" applyProtection="1">
      <alignment horizontal="center" vertical="center"/>
      <protection locked="0"/>
    </xf>
    <xf numFmtId="182" fontId="211" fillId="10" borderId="104" xfId="33" applyNumberFormat="1" applyFont="1" applyFill="1" applyBorder="1" applyAlignment="1" applyProtection="1">
      <alignment horizontal="center" vertical="center"/>
      <protection locked="0"/>
    </xf>
    <xf numFmtId="183" fontId="211" fillId="10" borderId="104" xfId="33" applyNumberFormat="1" applyFont="1" applyFill="1" applyBorder="1" applyAlignment="1" applyProtection="1">
      <alignment horizontal="center" vertical="center"/>
      <protection locked="0"/>
    </xf>
    <xf numFmtId="182" fontId="211" fillId="10" borderId="121"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122"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60" xfId="33" applyFont="1" applyBorder="1" applyAlignment="1">
      <alignment horizontal="center" vertical="center"/>
    </xf>
    <xf numFmtId="0" fontId="205" fillId="0" borderId="59" xfId="33" applyFont="1" applyBorder="1" applyAlignment="1">
      <alignment horizontal="center" vertical="center"/>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8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8" fontId="10" fillId="5" borderId="60" xfId="0"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04" xfId="1" applyNumberFormat="1" applyFont="1" applyFill="1" applyBorder="1" applyAlignment="1" applyProtection="1">
      <alignment horizontal="center" vertical="center"/>
      <protection locked="0"/>
    </xf>
    <xf numFmtId="3" fontId="4" fillId="5" borderId="13" xfId="1" applyNumberFormat="1" applyFont="1" applyFill="1" applyBorder="1" applyAlignment="1" applyProtection="1">
      <alignment horizontal="center" vertical="center"/>
      <protection locked="0"/>
    </xf>
    <xf numFmtId="1" fontId="86" fillId="0" borderId="104" xfId="0" applyNumberFormat="1" applyFont="1" applyBorder="1" applyAlignment="1">
      <alignment horizontal="center" vertical="center"/>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8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8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5" xfId="0" applyNumberFormat="1" applyFont="1" applyBorder="1" applyAlignment="1">
      <alignment horizontal="center" vertical="top" wrapText="1"/>
    </xf>
    <xf numFmtId="0" fontId="16" fillId="0" borderId="0" xfId="0" applyFont="1" applyAlignment="1">
      <alignment horizontal="left"/>
    </xf>
    <xf numFmtId="38" fontId="8" fillId="5" borderId="80" xfId="0" applyNumberFormat="1" applyFont="1" applyFill="1" applyBorder="1" applyAlignment="1" applyProtection="1">
      <alignment horizontal="center" vertical="center"/>
      <protection locked="0"/>
    </xf>
    <xf numFmtId="38" fontId="8" fillId="13" borderId="105"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2" fillId="0" borderId="0" xfId="0" applyFont="1" applyAlignment="1">
      <alignment vertical="center"/>
    </xf>
    <xf numFmtId="38" fontId="223" fillId="0" borderId="0" xfId="0" applyNumberFormat="1" applyFont="1" applyAlignment="1">
      <alignment horizontal="center" vertical="center"/>
    </xf>
    <xf numFmtId="38" fontId="10" fillId="5" borderId="104" xfId="0" applyNumberFormat="1" applyFont="1" applyFill="1" applyBorder="1" applyAlignment="1" applyProtection="1">
      <alignment horizontal="center" vertical="center"/>
      <protection locked="0"/>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60" xfId="0" applyNumberFormat="1" applyFont="1" applyFill="1" applyBorder="1" applyAlignment="1">
      <alignment horizontal="center" vertical="center"/>
    </xf>
    <xf numFmtId="38" fontId="10" fillId="13" borderId="104" xfId="0" applyNumberFormat="1" applyFont="1" applyFill="1" applyBorder="1" applyAlignment="1">
      <alignment horizontal="center" vertical="center"/>
    </xf>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3" fillId="0" borderId="0" xfId="0" applyFont="1" applyAlignment="1">
      <alignment vertical="center" wrapText="1"/>
    </xf>
    <xf numFmtId="0" fontId="80" fillId="0" borderId="0" xfId="0" applyFont="1" applyAlignment="1">
      <alignment vertical="top"/>
    </xf>
    <xf numFmtId="0" fontId="58" fillId="0" borderId="54" xfId="0" applyFont="1" applyBorder="1" applyAlignment="1">
      <alignment horizontal="left" vertical="center"/>
    </xf>
    <xf numFmtId="0" fontId="49" fillId="0" borderId="57" xfId="0" applyFont="1" applyBorder="1" applyAlignment="1">
      <alignment horizontal="center" vertical="center"/>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0" borderId="60" xfId="0" applyNumberFormat="1" applyFont="1" applyBorder="1" applyAlignment="1">
      <alignment horizontal="center"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4"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96"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59" xfId="1" applyNumberFormat="1" applyFont="1" applyFill="1" applyBorder="1" applyAlignment="1" applyProtection="1">
      <alignment horizontal="right" vertical="center"/>
    </xf>
    <xf numFmtId="38" fontId="8" fillId="0" borderId="70" xfId="1" applyNumberFormat="1" applyFont="1" applyFill="1" applyBorder="1" applyAlignment="1" applyProtection="1">
      <alignment horizontal="right" vertical="center"/>
    </xf>
    <xf numFmtId="38" fontId="19" fillId="0" borderId="57" xfId="1" applyNumberFormat="1" applyFont="1" applyFill="1" applyBorder="1" applyAlignment="1" applyProtection="1">
      <alignment vertical="center"/>
    </xf>
    <xf numFmtId="38" fontId="21" fillId="0" borderId="57" xfId="1" applyNumberFormat="1" applyFont="1" applyFill="1" applyBorder="1" applyAlignment="1" applyProtection="1">
      <alignment vertical="center"/>
    </xf>
    <xf numFmtId="38" fontId="21" fillId="0" borderId="69" xfId="1" applyNumberFormat="1" applyFont="1" applyFill="1" applyBorder="1" applyAlignment="1" applyProtection="1">
      <alignment horizontal="right" vertical="center"/>
    </xf>
    <xf numFmtId="38" fontId="21" fillId="0" borderId="62"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98" xfId="1" applyNumberFormat="1" applyFont="1" applyFill="1" applyBorder="1" applyAlignment="1" applyProtection="1">
      <alignment horizontal="right" vertical="center"/>
    </xf>
    <xf numFmtId="38" fontId="21" fillId="0" borderId="87" xfId="1" applyNumberFormat="1" applyFont="1" applyFill="1" applyBorder="1" applyAlignment="1" applyProtection="1">
      <alignment horizontal="right" vertical="center"/>
    </xf>
    <xf numFmtId="38" fontId="21" fillId="0" borderId="73"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97" xfId="1" applyNumberFormat="1" applyFont="1" applyFill="1" applyBorder="1" applyAlignment="1" applyProtection="1">
      <alignment horizontal="right" vertical="center"/>
    </xf>
    <xf numFmtId="38" fontId="21" fillId="0" borderId="91" xfId="1" applyNumberFormat="1" applyFont="1" applyFill="1" applyBorder="1" applyAlignment="1" applyProtection="1">
      <alignment horizontal="right" vertical="center"/>
    </xf>
    <xf numFmtId="38" fontId="21" fillId="0" borderId="72"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0" fontId="41" fillId="0" borderId="57" xfId="0" applyFont="1" applyBorder="1" applyAlignment="1">
      <alignment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57" xfId="0" applyFont="1" applyBorder="1" applyAlignment="1">
      <alignment horizontal="left" vertical="center"/>
    </xf>
    <xf numFmtId="3" fontId="4" fillId="0" borderId="65"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9" xfId="0" applyFont="1" applyBorder="1" applyAlignment="1">
      <alignment horizontal="center" vertical="center" wrapText="1"/>
    </xf>
    <xf numFmtId="0" fontId="4" fillId="0" borderId="68"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7" fillId="20" borderId="0" xfId="0" applyFont="1" applyFill="1"/>
    <xf numFmtId="0" fontId="227"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9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70"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3" fontId="4" fillId="5" borderId="84" xfId="1" applyNumberFormat="1" applyFont="1" applyFill="1" applyBorder="1" applyAlignment="1" applyProtection="1">
      <alignment horizontal="center" vertical="center"/>
      <protection locked="0"/>
    </xf>
    <xf numFmtId="3" fontId="4" fillId="13" borderId="84" xfId="1" applyNumberFormat="1" applyFont="1" applyFill="1" applyBorder="1" applyAlignment="1" applyProtection="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185" fontId="38" fillId="10" borderId="54" xfId="0" applyNumberFormat="1" applyFont="1" applyFill="1" applyBorder="1" applyAlignment="1" applyProtection="1">
      <alignment horizontal="center" vertical="center"/>
      <protection locked="0"/>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62"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61" xfId="0" applyNumberFormat="1" applyFont="1" applyBorder="1" applyAlignment="1">
      <alignment horizontal="center" vertical="center" wrapText="1"/>
    </xf>
    <xf numFmtId="38" fontId="4" fillId="0" borderId="162" xfId="0" applyNumberFormat="1" applyFont="1" applyBorder="1" applyAlignment="1">
      <alignment horizontal="center" vertical="center" wrapText="1"/>
    </xf>
    <xf numFmtId="181" fontId="4" fillId="0" borderId="162"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9"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63" xfId="0" applyFont="1" applyBorder="1" applyAlignment="1">
      <alignment horizontal="center" vertical="center" wrapText="1"/>
    </xf>
    <xf numFmtId="0" fontId="80" fillId="0" borderId="58" xfId="0" applyFont="1" applyBorder="1" applyAlignment="1">
      <alignment horizontal="right" vertical="center"/>
    </xf>
    <xf numFmtId="0" fontId="108" fillId="0" borderId="0" xfId="0" quotePrefix="1" applyFont="1" applyAlignment="1">
      <alignment horizontal="center"/>
    </xf>
    <xf numFmtId="0" fontId="14" fillId="13" borderId="59" xfId="0" applyFont="1" applyFill="1" applyBorder="1" applyAlignment="1">
      <alignment horizontal="center" vertic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70" xfId="0" applyNumberFormat="1" applyFont="1" applyFill="1" applyBorder="1" applyAlignment="1" applyProtection="1">
      <alignment horizontal="center" vertical="center"/>
      <protection locked="0"/>
    </xf>
    <xf numFmtId="175" fontId="4" fillId="13" borderId="70" xfId="0" applyNumberFormat="1" applyFont="1" applyFill="1" applyBorder="1" applyAlignment="1">
      <alignment horizontal="center" vertical="center"/>
    </xf>
    <xf numFmtId="175" fontId="4" fillId="10" borderId="60" xfId="0" applyNumberFormat="1" applyFont="1" applyFill="1" applyBorder="1" applyAlignment="1" applyProtection="1">
      <alignment horizontal="center" vertical="center"/>
      <protection locked="0"/>
    </xf>
    <xf numFmtId="175" fontId="4" fillId="13" borderId="60"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10" fillId="0" borderId="57" xfId="0" applyFont="1" applyBorder="1" applyAlignment="1">
      <alignment horizontal="right" vertical="center"/>
    </xf>
    <xf numFmtId="0" fontId="86" fillId="0" borderId="57" xfId="0" applyFont="1" applyBorder="1" applyAlignment="1">
      <alignment vertical="center"/>
    </xf>
    <xf numFmtId="0" fontId="10" fillId="0" borderId="57" xfId="0" applyFont="1" applyBorder="1" applyAlignment="1">
      <alignment horizontal="center" vertical="center"/>
    </xf>
    <xf numFmtId="0" fontId="79" fillId="0" borderId="0" xfId="0" applyFont="1" applyAlignment="1">
      <alignment horizontal="right" vertical="center"/>
    </xf>
    <xf numFmtId="0" fontId="86" fillId="0" borderId="0" xfId="0" applyFont="1" applyAlignment="1">
      <alignment horizontal="right"/>
    </xf>
    <xf numFmtId="0" fontId="14" fillId="5" borderId="104" xfId="0" applyFont="1" applyFill="1" applyBorder="1" applyAlignment="1" applyProtection="1">
      <alignment horizontal="center" vertical="top"/>
      <protection locked="0"/>
    </xf>
    <xf numFmtId="0" fontId="14" fillId="13" borderId="104" xfId="0" applyFont="1" applyFill="1" applyBorder="1" applyAlignment="1">
      <alignment horizontal="center" vertical="top"/>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65" xfId="0" applyNumberFormat="1" applyFont="1" applyBorder="1" applyAlignment="1">
      <alignment horizontal="center" vertical="center" wrapText="1"/>
    </xf>
    <xf numFmtId="0" fontId="4" fillId="0" borderId="165"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65" xfId="0" applyFont="1" applyFill="1" applyBorder="1" applyAlignment="1">
      <alignment horizontal="center" vertical="center" wrapText="1"/>
    </xf>
    <xf numFmtId="38" fontId="4" fillId="0" borderId="68" xfId="0" applyNumberFormat="1" applyFont="1" applyBorder="1" applyAlignment="1">
      <alignment horizontal="center" vertical="center" wrapText="1"/>
    </xf>
    <xf numFmtId="38" fontId="4" fillId="0" borderId="108"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65"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64"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3" fillId="30" borderId="0" xfId="0" applyFont="1" applyFill="1"/>
    <xf numFmtId="0" fontId="80" fillId="0" borderId="0" xfId="0" applyFont="1" applyAlignment="1">
      <alignment horizontal="left" vertical="center" wrapText="1"/>
    </xf>
    <xf numFmtId="167" fontId="38" fillId="10" borderId="78" xfId="0" applyNumberFormat="1" applyFont="1" applyFill="1" applyBorder="1" applyAlignment="1" applyProtection="1">
      <alignment vertical="top" wrapText="1"/>
      <protection locked="0"/>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3" fontId="141" fillId="0" borderId="60" xfId="0" applyNumberFormat="1" applyFont="1" applyBorder="1" applyAlignment="1">
      <alignment horizontal="center" vertical="center"/>
    </xf>
    <xf numFmtId="10" fontId="100" fillId="0" borderId="60" xfId="0" applyNumberFormat="1" applyFont="1" applyBorder="1" applyAlignment="1">
      <alignment horizontal="center"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67" xfId="0" applyNumberFormat="1" applyFont="1" applyFill="1" applyBorder="1" applyAlignment="1" applyProtection="1">
      <alignment horizontal="center" vertical="center"/>
      <protection locked="0"/>
    </xf>
    <xf numFmtId="38" fontId="8" fillId="13" borderId="167"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6"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152" xfId="0" applyNumberFormat="1" applyFont="1" applyBorder="1" applyAlignment="1">
      <alignment horizontal="center" vertical="center" wrapText="1"/>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10" fontId="13" fillId="17" borderId="104" xfId="0" applyNumberFormat="1" applyFont="1" applyFill="1" applyBorder="1" applyAlignment="1">
      <alignment horizontal="center" vertical="center"/>
    </xf>
    <xf numFmtId="0" fontId="234" fillId="30" borderId="0" xfId="0" applyFont="1" applyFill="1" applyAlignment="1">
      <alignment wrapText="1"/>
    </xf>
    <xf numFmtId="38" fontId="8" fillId="0" borderId="9" xfId="0" applyNumberFormat="1" applyFont="1" applyBorder="1" applyAlignment="1">
      <alignment horizontal="center" vertical="center"/>
    </xf>
    <xf numFmtId="38" fontId="8" fillId="10" borderId="60" xfId="0" applyNumberFormat="1" applyFont="1" applyFill="1" applyBorder="1" applyAlignment="1" applyProtection="1">
      <alignment horizontal="center" vertical="center"/>
      <protection locked="0"/>
    </xf>
    <xf numFmtId="38" fontId="8" fillId="5" borderId="70" xfId="0" applyNumberFormat="1" applyFont="1" applyFill="1" applyBorder="1" applyAlignment="1" applyProtection="1">
      <alignment horizontal="center" vertical="center"/>
      <protection locked="0"/>
    </xf>
    <xf numFmtId="38" fontId="8" fillId="13" borderId="70" xfId="0" applyNumberFormat="1" applyFont="1" applyFill="1" applyBorder="1" applyAlignment="1">
      <alignment horizontal="center" vertical="center"/>
    </xf>
    <xf numFmtId="0" fontId="88" fillId="0" borderId="0" xfId="0" applyFont="1" applyAlignment="1">
      <alignment horizontal="left"/>
    </xf>
    <xf numFmtId="0" fontId="235" fillId="0" borderId="0" xfId="0" applyFont="1" applyAlignment="1">
      <alignment horizontal="center"/>
    </xf>
    <xf numFmtId="0" fontId="88" fillId="0" borderId="0" xfId="0" applyFont="1" applyAlignment="1">
      <alignment horizontal="left" vertical="center"/>
    </xf>
    <xf numFmtId="0" fontId="236" fillId="0" borderId="0" xfId="0" applyFont="1"/>
    <xf numFmtId="0" fontId="235" fillId="0" borderId="0" xfId="0" applyFont="1"/>
    <xf numFmtId="38" fontId="4" fillId="0" borderId="38" xfId="0" applyNumberFormat="1" applyFont="1" applyBorder="1" applyAlignment="1">
      <alignment horizontal="center" vertical="center" wrapText="1"/>
    </xf>
    <xf numFmtId="38" fontId="4" fillId="0" borderId="166" xfId="0" applyNumberFormat="1" applyFont="1" applyBorder="1" applyAlignment="1">
      <alignment horizontal="center" vertical="center" wrapText="1"/>
    </xf>
    <xf numFmtId="10" fontId="151" fillId="0" borderId="60" xfId="0" applyNumberFormat="1" applyFont="1" applyBorder="1" applyAlignment="1">
      <alignment horizontal="center" vertical="center"/>
    </xf>
    <xf numFmtId="10" fontId="152" fillId="0" borderId="60" xfId="0" applyNumberFormat="1" applyFont="1" applyBorder="1" applyAlignment="1">
      <alignment horizontal="center" vertical="center"/>
    </xf>
    <xf numFmtId="0" fontId="91" fillId="0" borderId="0" xfId="0" applyFont="1" applyAlignment="1">
      <alignment horizontal="center"/>
    </xf>
    <xf numFmtId="0" fontId="78" fillId="0" borderId="0" xfId="0" applyFont="1" applyAlignment="1">
      <alignment horizontal="center"/>
    </xf>
    <xf numFmtId="0" fontId="41" fillId="5" borderId="70"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41" fillId="5" borderId="101" xfId="0" applyFont="1" applyFill="1" applyBorder="1" applyAlignment="1" applyProtection="1">
      <alignment horizontal="center"/>
      <protection locked="0"/>
    </xf>
    <xf numFmtId="0" fontId="108" fillId="0" borderId="60" xfId="0" applyFont="1" applyBorder="1" applyAlignment="1">
      <alignment horizontal="center"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3" fillId="0" borderId="0" xfId="0" applyFont="1" applyAlignment="1">
      <alignment horizontal="right"/>
    </xf>
    <xf numFmtId="0" fontId="41" fillId="0" borderId="7" xfId="0" applyFont="1" applyBorder="1" applyAlignment="1">
      <alignment horizontal="left" vertical="center"/>
    </xf>
    <xf numFmtId="164" fontId="41" fillId="5" borderId="104" xfId="1" applyNumberFormat="1" applyFont="1" applyFill="1" applyBorder="1" applyAlignment="1" applyProtection="1">
      <alignment horizontal="center" vertical="center"/>
      <protection locked="0"/>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185" fontId="38" fillId="13" borderId="60" xfId="0" applyNumberFormat="1" applyFont="1" applyFill="1" applyBorder="1" applyAlignment="1">
      <alignment horizontal="center" vertical="center"/>
    </xf>
    <xf numFmtId="0" fontId="4" fillId="0" borderId="59" xfId="0" applyFont="1" applyBorder="1" applyAlignment="1">
      <alignment horizontal="center" vertical="center"/>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8" fillId="13" borderId="59" xfId="0" applyNumberFormat="1" applyFont="1" applyFill="1" applyBorder="1" applyAlignment="1">
      <alignment horizontal="center" vertical="top"/>
    </xf>
    <xf numFmtId="38" fontId="108" fillId="0" borderId="104" xfId="0" applyNumberFormat="1" applyFont="1" applyBorder="1" applyAlignment="1">
      <alignment horizontal="center" vertical="center" wrapText="1"/>
    </xf>
    <xf numFmtId="38" fontId="108" fillId="0" borderId="13" xfId="0" applyNumberFormat="1" applyFont="1" applyBorder="1" applyAlignment="1">
      <alignment horizontal="center" vertical="center" wrapText="1"/>
    </xf>
    <xf numFmtId="0" fontId="41" fillId="0" borderId="104" xfId="0" applyFont="1" applyBorder="1" applyAlignment="1">
      <alignment horizontal="center" vertical="center"/>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7"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8" fillId="0" borderId="0" xfId="0" applyFont="1" applyAlignment="1">
      <alignment vertical="center"/>
    </xf>
    <xf numFmtId="0" fontId="238"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0"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38" fontId="14" fillId="10" borderId="60"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38" fontId="8" fillId="0" borderId="57" xfId="0" applyNumberFormat="1" applyFont="1" applyBorder="1" applyAlignment="1">
      <alignment horizontal="center" vertical="center"/>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5" xfId="0" applyNumberFormat="1" applyFont="1" applyBorder="1" applyAlignment="1">
      <alignment horizontal="center" vertical="center"/>
    </xf>
    <xf numFmtId="37" fontId="159" fillId="0" borderId="75" xfId="1" applyNumberFormat="1" applyFont="1" applyFill="1" applyBorder="1" applyAlignment="1" applyProtection="1">
      <alignment horizontal="center" vertical="center"/>
    </xf>
    <xf numFmtId="166" fontId="37" fillId="0" borderId="63"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41" fillId="0" borderId="60" xfId="0" applyFont="1" applyBorder="1" applyAlignment="1">
      <alignment horizontal="center" vertical="center"/>
    </xf>
    <xf numFmtId="0" fontId="80" fillId="0" borderId="60" xfId="0" applyFont="1" applyBorder="1" applyAlignment="1">
      <alignment horizontal="center" vertical="center"/>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99" fillId="0" borderId="60" xfId="0" applyFont="1" applyBorder="1" applyAlignment="1">
      <alignment horizontal="center" vertical="center"/>
    </xf>
    <xf numFmtId="0" fontId="79" fillId="0" borderId="0" xfId="0" applyFont="1" applyAlignment="1">
      <alignment horizontal="right"/>
    </xf>
    <xf numFmtId="0" fontId="108" fillId="0" borderId="0" xfId="0" applyFont="1" applyAlignment="1">
      <alignment vertical="center" wrapText="1"/>
    </xf>
    <xf numFmtId="0" fontId="221" fillId="0" borderId="0" xfId="0" applyFont="1" applyAlignment="1">
      <alignment vertical="center" wrapText="1"/>
    </xf>
    <xf numFmtId="0" fontId="11" fillId="0" borderId="0" xfId="0" applyFont="1" applyAlignment="1">
      <alignment horizontal="right" vertical="center"/>
    </xf>
    <xf numFmtId="4" fontId="37" fillId="5" borderId="152" xfId="0" applyNumberFormat="1" applyFont="1" applyFill="1" applyBorder="1" applyAlignment="1" applyProtection="1">
      <alignment horizontal="center" vertical="top" wrapText="1"/>
      <protection locked="0"/>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2" fillId="0" borderId="0" xfId="0" applyFont="1" applyAlignment="1">
      <alignment vertical="top" wrapText="1"/>
    </xf>
    <xf numFmtId="5" fontId="111" fillId="0" borderId="172" xfId="13" applyNumberFormat="1" applyFont="1" applyBorder="1"/>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108" xfId="0" applyFont="1" applyBorder="1" applyAlignment="1">
      <alignment horizontal="center" vertical="center" wrapText="1"/>
    </xf>
    <xf numFmtId="0" fontId="4" fillId="0" borderId="40" xfId="0" applyFont="1" applyBorder="1" applyAlignment="1">
      <alignment horizontal="center" vertical="center" wrapText="1"/>
    </xf>
    <xf numFmtId="0" fontId="4" fillId="0" borderId="152" xfId="0" applyFont="1" applyBorder="1" applyAlignment="1">
      <alignment horizontal="center" vertical="center" wrapText="1"/>
    </xf>
    <xf numFmtId="0" fontId="4" fillId="0" borderId="62"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4"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7"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7"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9" fillId="0" borderId="0" xfId="33" applyFont="1" applyAlignment="1">
      <alignment horizontal="right" vertical="center"/>
    </xf>
    <xf numFmtId="0" fontId="249"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24" fillId="13" borderId="104" xfId="33" applyFont="1" applyFill="1" applyBorder="1" applyAlignment="1">
      <alignment horizontal="center"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5" borderId="104" xfId="33" applyFont="1" applyFill="1" applyBorder="1" applyAlignment="1" applyProtection="1">
      <alignment horizontal="center" vertical="center"/>
      <protection locked="0"/>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7" fillId="0" borderId="0" xfId="33" applyFont="1" applyAlignment="1">
      <alignment vertical="top"/>
    </xf>
    <xf numFmtId="0" fontId="247"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9" fillId="0" borderId="0" xfId="33" applyFont="1" applyAlignment="1">
      <alignment horizontal="center" vertical="center"/>
    </xf>
    <xf numFmtId="0" fontId="249"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0" fillId="0" borderId="104" xfId="33" applyNumberFormat="1" applyFont="1" applyBorder="1" applyAlignment="1">
      <alignment horizontal="center" vertical="center"/>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1" fontId="130" fillId="0" borderId="60"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7"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3" fillId="0" borderId="0" xfId="37" applyFont="1" applyAlignment="1">
      <alignment vertical="center"/>
    </xf>
    <xf numFmtId="0" fontId="245"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0" fontId="24" fillId="5" borderId="104"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168" fontId="9" fillId="10" borderId="60" xfId="37" applyNumberFormat="1" applyFont="1" applyFill="1" applyBorder="1" applyAlignment="1" applyProtection="1">
      <alignment vertical="center"/>
      <protection locked="0"/>
    </xf>
    <xf numFmtId="38" fontId="24" fillId="5" borderId="70" xfId="37" applyNumberFormat="1" applyFont="1" applyFill="1" applyBorder="1" applyAlignment="1" applyProtection="1">
      <alignment horizontal="center" vertical="top"/>
      <protection locked="0"/>
    </xf>
    <xf numFmtId="38" fontId="24" fillId="5" borderId="59" xfId="37" applyNumberFormat="1" applyFont="1" applyFill="1" applyBorder="1" applyAlignment="1" applyProtection="1">
      <alignment horizontal="center" vertical="center"/>
      <protection locked="0"/>
    </xf>
    <xf numFmtId="38" fontId="24" fillId="5" borderId="70" xfId="37" applyNumberFormat="1" applyFont="1" applyFill="1" applyBorder="1" applyAlignment="1" applyProtection="1">
      <alignment horizontal="center" vertical="center"/>
      <protection locked="0"/>
    </xf>
    <xf numFmtId="38" fontId="24" fillId="5" borderId="60" xfId="37" applyNumberFormat="1" applyFont="1" applyFill="1" applyBorder="1" applyAlignment="1" applyProtection="1">
      <alignment horizontal="center" vertical="center"/>
      <protection locked="0"/>
    </xf>
    <xf numFmtId="0" fontId="245" fillId="0" borderId="0" xfId="37" applyFont="1" applyAlignment="1">
      <alignment horizontal="center" vertical="center"/>
    </xf>
    <xf numFmtId="38" fontId="24" fillId="5" borderId="104" xfId="37" applyNumberFormat="1" applyFont="1" applyFill="1" applyBorder="1" applyAlignment="1" applyProtection="1">
      <alignment horizontal="center" vertical="center"/>
      <protection locked="0"/>
    </xf>
    <xf numFmtId="38" fontId="24" fillId="5" borderId="12" xfId="37" applyNumberFormat="1"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top"/>
      <protection locked="0"/>
    </xf>
    <xf numFmtId="0" fontId="24" fillId="5" borderId="60" xfId="37" applyFont="1" applyFill="1" applyBorder="1" applyAlignment="1" applyProtection="1">
      <alignment horizontal="center" vertical="top"/>
      <protection locked="0"/>
    </xf>
    <xf numFmtId="0" fontId="9" fillId="5" borderId="104" xfId="37" applyFont="1" applyFill="1" applyBorder="1" applyAlignment="1" applyProtection="1">
      <alignment horizontal="center" vertical="center"/>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80"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4" fillId="10" borderId="60" xfId="37" applyNumberFormat="1" applyFont="1" applyFill="1" applyBorder="1" applyAlignment="1" applyProtection="1">
      <alignment horizontal="center" vertical="center"/>
      <protection locked="0"/>
    </xf>
    <xf numFmtId="38" fontId="223" fillId="0" borderId="0" xfId="37" applyNumberFormat="1" applyFont="1" applyAlignment="1">
      <alignment horizontal="center" vertical="center"/>
    </xf>
    <xf numFmtId="0" fontId="245" fillId="0" borderId="0" xfId="37" applyFont="1"/>
    <xf numFmtId="0" fontId="245" fillId="0" borderId="0" xfId="37" applyFont="1" applyAlignment="1">
      <alignment horizontal="left"/>
    </xf>
    <xf numFmtId="0" fontId="245" fillId="0" borderId="0" xfId="37" applyFont="1" applyAlignment="1">
      <alignment horizontal="left" vertical="center"/>
    </xf>
    <xf numFmtId="0" fontId="252" fillId="0" borderId="0" xfId="37" applyFont="1" applyAlignment="1">
      <alignment horizontal="left"/>
    </xf>
    <xf numFmtId="0" fontId="245" fillId="0" borderId="0" xfId="37" applyFont="1" applyAlignment="1">
      <alignment horizontal="center" vertical="top"/>
    </xf>
    <xf numFmtId="0" fontId="245" fillId="0" borderId="0" xfId="37" applyFont="1" applyAlignment="1">
      <alignment vertical="top"/>
    </xf>
    <xf numFmtId="0" fontId="245" fillId="0" borderId="0" xfId="37" applyFont="1" applyAlignment="1">
      <alignment horizontal="left" vertical="top"/>
    </xf>
    <xf numFmtId="0" fontId="223" fillId="0" borderId="0" xfId="37" applyFont="1"/>
    <xf numFmtId="0" fontId="245"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181" fontId="24" fillId="5" borderId="60" xfId="37" applyNumberFormat="1" applyFont="1" applyFill="1" applyBorder="1" applyAlignment="1" applyProtection="1">
      <alignment horizontal="center" vertical="center"/>
      <protection locked="0"/>
    </xf>
    <xf numFmtId="167" fontId="3" fillId="5" borderId="60" xfId="37" applyNumberForma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top"/>
      <protection locked="0"/>
    </xf>
    <xf numFmtId="0" fontId="245"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10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2" fillId="0" borderId="0" xfId="33" applyFont="1" applyProtection="1">
      <protection locked="0"/>
    </xf>
    <xf numFmtId="0" fontId="247" fillId="0" borderId="0" xfId="33" applyFont="1" applyProtection="1">
      <protection locked="0"/>
    </xf>
    <xf numFmtId="0" fontId="247" fillId="0" borderId="0" xfId="33" applyFont="1" applyAlignment="1" applyProtection="1">
      <alignment vertical="center"/>
      <protection locked="0"/>
    </xf>
    <xf numFmtId="0" fontId="247" fillId="0" borderId="0" xfId="33" applyFont="1" applyAlignment="1" applyProtection="1">
      <alignment vertical="top"/>
      <protection locked="0"/>
    </xf>
    <xf numFmtId="0" fontId="247" fillId="0" borderId="0" xfId="33" applyFont="1" applyAlignment="1" applyProtection="1">
      <alignment horizontal="left" vertical="center"/>
      <protection locked="0"/>
    </xf>
    <xf numFmtId="0" fontId="24" fillId="0" borderId="0" xfId="33" applyFont="1" applyAlignment="1">
      <alignment horizontal="left" vertical="top" wrapText="1"/>
    </xf>
    <xf numFmtId="0" fontId="139" fillId="0" borderId="60" xfId="0" applyFont="1" applyBorder="1" applyAlignment="1">
      <alignment horizontal="center" vertical="center"/>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04" xfId="0" applyFont="1" applyBorder="1" applyAlignment="1">
      <alignment horizontal="center" vertical="center"/>
    </xf>
    <xf numFmtId="0" fontId="38" fillId="0" borderId="13" xfId="0" applyFont="1" applyBorder="1" applyAlignment="1">
      <alignment horizontal="center" vertical="center"/>
    </xf>
    <xf numFmtId="37" fontId="38" fillId="0" borderId="104" xfId="1" applyNumberFormat="1" applyFont="1" applyFill="1" applyBorder="1" applyAlignment="1" applyProtection="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8" fillId="0" borderId="0" xfId="0" applyFont="1" applyAlignment="1">
      <alignment horizontal="center"/>
    </xf>
    <xf numFmtId="0" fontId="24" fillId="13" borderId="8" xfId="33" applyFont="1" applyFill="1" applyBorder="1" applyAlignment="1">
      <alignment horizontal="center" vertical="center"/>
    </xf>
    <xf numFmtId="0" fontId="224"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04" xfId="33" applyFont="1" applyFill="1" applyBorder="1" applyAlignment="1" applyProtection="1">
      <alignment horizontal="center" vertical="center" wrapText="1"/>
      <protection locked="0"/>
    </xf>
    <xf numFmtId="0" fontId="24" fillId="5" borderId="13" xfId="33" applyFont="1" applyFill="1" applyBorder="1" applyAlignment="1" applyProtection="1">
      <alignment horizontal="center" vertical="center" wrapText="1"/>
      <protection locked="0"/>
    </xf>
    <xf numFmtId="0" fontId="263"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0" fontId="24" fillId="5" borderId="104" xfId="37" applyFont="1" applyFill="1" applyBorder="1" applyAlignment="1" applyProtection="1">
      <alignment horizontal="center" vertical="top"/>
      <protection locked="0"/>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10" fontId="9" fillId="10" borderId="60" xfId="37" applyNumberFormat="1" applyFont="1" applyFill="1" applyBorder="1" applyAlignment="1" applyProtection="1">
      <alignment horizontal="center" vertical="center" wrapText="1"/>
      <protection locked="0"/>
    </xf>
    <xf numFmtId="0" fontId="9" fillId="10" borderId="60"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9" xfId="37" applyFont="1" applyBorder="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8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8" fillId="0" borderId="0" xfId="37" quotePrefix="1" applyFont="1" applyAlignment="1">
      <alignment vertical="center"/>
    </xf>
    <xf numFmtId="0" fontId="248" fillId="0" borderId="0" xfId="37" applyFont="1" applyAlignment="1">
      <alignment vertical="center"/>
    </xf>
    <xf numFmtId="0" fontId="9" fillId="0" borderId="0" xfId="37" applyFont="1" applyAlignment="1">
      <alignment wrapText="1"/>
    </xf>
    <xf numFmtId="0" fontId="262" fillId="0" borderId="61" xfId="37" applyFont="1" applyBorder="1" applyAlignment="1">
      <alignment horizontal="center" vertical="center"/>
    </xf>
    <xf numFmtId="0" fontId="260" fillId="0" borderId="61"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4"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8" fillId="0" borderId="0" xfId="37" applyFont="1" applyAlignment="1">
      <alignment horizontal="left" vertical="center"/>
    </xf>
    <xf numFmtId="0" fontId="254" fillId="0" borderId="0" xfId="37" applyFont="1" applyAlignment="1">
      <alignment horizontal="center" vertical="center"/>
    </xf>
    <xf numFmtId="0" fontId="9" fillId="0" borderId="0" xfId="37" applyFont="1" applyAlignment="1">
      <alignment horizontal="right" vertical="center"/>
    </xf>
    <xf numFmtId="38" fontId="24" fillId="0" borderId="100" xfId="37" applyNumberFormat="1" applyFont="1" applyBorder="1" applyAlignment="1">
      <alignment horizontal="center" vertical="center"/>
    </xf>
    <xf numFmtId="0" fontId="254"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13" borderId="104" xfId="37" applyFont="1" applyFill="1" applyBorder="1" applyAlignment="1">
      <alignment horizontal="center"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38" fontId="24" fillId="0" borderId="60" xfId="37" applyNumberFormat="1" applyFont="1" applyBorder="1" applyAlignment="1">
      <alignment horizontal="center" vertical="center"/>
    </xf>
    <xf numFmtId="0" fontId="248"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4" fillId="13" borderId="104" xfId="37" applyFont="1" applyFill="1" applyBorder="1" applyAlignment="1">
      <alignment horizontal="center" vertical="top"/>
    </xf>
    <xf numFmtId="0" fontId="254" fillId="0" borderId="0" xfId="37" applyFont="1" applyAlignment="1">
      <alignment horizontal="center" vertical="top"/>
    </xf>
    <xf numFmtId="0" fontId="254"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9" fillId="0" borderId="56" xfId="37" applyFont="1" applyBorder="1" applyAlignment="1">
      <alignment vertical="center"/>
    </xf>
    <xf numFmtId="0" fontId="175"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8" fillId="0" borderId="0" xfId="37" quotePrefix="1" applyFont="1" applyAlignment="1">
      <alignment vertical="top"/>
    </xf>
    <xf numFmtId="0" fontId="9" fillId="13" borderId="104" xfId="37" applyFont="1" applyFill="1" applyBorder="1" applyAlignment="1">
      <alignment horizontal="center" vertical="center"/>
    </xf>
    <xf numFmtId="0" fontId="92" fillId="0" borderId="0" xfId="37" applyFont="1" applyAlignment="1">
      <alignment horizontal="center" vertical="top"/>
    </xf>
    <xf numFmtId="0" fontId="175"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105"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3" fontId="13" fillId="0" borderId="108" xfId="37" applyNumberFormat="1" applyFont="1" applyBorder="1" applyAlignment="1">
      <alignment horizontal="center" vertical="center"/>
    </xf>
    <xf numFmtId="4" fontId="13" fillId="0" borderId="152" xfId="37" applyNumberFormat="1" applyFont="1" applyBorder="1" applyAlignment="1">
      <alignment horizontal="center" vertical="center"/>
    </xf>
    <xf numFmtId="3" fontId="13" fillId="0" borderId="152" xfId="37" applyNumberFormat="1" applyFont="1" applyBorder="1" applyAlignment="1">
      <alignment horizontal="center" vertical="center"/>
    </xf>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38" fontId="3" fillId="0" borderId="60" xfId="37" applyNumberFormat="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8"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38" fontId="24" fillId="13" borderId="60"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38" fontId="24" fillId="0" borderId="57" xfId="37" applyNumberFormat="1" applyFont="1" applyBorder="1" applyAlignment="1">
      <alignment horizontal="center" vertical="center"/>
    </xf>
    <xf numFmtId="0" fontId="37" fillId="0" borderId="0" xfId="37" applyFont="1" applyAlignment="1">
      <alignment vertical="center"/>
    </xf>
    <xf numFmtId="0" fontId="254" fillId="0" borderId="0" xfId="37" applyFont="1" applyAlignment="1">
      <alignment horizontal="left" vertical="center"/>
    </xf>
    <xf numFmtId="38" fontId="24" fillId="13" borderId="104" xfId="37" applyNumberFormat="1" applyFont="1" applyFill="1" applyBorder="1" applyAlignment="1">
      <alignment horizontal="center"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8" fillId="0" borderId="0" xfId="37" quotePrefix="1" applyFont="1"/>
    <xf numFmtId="0" fontId="248"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38" fontId="9" fillId="0" borderId="60" xfId="37" applyNumberFormat="1" applyFont="1" applyBorder="1" applyAlignment="1">
      <alignment horizontal="center" vertical="center"/>
    </xf>
    <xf numFmtId="0" fontId="110" fillId="0" borderId="0" xfId="37" applyFont="1" applyAlignment="1">
      <alignment vertical="center"/>
    </xf>
    <xf numFmtId="40" fontId="130" fillId="0" borderId="60" xfId="37" applyNumberFormat="1" applyFont="1" applyBorder="1" applyAlignment="1">
      <alignment horizontal="center"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10" fontId="255" fillId="0" borderId="60" xfId="37" applyNumberFormat="1" applyFont="1" applyBorder="1" applyAlignment="1">
      <alignment horizontal="center" vertical="center"/>
    </xf>
    <xf numFmtId="0" fontId="259" fillId="0" borderId="0" xfId="0" applyFont="1" applyAlignment="1">
      <alignment horizontal="right" vertical="center"/>
    </xf>
    <xf numFmtId="0" fontId="24" fillId="0" borderId="0" xfId="37" applyFont="1" applyAlignment="1">
      <alignment horizontal="center" vertical="top"/>
    </xf>
    <xf numFmtId="0" fontId="24" fillId="13" borderId="60" xfId="37" applyFont="1" applyFill="1" applyBorder="1" applyAlignment="1">
      <alignment horizontal="center" vertical="top"/>
    </xf>
    <xf numFmtId="181" fontId="24" fillId="13" borderId="60" xfId="37" applyNumberFormat="1" applyFont="1" applyFill="1" applyBorder="1" applyAlignment="1">
      <alignment horizontal="center" vertical="center"/>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168" fontId="9" fillId="13" borderId="60" xfId="37" applyNumberFormat="1" applyFont="1" applyFill="1" applyBorder="1" applyAlignment="1">
      <alignment vertical="center"/>
    </xf>
    <xf numFmtId="0" fontId="256" fillId="0" borderId="0" xfId="37" applyFont="1" applyAlignment="1">
      <alignment vertical="center"/>
    </xf>
    <xf numFmtId="181" fontId="9" fillId="0" borderId="60" xfId="37" applyNumberFormat="1" applyFont="1" applyBorder="1" applyAlignment="1">
      <alignment horizontal="center" vertical="center"/>
    </xf>
    <xf numFmtId="0" fontId="38" fillId="0" borderId="60" xfId="33" applyFont="1" applyBorder="1" applyAlignment="1">
      <alignment horizontal="center" vertical="center"/>
    </xf>
    <xf numFmtId="38" fontId="24" fillId="13" borderId="59" xfId="37" applyNumberFormat="1" applyFont="1" applyFill="1" applyBorder="1" applyAlignment="1">
      <alignment horizontal="center" vertical="top"/>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6"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59" xfId="37" applyNumberFormat="1" applyFont="1" applyFill="1" applyBorder="1" applyAlignment="1">
      <alignment horizontal="center" vertical="center"/>
    </xf>
    <xf numFmtId="0" fontId="4" fillId="0" borderId="59" xfId="33" applyFont="1" applyBorder="1" applyAlignment="1">
      <alignment horizontal="center" vertical="center"/>
    </xf>
    <xf numFmtId="38" fontId="24" fillId="13" borderId="70"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3" fillId="0" borderId="0" xfId="37" applyFont="1" applyAlignment="1">
      <alignment horizontal="right" vertical="center"/>
    </xf>
    <xf numFmtId="0" fontId="249" fillId="0" borderId="0" xfId="37" applyFont="1"/>
    <xf numFmtId="0" fontId="257" fillId="0" borderId="0" xfId="37" applyFont="1" applyAlignment="1">
      <alignment horizontal="right" vertical="center"/>
    </xf>
    <xf numFmtId="181" fontId="24" fillId="0" borderId="60" xfId="37" applyNumberFormat="1" applyFont="1" applyBorder="1" applyAlignment="1">
      <alignment horizontal="center" vertical="center"/>
    </xf>
    <xf numFmtId="0" fontId="24" fillId="13" borderId="60" xfId="37" applyFont="1" applyFill="1" applyBorder="1" applyAlignment="1">
      <alignment horizontal="center" vertical="center"/>
    </xf>
    <xf numFmtId="0" fontId="110" fillId="0" borderId="33" xfId="37" applyFont="1" applyBorder="1" applyAlignment="1">
      <alignment vertical="center"/>
    </xf>
    <xf numFmtId="0" fontId="248" fillId="0" borderId="14" xfId="37" applyFont="1" applyBorder="1" applyAlignment="1">
      <alignment vertical="center"/>
    </xf>
    <xf numFmtId="0" fontId="9" fillId="0" borderId="14" xfId="37" applyFont="1" applyBorder="1" applyAlignment="1">
      <alignment vertical="center"/>
    </xf>
    <xf numFmtId="0" fontId="255" fillId="0" borderId="42" xfId="37" applyFont="1" applyBorder="1" applyAlignment="1">
      <alignment horizontal="center" vertical="center"/>
    </xf>
    <xf numFmtId="0" fontId="261"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2" fillId="0" borderId="0" xfId="37" applyNumberFormat="1" applyFont="1" applyAlignment="1">
      <alignment horizontal="center" vertical="center"/>
    </xf>
    <xf numFmtId="181" fontId="260" fillId="0" borderId="0" xfId="37" applyNumberFormat="1" applyFont="1" applyAlignment="1">
      <alignment horizontal="center" vertical="center"/>
    </xf>
    <xf numFmtId="0" fontId="130" fillId="0" borderId="31" xfId="37" applyFont="1" applyBorder="1" applyAlignment="1">
      <alignment horizontal="right" vertical="center"/>
    </xf>
    <xf numFmtId="38" fontId="262" fillId="0" borderId="0" xfId="37" applyNumberFormat="1" applyFont="1" applyAlignment="1">
      <alignment horizontal="center" vertical="center"/>
    </xf>
    <xf numFmtId="38" fontId="260" fillId="0" borderId="0" xfId="37" applyNumberFormat="1" applyFont="1" applyAlignment="1">
      <alignment horizontal="center" vertical="center"/>
    </xf>
    <xf numFmtId="0" fontId="9" fillId="0" borderId="32" xfId="37" applyFont="1" applyBorder="1" applyAlignment="1">
      <alignment vertical="center"/>
    </xf>
    <xf numFmtId="0" fontId="248"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10" fontId="8" fillId="0" borderId="60" xfId="37" applyNumberFormat="1" applyFont="1" applyBorder="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6"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60" fillId="0" borderId="0" xfId="37" applyFont="1"/>
    <xf numFmtId="9" fontId="265" fillId="0" borderId="9" xfId="37" applyNumberFormat="1" applyFont="1" applyBorder="1" applyAlignment="1">
      <alignment horizontal="center" vertical="center" wrapText="1"/>
    </xf>
    <xf numFmtId="9" fontId="264" fillId="0" borderId="9" xfId="37" applyNumberFormat="1" applyFont="1" applyBorder="1" applyAlignment="1">
      <alignment horizontal="center" vertical="center" wrapText="1"/>
    </xf>
    <xf numFmtId="0" fontId="9" fillId="0" borderId="15" xfId="37" applyFont="1" applyBorder="1"/>
    <xf numFmtId="38" fontId="255" fillId="0" borderId="69" xfId="37" applyNumberFormat="1" applyFont="1" applyBorder="1" applyAlignment="1">
      <alignment horizontal="center" vertical="center" wrapText="1"/>
    </xf>
    <xf numFmtId="38" fontId="255" fillId="0" borderId="68" xfId="37" applyNumberFormat="1" applyFont="1" applyBorder="1" applyAlignment="1">
      <alignment horizontal="center" vertical="center" wrapText="1"/>
    </xf>
    <xf numFmtId="38" fontId="255" fillId="0" borderId="108" xfId="37" applyNumberFormat="1" applyFont="1" applyBorder="1" applyAlignment="1">
      <alignment horizontal="center" vertical="center" wrapText="1"/>
    </xf>
    <xf numFmtId="38" fontId="255" fillId="0" borderId="164" xfId="37" applyNumberFormat="1" applyFont="1" applyBorder="1" applyAlignment="1">
      <alignment horizontal="center" vertical="center" wrapText="1"/>
    </xf>
    <xf numFmtId="38" fontId="261" fillId="0" borderId="161" xfId="37" applyNumberFormat="1" applyFont="1" applyBorder="1" applyAlignment="1">
      <alignment horizontal="center" vertical="center" wrapText="1"/>
    </xf>
    <xf numFmtId="38" fontId="261" fillId="0" borderId="152" xfId="37" applyNumberFormat="1" applyFont="1" applyBorder="1" applyAlignment="1">
      <alignment horizontal="center" vertical="center" wrapText="1"/>
    </xf>
    <xf numFmtId="38" fontId="261" fillId="0" borderId="108" xfId="37" applyNumberFormat="1" applyFont="1" applyBorder="1" applyAlignment="1">
      <alignment horizontal="center" vertical="center" wrapText="1"/>
    </xf>
    <xf numFmtId="0" fontId="9" fillId="0" borderId="16" xfId="37" applyFont="1" applyBorder="1" applyAlignment="1">
      <alignment vertical="center"/>
    </xf>
    <xf numFmtId="38" fontId="255" fillId="0" borderId="39" xfId="37" applyNumberFormat="1" applyFont="1" applyBorder="1" applyAlignment="1">
      <alignment horizontal="center" vertical="center" wrapText="1"/>
    </xf>
    <xf numFmtId="38" fontId="255" fillId="0" borderId="165" xfId="37" applyNumberFormat="1" applyFont="1" applyBorder="1" applyAlignment="1">
      <alignment horizontal="center" vertical="center" wrapText="1"/>
    </xf>
    <xf numFmtId="38" fontId="261" fillId="0" borderId="162" xfId="37" applyNumberFormat="1" applyFont="1" applyBorder="1" applyAlignment="1">
      <alignment horizontal="center" vertical="center" wrapText="1"/>
    </xf>
    <xf numFmtId="38" fontId="261" fillId="0" borderId="19" xfId="37" applyNumberFormat="1" applyFont="1" applyBorder="1" applyAlignment="1">
      <alignment horizontal="center" vertical="center" wrapText="1"/>
    </xf>
    <xf numFmtId="38" fontId="261" fillId="0" borderId="39" xfId="37" applyNumberFormat="1" applyFont="1" applyBorder="1" applyAlignment="1">
      <alignment horizontal="center" vertical="center" wrapText="1"/>
    </xf>
    <xf numFmtId="0" fontId="9" fillId="0" borderId="16" xfId="37" applyFont="1" applyBorder="1"/>
    <xf numFmtId="0" fontId="24" fillId="0" borderId="60" xfId="37" applyFont="1" applyBorder="1" applyAlignment="1">
      <alignment horizontal="center" vertical="center"/>
    </xf>
    <xf numFmtId="38" fontId="255" fillId="0" borderId="19" xfId="37" applyNumberFormat="1" applyFont="1" applyBorder="1" applyAlignment="1">
      <alignment horizontal="center" vertical="center" wrapText="1"/>
    </xf>
    <xf numFmtId="181" fontId="255" fillId="0" borderId="39" xfId="37" applyNumberFormat="1" applyFont="1" applyBorder="1" applyAlignment="1">
      <alignment horizontal="center" vertical="center" wrapText="1"/>
    </xf>
    <xf numFmtId="181" fontId="255" fillId="0" borderId="19" xfId="37" applyNumberFormat="1" applyFont="1" applyBorder="1" applyAlignment="1">
      <alignment horizontal="center" vertical="center" wrapText="1"/>
    </xf>
    <xf numFmtId="0" fontId="255" fillId="0" borderId="39" xfId="37" applyFont="1" applyBorder="1" applyAlignment="1">
      <alignment horizontal="center" vertical="center" wrapText="1"/>
    </xf>
    <xf numFmtId="0" fontId="255" fillId="0" borderId="165" xfId="37" applyFont="1" applyBorder="1" applyAlignment="1">
      <alignment horizontal="center" vertical="center" wrapText="1"/>
    </xf>
    <xf numFmtId="181" fontId="261" fillId="0" borderId="162" xfId="37" applyNumberFormat="1" applyFont="1" applyBorder="1" applyAlignment="1">
      <alignment horizontal="center" vertical="center" wrapText="1"/>
    </xf>
    <xf numFmtId="181" fontId="261" fillId="0" borderId="19" xfId="37" applyNumberFormat="1" applyFont="1" applyBorder="1" applyAlignment="1">
      <alignment horizontal="center" vertical="center" wrapText="1"/>
    </xf>
    <xf numFmtId="0" fontId="261" fillId="0" borderId="39" xfId="37" applyFont="1" applyBorder="1" applyAlignment="1">
      <alignment horizontal="center" vertical="center" wrapText="1"/>
    </xf>
    <xf numFmtId="0" fontId="261" fillId="0" borderId="19" xfId="37" applyFont="1" applyBorder="1" applyAlignment="1">
      <alignment horizontal="center" vertical="center" wrapText="1"/>
    </xf>
    <xf numFmtId="0" fontId="255" fillId="0" borderId="19" xfId="37" applyFont="1" applyBorder="1" applyAlignment="1">
      <alignment horizontal="center" vertical="center" wrapText="1"/>
    </xf>
    <xf numFmtId="0" fontId="9" fillId="0" borderId="4" xfId="37" applyFont="1" applyBorder="1" applyAlignment="1">
      <alignment vertical="center"/>
    </xf>
    <xf numFmtId="181" fontId="255" fillId="28" borderId="39" xfId="37" applyNumberFormat="1" applyFont="1" applyFill="1" applyBorder="1" applyAlignment="1">
      <alignment horizontal="center" vertical="center" wrapText="1"/>
    </xf>
    <xf numFmtId="181" fontId="255" fillId="28" borderId="165" xfId="37" applyNumberFormat="1" applyFont="1" applyFill="1" applyBorder="1" applyAlignment="1">
      <alignment horizontal="center" vertical="center" wrapText="1"/>
    </xf>
    <xf numFmtId="181" fontId="261" fillId="28" borderId="39" xfId="37" applyNumberFormat="1" applyFont="1" applyFill="1" applyBorder="1" applyAlignment="1">
      <alignment horizontal="center" vertical="center" wrapText="1"/>
    </xf>
    <xf numFmtId="181" fontId="261" fillId="28" borderId="19" xfId="37" applyNumberFormat="1" applyFont="1" applyFill="1" applyBorder="1" applyAlignment="1">
      <alignment horizontal="center" vertical="center" wrapText="1"/>
    </xf>
    <xf numFmtId="38" fontId="255" fillId="28" borderId="39" xfId="37" applyNumberFormat="1" applyFont="1" applyFill="1" applyBorder="1" applyAlignment="1">
      <alignment horizontal="center" vertical="center" wrapText="1"/>
    </xf>
    <xf numFmtId="38" fontId="255" fillId="28" borderId="165" xfId="37" applyNumberFormat="1" applyFont="1" applyFill="1" applyBorder="1" applyAlignment="1">
      <alignment horizontal="center" vertical="center" wrapText="1"/>
    </xf>
    <xf numFmtId="38" fontId="261" fillId="28" borderId="39" xfId="37" applyNumberFormat="1" applyFont="1" applyFill="1" applyBorder="1" applyAlignment="1">
      <alignment horizontal="center" vertical="center" wrapText="1"/>
    </xf>
    <xf numFmtId="38" fontId="261" fillId="28" borderId="19" xfId="37" applyNumberFormat="1" applyFont="1" applyFill="1" applyBorder="1" applyAlignment="1">
      <alignment horizontal="center" vertical="center" wrapText="1"/>
    </xf>
    <xf numFmtId="0" fontId="255" fillId="28" borderId="19" xfId="37" applyFont="1" applyFill="1" applyBorder="1" applyAlignment="1">
      <alignment horizontal="center" vertical="center" wrapText="1"/>
    </xf>
    <xf numFmtId="0" fontId="255" fillId="28" borderId="39" xfId="37" applyFont="1" applyFill="1" applyBorder="1" applyAlignment="1">
      <alignment horizontal="center" vertical="center" wrapText="1"/>
    </xf>
    <xf numFmtId="0" fontId="261" fillId="28" borderId="19" xfId="37" applyFont="1" applyFill="1" applyBorder="1" applyAlignment="1">
      <alignment horizontal="center" vertical="center" wrapText="1"/>
    </xf>
    <xf numFmtId="0" fontId="261" fillId="28" borderId="39" xfId="37" applyFont="1" applyFill="1" applyBorder="1" applyAlignment="1">
      <alignment horizontal="center" vertical="center" wrapText="1"/>
    </xf>
    <xf numFmtId="38" fontId="255" fillId="28" borderId="19" xfId="37" applyNumberFormat="1" applyFont="1" applyFill="1" applyBorder="1" applyAlignment="1">
      <alignment horizontal="center" vertical="center" wrapText="1"/>
    </xf>
    <xf numFmtId="0" fontId="261" fillId="28" borderId="162"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5" fillId="0" borderId="37" xfId="37" applyFont="1" applyBorder="1" applyAlignment="1">
      <alignment horizontal="center" vertical="center" wrapText="1"/>
    </xf>
    <xf numFmtId="38" fontId="255" fillId="0" borderId="64" xfId="37" applyNumberFormat="1" applyFont="1" applyBorder="1" applyAlignment="1">
      <alignment horizontal="center" vertical="center" wrapText="1"/>
    </xf>
    <xf numFmtId="38" fontId="255" fillId="0" borderId="37" xfId="37" applyNumberFormat="1" applyFont="1" applyBorder="1" applyAlignment="1">
      <alignment horizontal="center" vertical="center" wrapText="1"/>
    </xf>
    <xf numFmtId="38" fontId="255" fillId="0" borderId="166" xfId="37" applyNumberFormat="1" applyFont="1" applyBorder="1" applyAlignment="1">
      <alignment horizontal="center" vertical="center" wrapText="1"/>
    </xf>
    <xf numFmtId="0" fontId="261" fillId="0" borderId="163" xfId="37" applyFont="1" applyBorder="1" applyAlignment="1">
      <alignment horizontal="center" vertical="center" wrapText="1"/>
    </xf>
    <xf numFmtId="38" fontId="261" fillId="0" borderId="18" xfId="37" applyNumberFormat="1" applyFont="1" applyBorder="1" applyAlignment="1">
      <alignment horizontal="center" vertical="center" wrapText="1"/>
    </xf>
    <xf numFmtId="38" fontId="261" fillId="0" borderId="37" xfId="37" applyNumberFormat="1" applyFont="1" applyBorder="1" applyAlignment="1">
      <alignment horizontal="center" vertical="center" wrapText="1"/>
    </xf>
    <xf numFmtId="0" fontId="262" fillId="0" borderId="0" xfId="37" applyFont="1" applyAlignment="1">
      <alignment vertical="center"/>
    </xf>
    <xf numFmtId="0" fontId="260" fillId="0" borderId="0" xfId="37" applyFont="1" applyAlignment="1">
      <alignment vertical="center"/>
    </xf>
    <xf numFmtId="186" fontId="255" fillId="0" borderId="0" xfId="37" applyNumberFormat="1" applyFont="1" applyAlignment="1">
      <alignment horizontal="center" vertical="center"/>
    </xf>
    <xf numFmtId="186" fontId="261"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04" xfId="37" applyNumberFormat="1" applyFill="1" applyBorder="1" applyAlignment="1" applyProtection="1">
      <alignment horizontal="center" vertical="top"/>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04" xfId="37" applyFont="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38" fontId="3" fillId="0" borderId="59" xfId="37" applyNumberFormat="1" applyBorder="1" applyAlignment="1">
      <alignment horizontal="center" vertical="center"/>
    </xf>
    <xf numFmtId="0" fontId="8" fillId="0" borderId="60" xfId="37" applyFont="1" applyBorder="1" applyAlignment="1">
      <alignment horizontal="center" vertical="center"/>
    </xf>
    <xf numFmtId="0" fontId="134" fillId="0" borderId="0" xfId="37" applyFont="1"/>
    <xf numFmtId="0" fontId="126" fillId="0" borderId="0" xfId="37" applyFont="1"/>
    <xf numFmtId="10" fontId="9" fillId="27" borderId="104" xfId="37" applyNumberFormat="1" applyFont="1" applyFill="1" applyBorder="1" applyAlignment="1">
      <alignment horizontal="center" vertical="center"/>
    </xf>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8"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8"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8"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31" borderId="60" xfId="37" applyFill="1" applyBorder="1" applyAlignment="1">
      <alignment horizontal="center" vertical="center"/>
    </xf>
    <xf numFmtId="0" fontId="3" fillId="31" borderId="59" xfId="37" applyFill="1" applyBorder="1" applyAlignment="1">
      <alignment horizontal="center" vertical="center"/>
    </xf>
    <xf numFmtId="0" fontId="3" fillId="0" borderId="104" xfId="37" applyBorder="1" applyAlignment="1">
      <alignment horizontal="center"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2" fillId="0" borderId="0" xfId="37" applyNumberFormat="1" applyFont="1" applyAlignment="1">
      <alignment horizontal="center" vertical="center"/>
    </xf>
    <xf numFmtId="186" fontId="260"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2" fillId="0" borderId="15" xfId="37" applyNumberFormat="1" applyFont="1" applyBorder="1" applyAlignment="1">
      <alignment horizontal="center" vertical="center"/>
    </xf>
    <xf numFmtId="38" fontId="260"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2" fillId="0" borderId="28" xfId="37" applyNumberFormat="1" applyFont="1" applyBorder="1" applyAlignment="1">
      <alignment horizontal="center" vertical="center"/>
    </xf>
    <xf numFmtId="181" fontId="260"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93" xfId="37" applyNumberFormat="1" applyFont="1" applyBorder="1" applyAlignment="1">
      <alignment horizontal="center" vertical="center"/>
    </xf>
    <xf numFmtId="10" fontId="3" fillId="13" borderId="104" xfId="37" applyNumberFormat="1" applyFill="1" applyBorder="1" applyAlignment="1">
      <alignment horizontal="left"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2" fillId="0" borderId="0" xfId="37" quotePrefix="1" applyFont="1" applyAlignment="1">
      <alignment vertical="center"/>
    </xf>
    <xf numFmtId="0" fontId="252" fillId="0" borderId="0" xfId="37" applyFont="1" applyAlignment="1">
      <alignment vertical="center"/>
    </xf>
    <xf numFmtId="9" fontId="268" fillId="0" borderId="0" xfId="37" applyNumberFormat="1" applyFont="1" applyAlignment="1">
      <alignment horizontal="center" vertical="center" wrapText="1"/>
    </xf>
    <xf numFmtId="0" fontId="245" fillId="0" borderId="0" xfId="37" applyFont="1" applyAlignment="1">
      <alignment horizontal="right" vertical="center"/>
    </xf>
    <xf numFmtId="0" fontId="245" fillId="0" borderId="0" xfId="37" applyFont="1" applyAlignment="1">
      <alignment horizontal="center" vertical="center" wrapText="1"/>
    </xf>
    <xf numFmtId="38" fontId="245" fillId="0" borderId="0" xfId="37" applyNumberFormat="1" applyFont="1" applyAlignment="1">
      <alignment horizontal="center" vertical="center" wrapText="1"/>
    </xf>
    <xf numFmtId="183" fontId="245" fillId="0" borderId="0" xfId="37" applyNumberFormat="1" applyFont="1" applyAlignment="1">
      <alignment horizontal="center" vertical="center" wrapText="1"/>
    </xf>
    <xf numFmtId="0" fontId="223" fillId="0" borderId="0" xfId="37" applyFont="1" applyAlignment="1">
      <alignment horizontal="right" vertical="center"/>
    </xf>
    <xf numFmtId="3" fontId="223" fillId="0" borderId="0" xfId="37" applyNumberFormat="1" applyFont="1" applyAlignment="1">
      <alignment horizontal="center" vertical="center"/>
    </xf>
    <xf numFmtId="186" fontId="223" fillId="0" borderId="0" xfId="37" applyNumberFormat="1" applyFont="1" applyAlignment="1">
      <alignment horizontal="center" vertical="center"/>
    </xf>
    <xf numFmtId="0" fontId="227" fillId="0" borderId="0" xfId="0" applyFont="1"/>
    <xf numFmtId="0" fontId="227" fillId="0" borderId="0" xfId="0" applyFont="1" applyAlignment="1">
      <alignment vertical="center"/>
    </xf>
    <xf numFmtId="0" fontId="82" fillId="0" borderId="0" xfId="0" applyFont="1" applyAlignment="1">
      <alignment vertical="center"/>
    </xf>
    <xf numFmtId="0" fontId="228" fillId="0" borderId="0" xfId="0" applyFont="1" applyAlignment="1">
      <alignment vertical="center" wrapText="1"/>
    </xf>
    <xf numFmtId="0" fontId="125" fillId="20" borderId="0" xfId="13" applyFont="1" applyFill="1" applyAlignment="1">
      <alignment horizontal="center"/>
    </xf>
    <xf numFmtId="0" fontId="269"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5" fillId="0" borderId="0" xfId="33" applyFont="1" applyAlignment="1">
      <alignment vertical="center"/>
    </xf>
    <xf numFmtId="0" fontId="245" fillId="0" borderId="0" xfId="33" applyFont="1" applyAlignment="1">
      <alignment horizontal="left" vertical="center"/>
    </xf>
    <xf numFmtId="0" fontId="245" fillId="0" borderId="0" xfId="33" applyFont="1" applyAlignment="1">
      <alignment horizontal="center" vertical="center"/>
    </xf>
    <xf numFmtId="0" fontId="223" fillId="0" borderId="0" xfId="33" applyFont="1" applyAlignment="1">
      <alignment horizontal="center" vertical="center"/>
    </xf>
    <xf numFmtId="0" fontId="252" fillId="0" borderId="0" xfId="33" applyFont="1" applyAlignment="1">
      <alignment vertical="center"/>
    </xf>
    <xf numFmtId="0" fontId="223" fillId="0" borderId="0" xfId="33" applyFont="1" applyAlignment="1">
      <alignment vertical="center"/>
    </xf>
    <xf numFmtId="0" fontId="247"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5" fillId="20" borderId="0" xfId="33" applyFont="1" applyFill="1" applyAlignment="1" applyProtection="1">
      <alignment horizontal="center"/>
      <protection locked="0"/>
    </xf>
    <xf numFmtId="1" fontId="245" fillId="20" borderId="0" xfId="37" applyNumberFormat="1" applyFont="1" applyFill="1" applyAlignment="1">
      <alignment horizontal="center"/>
    </xf>
    <xf numFmtId="1" fontId="245" fillId="20" borderId="0" xfId="37" applyNumberFormat="1" applyFont="1" applyFill="1" applyAlignment="1">
      <alignment horizontal="center" vertical="center"/>
    </xf>
    <xf numFmtId="0" fontId="245"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3" fillId="0" borderId="0" xfId="0" applyNumberFormat="1" applyFont="1" applyAlignment="1">
      <alignment vertical="center"/>
    </xf>
    <xf numFmtId="0" fontId="223" fillId="0" borderId="0" xfId="0" applyFont="1" applyAlignment="1">
      <alignment vertical="center"/>
    </xf>
    <xf numFmtId="0" fontId="227"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3" fillId="0" borderId="0" xfId="33" applyFont="1" applyAlignment="1">
      <alignment horizontal="right" vertical="top"/>
    </xf>
    <xf numFmtId="0" fontId="227"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7" fillId="0" borderId="0" xfId="0" applyFont="1" applyAlignment="1">
      <alignment vertical="top"/>
    </xf>
    <xf numFmtId="49" fontId="277"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7"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7" fillId="0" borderId="0" xfId="0" applyNumberFormat="1" applyFont="1" applyAlignment="1">
      <alignment vertical="center"/>
    </xf>
    <xf numFmtId="0" fontId="227" fillId="0" borderId="0" xfId="0" applyFont="1" applyAlignment="1">
      <alignment horizontal="right" vertical="center"/>
    </xf>
    <xf numFmtId="166" fontId="97" fillId="0" borderId="0" xfId="0" applyNumberFormat="1" applyFont="1" applyAlignment="1">
      <alignment vertical="center"/>
    </xf>
    <xf numFmtId="0" fontId="278" fillId="0" borderId="0" xfId="0" applyFont="1" applyAlignment="1">
      <alignment vertical="center"/>
    </xf>
    <xf numFmtId="0" fontId="279" fillId="0" borderId="0" xfId="0" quotePrefix="1" applyFont="1" applyAlignment="1">
      <alignment vertical="center"/>
    </xf>
    <xf numFmtId="0" fontId="278" fillId="0" borderId="0" xfId="0" applyFont="1" applyAlignment="1">
      <alignment horizontal="center" vertical="center"/>
    </xf>
    <xf numFmtId="3" fontId="227" fillId="0" borderId="0" xfId="0" applyNumberFormat="1" applyFont="1" applyAlignment="1">
      <alignment vertical="center"/>
    </xf>
    <xf numFmtId="4" fontId="227" fillId="0" borderId="0" xfId="0" applyNumberFormat="1" applyFont="1" applyAlignment="1">
      <alignment vertical="center"/>
    </xf>
    <xf numFmtId="9" fontId="227" fillId="0" borderId="0" xfId="0" applyNumberFormat="1" applyFont="1" applyAlignment="1">
      <alignment horizontal="center" vertical="center"/>
    </xf>
    <xf numFmtId="0" fontId="277" fillId="0" borderId="0" xfId="0" applyFont="1" applyAlignment="1">
      <alignment vertical="top"/>
    </xf>
    <xf numFmtId="164" fontId="81" fillId="0" borderId="0" xfId="1" applyNumberFormat="1" applyFont="1" applyFill="1" applyBorder="1" applyAlignment="1" applyProtection="1">
      <alignment vertical="center"/>
    </xf>
    <xf numFmtId="0" fontId="280" fillId="0" borderId="0" xfId="0" applyFont="1" applyAlignment="1">
      <alignment horizontal="center" vertical="center"/>
    </xf>
    <xf numFmtId="0" fontId="273"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3"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7" fillId="0" borderId="0" xfId="0" applyNumberFormat="1" applyFont="1" applyAlignment="1">
      <alignment horizontal="center" vertical="center"/>
    </xf>
    <xf numFmtId="37" fontId="227"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81" fillId="0" borderId="0" xfId="0" applyFont="1" applyAlignment="1">
      <alignment horizontal="left" vertical="center"/>
    </xf>
    <xf numFmtId="164" fontId="281" fillId="0" borderId="0" xfId="0" applyNumberFormat="1" applyFont="1" applyAlignment="1">
      <alignment vertical="center"/>
    </xf>
    <xf numFmtId="0" fontId="281" fillId="0" borderId="0" xfId="0" applyFont="1" applyAlignment="1">
      <alignment vertical="top"/>
    </xf>
    <xf numFmtId="0" fontId="281" fillId="0" borderId="0" xfId="0" applyFont="1" applyAlignment="1">
      <alignment vertical="center"/>
    </xf>
    <xf numFmtId="4" fontId="281" fillId="0" borderId="0" xfId="1" applyNumberFormat="1" applyFont="1" applyFill="1" applyBorder="1" applyAlignment="1" applyProtection="1">
      <alignment horizontal="right" vertical="center"/>
    </xf>
    <xf numFmtId="171" fontId="283" fillId="0" borderId="0" xfId="0" applyNumberFormat="1" applyFont="1" applyAlignment="1">
      <alignment horizontal="left" vertical="center"/>
    </xf>
    <xf numFmtId="4" fontId="281" fillId="0" borderId="0" xfId="1" applyNumberFormat="1" applyFont="1" applyFill="1" applyBorder="1" applyAlignment="1" applyProtection="1">
      <alignment vertical="center"/>
    </xf>
    <xf numFmtId="171" fontId="283" fillId="0" borderId="0" xfId="0" applyNumberFormat="1" applyFont="1" applyAlignment="1">
      <alignment vertical="center"/>
    </xf>
    <xf numFmtId="0" fontId="283" fillId="0" borderId="0" xfId="0" applyFont="1" applyAlignment="1">
      <alignment vertical="center"/>
    </xf>
    <xf numFmtId="0" fontId="274" fillId="0" borderId="0" xfId="0" applyFont="1" applyAlignment="1">
      <alignment horizontal="left" vertical="center"/>
    </xf>
    <xf numFmtId="4" fontId="281" fillId="0" borderId="0" xfId="0" applyNumberFormat="1" applyFont="1" applyAlignment="1">
      <alignment vertical="center"/>
    </xf>
    <xf numFmtId="4" fontId="81" fillId="0" borderId="0" xfId="0" applyNumberFormat="1" applyFont="1" applyAlignment="1">
      <alignment horizontal="left" vertical="center"/>
    </xf>
    <xf numFmtId="0" fontId="282"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3" fillId="0" borderId="0" xfId="0" applyFont="1" applyAlignment="1">
      <alignment horizontal="center" vertical="center"/>
    </xf>
    <xf numFmtId="37" fontId="281" fillId="0" borderId="0" xfId="0" applyNumberFormat="1" applyFont="1" applyAlignment="1">
      <alignment horizontal="center" vertical="center"/>
    </xf>
    <xf numFmtId="0" fontId="281" fillId="0" borderId="0" xfId="0" applyFont="1" applyAlignment="1">
      <alignment horizontal="right" vertical="center"/>
    </xf>
    <xf numFmtId="0" fontId="281" fillId="0" borderId="0" xfId="0" applyFont="1" applyAlignment="1">
      <alignment horizontal="center" vertical="center"/>
    </xf>
    <xf numFmtId="164" fontId="97" fillId="0" borderId="0" xfId="1" applyNumberFormat="1" applyFont="1" applyFill="1" applyBorder="1" applyAlignment="1" applyProtection="1"/>
    <xf numFmtId="164" fontId="281"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5"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3"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7" fillId="0" borderId="0" xfId="0" applyFont="1" applyAlignment="1">
      <alignment horizontal="left" vertical="center"/>
    </xf>
    <xf numFmtId="3" fontId="90" fillId="0" borderId="0" xfId="0" applyNumberFormat="1" applyFont="1" applyAlignment="1">
      <alignment horizontal="left" vertical="center"/>
    </xf>
    <xf numFmtId="0" fontId="273"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7" fillId="0" borderId="0" xfId="0" applyFont="1" applyAlignment="1">
      <alignment horizontal="left" vertical="top"/>
    </xf>
    <xf numFmtId="0" fontId="282" fillId="0" borderId="0" xfId="0" applyFont="1" applyAlignment="1">
      <alignment horizontal="right" vertical="center"/>
    </xf>
    <xf numFmtId="0" fontId="97" fillId="0" borderId="0" xfId="0" quotePrefix="1" applyFont="1" applyAlignment="1">
      <alignment horizontal="center" vertical="center"/>
    </xf>
    <xf numFmtId="0" fontId="285"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7" fillId="0" borderId="0" xfId="0" applyFont="1" applyAlignment="1">
      <alignment vertical="center"/>
    </xf>
    <xf numFmtId="0" fontId="285" fillId="0" borderId="0" xfId="0" applyFont="1" applyAlignment="1">
      <alignment horizontal="left" vertical="center"/>
    </xf>
    <xf numFmtId="38" fontId="227" fillId="0" borderId="0" xfId="0" applyNumberFormat="1" applyFont="1" applyAlignment="1">
      <alignment vertical="center"/>
    </xf>
    <xf numFmtId="164" fontId="227"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8" fillId="0" borderId="0" xfId="13" applyFont="1" applyAlignment="1">
      <alignment vertical="center"/>
    </xf>
    <xf numFmtId="0" fontId="78" fillId="0" borderId="0" xfId="13" applyFont="1" applyAlignment="1">
      <alignment vertical="center"/>
    </xf>
    <xf numFmtId="0" fontId="87" fillId="0" borderId="0" xfId="13" applyFont="1"/>
    <xf numFmtId="0" fontId="245" fillId="0" borderId="0" xfId="13" applyFont="1" applyAlignment="1">
      <alignment vertical="top"/>
    </xf>
    <xf numFmtId="0" fontId="78" fillId="0" borderId="0" xfId="13" applyFont="1" applyAlignment="1">
      <alignment vertical="top"/>
    </xf>
    <xf numFmtId="0" fontId="288"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7"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3"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9"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2" fillId="0" borderId="0" xfId="0" applyFont="1" applyAlignment="1">
      <alignment horizontal="left" vertical="center"/>
    </xf>
    <xf numFmtId="3" fontId="90" fillId="0" borderId="0" xfId="0" applyNumberFormat="1" applyFont="1" applyAlignment="1">
      <alignment vertical="top"/>
    </xf>
    <xf numFmtId="0" fontId="222" fillId="0" borderId="0" xfId="0" applyFont="1"/>
    <xf numFmtId="0" fontId="222" fillId="0" borderId="0" xfId="0" applyFont="1" applyAlignment="1">
      <alignment horizontal="center"/>
    </xf>
    <xf numFmtId="0" fontId="222" fillId="0" borderId="0" xfId="0" applyFont="1" applyAlignment="1">
      <alignment textRotation="90"/>
    </xf>
    <xf numFmtId="0" fontId="90" fillId="0" borderId="0" xfId="24" applyFont="1" applyAlignment="1">
      <alignment vertical="top"/>
    </xf>
    <xf numFmtId="0" fontId="222" fillId="0" borderId="0" xfId="0" applyFont="1" applyAlignment="1">
      <alignment horizontal="center" vertical="center"/>
    </xf>
    <xf numFmtId="49" fontId="78" fillId="0" borderId="0" xfId="0" quotePrefix="1" applyNumberFormat="1" applyFont="1" applyAlignment="1">
      <alignment vertical="center"/>
    </xf>
    <xf numFmtId="0" fontId="235"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91" fillId="0" borderId="0" xfId="0" applyFont="1" applyAlignment="1">
      <alignment vertical="center"/>
    </xf>
    <xf numFmtId="0" fontId="294" fillId="0" borderId="0" xfId="0" applyFont="1" applyAlignment="1">
      <alignment horizontal="center" vertical="center"/>
    </xf>
    <xf numFmtId="0" fontId="285"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7"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5" fillId="0" borderId="0" xfId="0" applyFont="1" applyAlignment="1">
      <alignment vertical="center"/>
    </xf>
    <xf numFmtId="0" fontId="222"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5"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2" fillId="0" borderId="0" xfId="0" applyNumberFormat="1" applyFont="1" applyAlignment="1">
      <alignment vertical="top"/>
    </xf>
    <xf numFmtId="0" fontId="280" fillId="0" borderId="0" xfId="0" applyFont="1" applyAlignment="1">
      <alignment horizontal="left" vertical="center"/>
    </xf>
    <xf numFmtId="0" fontId="223" fillId="0" borderId="0" xfId="0" applyFont="1" applyAlignment="1">
      <alignment horizontal="center"/>
    </xf>
    <xf numFmtId="0" fontId="222" fillId="0" borderId="0" xfId="0" applyFont="1" applyAlignment="1">
      <alignment vertical="top"/>
    </xf>
    <xf numFmtId="38" fontId="87" fillId="0" borderId="0" xfId="1" applyNumberFormat="1" applyFont="1" applyFill="1" applyBorder="1" applyAlignment="1" applyProtection="1">
      <alignment horizontal="right" vertical="center"/>
    </xf>
    <xf numFmtId="0" fontId="270" fillId="0" borderId="0" xfId="0" applyFont="1" applyAlignment="1">
      <alignment vertical="center"/>
    </xf>
    <xf numFmtId="0" fontId="270" fillId="0" borderId="0" xfId="0" applyFont="1"/>
    <xf numFmtId="0" fontId="289" fillId="0" borderId="0" xfId="0" applyFont="1" applyAlignment="1">
      <alignment vertical="center"/>
    </xf>
    <xf numFmtId="0" fontId="296" fillId="0" borderId="0" xfId="0" applyFont="1" applyAlignment="1">
      <alignment vertical="center"/>
    </xf>
    <xf numFmtId="38" fontId="270"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3"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2"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9" fillId="0" borderId="0" xfId="0" applyFont="1" applyAlignment="1">
      <alignment horizontal="left" vertical="center"/>
    </xf>
    <xf numFmtId="0" fontId="296" fillId="0" borderId="0" xfId="0" applyFont="1" applyAlignment="1">
      <alignment horizontal="left" vertical="center"/>
    </xf>
    <xf numFmtId="0" fontId="87" fillId="0" borderId="0" xfId="0" applyFont="1" applyAlignment="1">
      <alignment horizontal="left" vertical="top"/>
    </xf>
    <xf numFmtId="38" fontId="246"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70" fillId="0" borderId="0" xfId="1" applyNumberFormat="1" applyFont="1" applyFill="1" applyBorder="1" applyAlignment="1" applyProtection="1">
      <alignment vertical="center"/>
    </xf>
    <xf numFmtId="0" fontId="246" fillId="0" borderId="0" xfId="0" applyFont="1" applyAlignment="1">
      <alignment vertical="center"/>
    </xf>
    <xf numFmtId="38" fontId="246"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7" fillId="0" borderId="0" xfId="0" applyFont="1"/>
    <xf numFmtId="0" fontId="222" fillId="0" borderId="0" xfId="1" applyNumberFormat="1" applyFont="1" applyFill="1" applyBorder="1" applyAlignment="1" applyProtection="1">
      <alignment horizontal="center"/>
    </xf>
    <xf numFmtId="0" fontId="223"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6"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9"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300" fillId="0" borderId="0" xfId="0" applyNumberFormat="1" applyFont="1"/>
    <xf numFmtId="0" fontId="301" fillId="0" borderId="0" xfId="0" applyFont="1"/>
    <xf numFmtId="0" fontId="301" fillId="0" borderId="0" xfId="0" applyFont="1" applyAlignment="1">
      <alignment horizontal="center"/>
    </xf>
    <xf numFmtId="3" fontId="88" fillId="0" borderId="0" xfId="0" applyNumberFormat="1" applyFont="1" applyAlignment="1">
      <alignment horizontal="center" vertical="center"/>
    </xf>
    <xf numFmtId="3" fontId="222"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8" fillId="0" borderId="0" xfId="0" applyFont="1" applyAlignment="1">
      <alignment vertical="center"/>
    </xf>
    <xf numFmtId="49" fontId="222"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6"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8" fillId="0" borderId="0" xfId="33" applyFont="1"/>
    <xf numFmtId="0" fontId="223" fillId="0" borderId="0" xfId="33" applyFont="1"/>
    <xf numFmtId="0" fontId="245" fillId="0" borderId="0" xfId="33" applyFont="1"/>
    <xf numFmtId="0" fontId="268" fillId="0" borderId="0" xfId="33" applyFont="1" applyAlignment="1">
      <alignment horizontal="left" vertical="top"/>
    </xf>
    <xf numFmtId="0" fontId="245" fillId="0" borderId="0" xfId="33" applyFont="1" applyAlignment="1">
      <alignment vertical="top"/>
    </xf>
    <xf numFmtId="0" fontId="223" fillId="0" borderId="0" xfId="33" applyFont="1" applyAlignment="1">
      <alignment horizontal="left" vertical="center"/>
    </xf>
    <xf numFmtId="0" fontId="223" fillId="0" borderId="0" xfId="33" applyFont="1" applyAlignment="1">
      <alignment horizontal="right" vertical="center"/>
    </xf>
    <xf numFmtId="0" fontId="268" fillId="0" borderId="0" xfId="33" applyFont="1" applyAlignment="1">
      <alignment vertical="center"/>
    </xf>
    <xf numFmtId="0" fontId="268" fillId="0" borderId="0" xfId="33" applyFont="1" applyAlignment="1">
      <alignment horizontal="left" vertical="center"/>
    </xf>
    <xf numFmtId="0" fontId="302" fillId="0" borderId="0" xfId="33" applyFont="1" applyAlignment="1">
      <alignment horizontal="right" vertical="center"/>
    </xf>
    <xf numFmtId="0" fontId="302" fillId="0" borderId="0" xfId="33" applyFont="1" applyAlignment="1">
      <alignment horizontal="center" vertical="center"/>
    </xf>
    <xf numFmtId="0" fontId="245" fillId="0" borderId="0" xfId="33" applyFont="1" applyAlignment="1">
      <alignment horizontal="right" vertical="center"/>
    </xf>
    <xf numFmtId="10" fontId="223" fillId="0" borderId="0" xfId="33" applyNumberFormat="1" applyFont="1" applyAlignment="1">
      <alignment vertical="center"/>
    </xf>
    <xf numFmtId="10" fontId="245" fillId="0" borderId="0" xfId="33" applyNumberFormat="1" applyFont="1" applyAlignment="1">
      <alignment horizontal="right" vertical="center"/>
    </xf>
    <xf numFmtId="0" fontId="223" fillId="0" borderId="0" xfId="33" applyFont="1" applyAlignment="1">
      <alignment vertical="top"/>
    </xf>
    <xf numFmtId="0" fontId="223" fillId="0" borderId="0" xfId="33" applyFont="1" applyAlignment="1">
      <alignment horizontal="left" vertical="top"/>
    </xf>
    <xf numFmtId="0" fontId="268" fillId="0" borderId="0" xfId="33" applyFont="1" applyAlignment="1">
      <alignment vertical="top"/>
    </xf>
    <xf numFmtId="0" fontId="245" fillId="0" borderId="0" xfId="33" applyFont="1" applyAlignment="1">
      <alignment horizontal="right" vertical="top"/>
    </xf>
    <xf numFmtId="0" fontId="223"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2" fillId="0" borderId="0" xfId="33" applyFont="1" applyAlignment="1">
      <alignment horizontal="left" vertical="center"/>
    </xf>
    <xf numFmtId="38" fontId="223" fillId="0" borderId="0" xfId="33" applyNumberFormat="1" applyFont="1" applyAlignment="1">
      <alignment horizontal="center" vertical="center"/>
    </xf>
    <xf numFmtId="1" fontId="223" fillId="0" borderId="0" xfId="33" applyNumberFormat="1" applyFont="1" applyAlignment="1">
      <alignment horizontal="center" vertical="center"/>
    </xf>
    <xf numFmtId="9" fontId="223" fillId="0" borderId="0" xfId="33" applyNumberFormat="1" applyFont="1" applyAlignment="1">
      <alignment horizontal="center" vertical="center"/>
    </xf>
    <xf numFmtId="0" fontId="228" fillId="0" borderId="0" xfId="33" applyFont="1" applyAlignment="1">
      <alignment horizontal="center" vertical="center"/>
    </xf>
    <xf numFmtId="0" fontId="245" fillId="0" borderId="0" xfId="33" applyFont="1" applyAlignment="1" applyProtection="1">
      <alignment vertical="center"/>
      <protection locked="0"/>
    </xf>
    <xf numFmtId="0" fontId="302" fillId="0" borderId="0" xfId="33" applyFont="1"/>
    <xf numFmtId="0" fontId="245" fillId="0" borderId="0" xfId="33" applyFont="1" applyAlignment="1">
      <alignment horizontal="justify" vertical="center"/>
    </xf>
    <xf numFmtId="3" fontId="245"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3" fillId="0" borderId="0" xfId="37" applyFont="1" applyAlignment="1">
      <alignment vertical="top"/>
    </xf>
    <xf numFmtId="1" fontId="245" fillId="0" borderId="0" xfId="37" applyNumberFormat="1" applyFont="1" applyAlignment="1">
      <alignment horizontal="left" vertical="center"/>
    </xf>
    <xf numFmtId="0" fontId="288" fillId="0" borderId="0" xfId="37" applyFont="1" applyAlignment="1">
      <alignment vertical="center"/>
    </xf>
    <xf numFmtId="49" fontId="223" fillId="0" borderId="0" xfId="37" applyNumberFormat="1" applyFont="1" applyAlignment="1">
      <alignment vertical="center"/>
    </xf>
    <xf numFmtId="38" fontId="245" fillId="0" borderId="0" xfId="37" applyNumberFormat="1" applyFont="1" applyAlignment="1">
      <alignment horizontal="center" vertical="center"/>
    </xf>
    <xf numFmtId="181" fontId="223" fillId="0" borderId="0" xfId="37" applyNumberFormat="1" applyFont="1" applyAlignment="1">
      <alignment horizontal="center" vertical="center"/>
    </xf>
    <xf numFmtId="0" fontId="268" fillId="0" borderId="0" xfId="37" applyFont="1" applyAlignment="1">
      <alignment vertical="center"/>
    </xf>
    <xf numFmtId="0" fontId="235" fillId="0" borderId="0" xfId="37" applyFont="1"/>
    <xf numFmtId="0" fontId="245" fillId="0" borderId="0" xfId="37" applyFont="1" applyAlignment="1">
      <alignment horizontal="right"/>
    </xf>
    <xf numFmtId="0" fontId="252" fillId="0" borderId="0" xfId="37" applyFont="1" applyAlignment="1">
      <alignment horizontal="left" vertical="center"/>
    </xf>
    <xf numFmtId="0" fontId="252" fillId="0" borderId="0" xfId="37" applyFont="1" applyAlignment="1">
      <alignment horizontal="center" vertical="center"/>
    </xf>
    <xf numFmtId="0" fontId="252" fillId="0" borderId="0" xfId="37" applyFont="1" applyAlignment="1">
      <alignment horizontal="left" vertical="top"/>
    </xf>
    <xf numFmtId="0" fontId="223" fillId="0" borderId="0" xfId="37" applyFont="1" applyAlignment="1">
      <alignment horizontal="left" vertical="center"/>
    </xf>
    <xf numFmtId="0" fontId="223" fillId="0" borderId="0" xfId="37" quotePrefix="1" applyFont="1" applyAlignment="1">
      <alignment horizontal="left" vertical="center"/>
    </xf>
    <xf numFmtId="0" fontId="245" fillId="0" borderId="0" xfId="37" quotePrefix="1" applyFont="1" applyAlignment="1">
      <alignment horizontal="right" vertical="center"/>
    </xf>
    <xf numFmtId="0" fontId="223" fillId="0" borderId="0" xfId="37" quotePrefix="1" applyFont="1" applyAlignment="1">
      <alignment horizontal="left" vertical="top"/>
    </xf>
    <xf numFmtId="0" fontId="252" fillId="0" borderId="0" xfId="37" quotePrefix="1" applyFont="1" applyAlignment="1">
      <alignment horizontal="center" vertical="center"/>
    </xf>
    <xf numFmtId="0" fontId="223" fillId="0" borderId="0" xfId="37" applyFont="1" applyAlignment="1">
      <alignment horizontal="center" vertical="top"/>
    </xf>
    <xf numFmtId="0" fontId="245"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xf>
    <xf numFmtId="0" fontId="268" fillId="0" borderId="0" xfId="37" applyFont="1" applyAlignment="1">
      <alignment vertical="top"/>
    </xf>
    <xf numFmtId="0" fontId="268" fillId="0" borderId="0" xfId="37" applyFont="1" applyAlignment="1">
      <alignment horizontal="left"/>
    </xf>
    <xf numFmtId="0" fontId="245" fillId="0" borderId="0" xfId="37" quotePrefix="1" applyFont="1"/>
    <xf numFmtId="0" fontId="87" fillId="0" borderId="0" xfId="37" applyFont="1"/>
    <xf numFmtId="0" fontId="245" fillId="0" borderId="0" xfId="37" quotePrefix="1" applyFont="1" applyAlignment="1">
      <alignment vertical="center"/>
    </xf>
    <xf numFmtId="0" fontId="223" fillId="0" borderId="0" xfId="37" applyFont="1" applyAlignment="1">
      <alignment horizontal="left" vertical="top"/>
    </xf>
    <xf numFmtId="0" fontId="252" fillId="0" borderId="0" xfId="37" quotePrefix="1" applyFont="1" applyAlignment="1">
      <alignment vertical="top"/>
    </xf>
    <xf numFmtId="0" fontId="223" fillId="0" borderId="0" xfId="37" applyFont="1" applyAlignment="1">
      <alignment horizontal="right"/>
    </xf>
    <xf numFmtId="0" fontId="223" fillId="0" borderId="0" xfId="37" quotePrefix="1" applyFont="1" applyAlignment="1">
      <alignment horizontal="center" vertical="center"/>
    </xf>
    <xf numFmtId="0" fontId="245" fillId="0" borderId="0" xfId="37" quotePrefix="1" applyFont="1" applyAlignment="1">
      <alignment horizontal="left" vertical="top"/>
    </xf>
    <xf numFmtId="0" fontId="268" fillId="0" borderId="0" xfId="37" applyFont="1"/>
    <xf numFmtId="3" fontId="245"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5" fillId="0" borderId="0" xfId="37" applyNumberFormat="1" applyFont="1" applyAlignment="1">
      <alignment vertical="center"/>
    </xf>
    <xf numFmtId="38" fontId="245"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5" fillId="0" borderId="0" xfId="37" quotePrefix="1" applyFont="1" applyAlignment="1">
      <alignment horizontal="right" vertical="top"/>
    </xf>
    <xf numFmtId="0" fontId="245" fillId="0" borderId="0" xfId="37" quotePrefix="1" applyFont="1" applyAlignment="1">
      <alignment horizontal="center" vertical="top"/>
    </xf>
    <xf numFmtId="0" fontId="245" fillId="0" borderId="0" xfId="37" quotePrefix="1" applyFont="1" applyAlignment="1">
      <alignment horizontal="center" vertical="center"/>
    </xf>
    <xf numFmtId="0" fontId="252" fillId="0" borderId="0" xfId="37" quotePrefix="1" applyFont="1" applyAlignment="1">
      <alignment horizontal="left" vertical="center"/>
    </xf>
    <xf numFmtId="0" fontId="87" fillId="0" borderId="0" xfId="37" applyFont="1" applyAlignment="1">
      <alignment horizontal="right" vertical="center"/>
    </xf>
    <xf numFmtId="10" fontId="223" fillId="0" borderId="0" xfId="37" applyNumberFormat="1" applyFont="1" applyAlignment="1">
      <alignment vertical="center"/>
    </xf>
    <xf numFmtId="10" fontId="245" fillId="0" borderId="0" xfId="37" applyNumberFormat="1" applyFont="1" applyAlignment="1">
      <alignment horizontal="center" vertical="center"/>
    </xf>
    <xf numFmtId="0" fontId="88" fillId="0" borderId="0" xfId="37" applyFont="1" applyAlignment="1">
      <alignment vertical="center"/>
    </xf>
    <xf numFmtId="0" fontId="227" fillId="0" borderId="0" xfId="37" applyFont="1" applyAlignment="1">
      <alignment vertical="center"/>
    </xf>
    <xf numFmtId="0" fontId="87" fillId="0" borderId="0" xfId="37" applyFont="1" applyAlignment="1">
      <alignment horizontal="center" vertical="top"/>
    </xf>
    <xf numFmtId="38" fontId="223" fillId="0" borderId="0" xfId="37" applyNumberFormat="1" applyFont="1" applyAlignment="1">
      <alignment horizontal="center" vertical="top"/>
    </xf>
    <xf numFmtId="0" fontId="289" fillId="0" borderId="0" xfId="37" applyFont="1" applyAlignment="1">
      <alignment vertical="top"/>
    </xf>
    <xf numFmtId="0" fontId="90" fillId="0" borderId="0" xfId="37" applyFont="1" applyAlignment="1">
      <alignment horizontal="right" vertical="center"/>
    </xf>
    <xf numFmtId="0" fontId="252" fillId="0" borderId="0" xfId="37" quotePrefix="1" applyFont="1"/>
    <xf numFmtId="0" fontId="252" fillId="0" borderId="0" xfId="37" applyFont="1"/>
    <xf numFmtId="38" fontId="223" fillId="0" borderId="0" xfId="37" applyNumberFormat="1" applyFont="1" applyAlignment="1">
      <alignment horizontal="center"/>
    </xf>
    <xf numFmtId="0" fontId="88" fillId="0" borderId="0" xfId="37" applyFont="1" applyAlignment="1">
      <alignment horizontal="right" vertical="center"/>
    </xf>
    <xf numFmtId="38" fontId="223" fillId="0" borderId="0" xfId="37" applyNumberFormat="1" applyFont="1" applyAlignment="1">
      <alignment vertical="center"/>
    </xf>
    <xf numFmtId="9" fontId="245" fillId="0" borderId="0" xfId="38" applyFont="1" applyFill="1" applyBorder="1" applyAlignment="1" applyProtection="1">
      <alignment horizontal="left" vertical="center"/>
    </xf>
    <xf numFmtId="40" fontId="223" fillId="0" borderId="0" xfId="37" applyNumberFormat="1" applyFont="1" applyAlignment="1">
      <alignment horizontal="center" vertical="center"/>
    </xf>
    <xf numFmtId="0" fontId="223" fillId="0" borderId="0" xfId="37" quotePrefix="1" applyFont="1" applyAlignment="1">
      <alignment horizontal="right" vertical="center"/>
    </xf>
    <xf numFmtId="9" fontId="223" fillId="0" borderId="0" xfId="38" applyFont="1" applyFill="1" applyBorder="1" applyAlignment="1" applyProtection="1">
      <alignment horizontal="center" vertical="top"/>
    </xf>
    <xf numFmtId="10" fontId="223" fillId="0" borderId="0" xfId="37" applyNumberFormat="1" applyFont="1" applyAlignment="1">
      <alignment horizontal="center" vertical="center"/>
    </xf>
    <xf numFmtId="0" fontId="305" fillId="0" borderId="0" xfId="0" applyFont="1" applyAlignment="1">
      <alignment horizontal="right" vertical="center"/>
    </xf>
    <xf numFmtId="0" fontId="245" fillId="0" borderId="0" xfId="37" quotePrefix="1" applyFont="1" applyAlignment="1">
      <alignment horizontal="left" vertical="center"/>
    </xf>
    <xf numFmtId="0" fontId="268" fillId="0" borderId="0" xfId="37" applyFont="1" applyAlignment="1">
      <alignment horizontal="right" vertical="center"/>
    </xf>
    <xf numFmtId="38" fontId="87" fillId="0" borderId="0" xfId="37" applyNumberFormat="1" applyFont="1" applyAlignment="1">
      <alignment vertical="center"/>
    </xf>
    <xf numFmtId="0" fontId="245" fillId="0" borderId="0" xfId="37" quotePrefix="1" applyFont="1" applyAlignment="1">
      <alignment vertical="top"/>
    </xf>
    <xf numFmtId="168" fontId="245" fillId="0" borderId="0" xfId="37" applyNumberFormat="1" applyFont="1" applyAlignment="1">
      <alignment vertical="center"/>
    </xf>
    <xf numFmtId="167" fontId="87" fillId="0" borderId="0" xfId="37" applyNumberFormat="1" applyFont="1" applyAlignment="1">
      <alignment horizontal="center" vertical="center"/>
    </xf>
    <xf numFmtId="0" fontId="306"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5" fillId="0" borderId="0" xfId="37" applyNumberFormat="1" applyFont="1" applyAlignment="1">
      <alignment vertical="top"/>
    </xf>
    <xf numFmtId="49" fontId="223"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3" fillId="0" borderId="0" xfId="37" quotePrefix="1" applyNumberFormat="1" applyFont="1" applyAlignment="1">
      <alignment horizontal="left" vertical="center"/>
    </xf>
    <xf numFmtId="0" fontId="307" fillId="0" borderId="0" xfId="37" applyFont="1" applyAlignment="1">
      <alignment horizontal="right" vertical="center"/>
    </xf>
    <xf numFmtId="0" fontId="302" fillId="0" borderId="0" xfId="37" applyFont="1"/>
    <xf numFmtId="0" fontId="78" fillId="0" borderId="0" xfId="37" applyFont="1" applyAlignment="1">
      <alignment horizontal="center" vertical="center"/>
    </xf>
    <xf numFmtId="0" fontId="304" fillId="0" borderId="0" xfId="37" applyFont="1"/>
    <xf numFmtId="0" fontId="268" fillId="0" borderId="0" xfId="37" applyFont="1" applyAlignment="1">
      <alignment horizontal="center"/>
    </xf>
    <xf numFmtId="10" fontId="245"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3" fillId="0" borderId="0" xfId="37" quotePrefix="1" applyFont="1" applyAlignment="1">
      <alignment horizontal="center" vertical="top"/>
    </xf>
    <xf numFmtId="175" fontId="245"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5"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5" fillId="0" borderId="0" xfId="0" applyNumberFormat="1" applyFont="1" applyAlignment="1">
      <alignment horizontal="center" vertical="center"/>
    </xf>
    <xf numFmtId="0" fontId="88" fillId="0" borderId="0" xfId="37" applyFont="1" applyAlignment="1">
      <alignment horizontal="left" vertical="center"/>
    </xf>
    <xf numFmtId="188" fontId="245" fillId="0" borderId="0" xfId="37" applyNumberFormat="1" applyFont="1" applyAlignment="1">
      <alignment horizontal="center" vertical="center"/>
    </xf>
    <xf numFmtId="0" fontId="41" fillId="0" borderId="0" xfId="0" applyFont="1" applyProtection="1">
      <protection locked="0"/>
    </xf>
    <xf numFmtId="0" fontId="205" fillId="0" borderId="36" xfId="33" applyFont="1" applyBorder="1"/>
    <xf numFmtId="0" fontId="112" fillId="0" borderId="0" xfId="13" applyFont="1"/>
    <xf numFmtId="0" fontId="111" fillId="0" borderId="0" xfId="13" applyFont="1"/>
    <xf numFmtId="0" fontId="129" fillId="0" borderId="0" xfId="13" applyFont="1"/>
    <xf numFmtId="0" fontId="36" fillId="0" borderId="0" xfId="0" applyFont="1" applyAlignment="1">
      <alignment horizontal="center" vertical="center" wrapText="1"/>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5" borderId="13" xfId="0" applyFont="1" applyFill="1" applyBorder="1" applyAlignment="1" applyProtection="1">
      <alignment horizontal="center" vertical="center"/>
      <protection locked="0"/>
    </xf>
    <xf numFmtId="0" fontId="41" fillId="0" borderId="57" xfId="0" applyFont="1" applyBorder="1" applyAlignment="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0" borderId="9" xfId="0" applyFont="1" applyBorder="1" applyAlignment="1">
      <alignment horizontal="left" vertical="center"/>
    </xf>
    <xf numFmtId="0" fontId="41" fillId="0" borderId="6" xfId="0" applyFont="1" applyBorder="1" applyAlignment="1">
      <alignment vertical="center"/>
    </xf>
    <xf numFmtId="0" fontId="41" fillId="0" borderId="9" xfId="0" applyFont="1" applyBorder="1" applyAlignment="1">
      <alignment vertical="center"/>
    </xf>
    <xf numFmtId="0" fontId="24" fillId="0" borderId="0" xfId="0" applyFont="1" applyAlignment="1">
      <alignment horizontal="center"/>
    </xf>
    <xf numFmtId="0" fontId="8" fillId="0" borderId="9" xfId="0" applyFont="1" applyBorder="1" applyAlignment="1">
      <alignment horizontal="center" vertical="center" wrapText="1"/>
    </xf>
    <xf numFmtId="0" fontId="8" fillId="0" borderId="0" xfId="0" applyFont="1" applyAlignment="1">
      <alignment horizontal="center" wrapText="1"/>
    </xf>
    <xf numFmtId="0" fontId="38" fillId="0" borderId="0" xfId="0" applyFont="1" applyAlignment="1">
      <alignment horizontal="center" vertical="center" wrapText="1"/>
    </xf>
    <xf numFmtId="164" fontId="41" fillId="0" borderId="0" xfId="1" applyNumberFormat="1" applyFont="1" applyFill="1" applyBorder="1" applyAlignment="1" applyProtection="1">
      <alignment horizontal="center" vertical="center"/>
    </xf>
    <xf numFmtId="4" fontId="58" fillId="0" borderId="15" xfId="1" applyNumberFormat="1" applyFont="1" applyFill="1" applyBorder="1" applyAlignment="1" applyProtection="1">
      <alignment horizontal="right"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9" fillId="0" borderId="0" xfId="0" applyFont="1" applyAlignment="1">
      <alignment horizontal="left"/>
    </xf>
    <xf numFmtId="171" fontId="49" fillId="0" borderId="0" xfId="0" applyNumberFormat="1" applyFont="1" applyAlignment="1">
      <alignment horizontal="center" vertical="center"/>
    </xf>
    <xf numFmtId="0" fontId="8" fillId="0" borderId="0" xfId="0" applyFont="1" applyAlignment="1">
      <alignment horizontal="center"/>
    </xf>
    <xf numFmtId="0" fontId="8" fillId="0" borderId="0" xfId="0" applyFont="1" applyAlignment="1">
      <alignment horizontal="left" vertical="center"/>
    </xf>
    <xf numFmtId="0" fontId="3" fillId="0" borderId="0" xfId="0" applyFont="1" applyAlignment="1">
      <alignment horizontal="left" vertical="top"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wrapText="1"/>
    </xf>
    <xf numFmtId="0" fontId="9" fillId="0" borderId="0" xfId="33" applyFont="1" applyAlignment="1">
      <alignment horizontal="left" vertical="center" wrapText="1"/>
    </xf>
    <xf numFmtId="0" fontId="24" fillId="5" borderId="60"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4" fillId="13" borderId="60" xfId="33" applyFont="1" applyFill="1" applyBorder="1" applyAlignment="1">
      <alignment horizontal="center" vertical="center"/>
    </xf>
    <xf numFmtId="0" fontId="9" fillId="0" borderId="0" xfId="33" applyFont="1" applyAlignment="1">
      <alignment vertical="center"/>
    </xf>
    <xf numFmtId="0" fontId="9" fillId="0" borderId="0" xfId="33" applyFont="1" applyAlignment="1">
      <alignment vertical="center" wrapText="1"/>
    </xf>
    <xf numFmtId="0" fontId="9" fillId="0" borderId="0" xfId="33" applyFont="1" applyAlignment="1">
      <alignment horizontal="left" vertical="center"/>
    </xf>
    <xf numFmtId="0" fontId="24" fillId="5" borderId="8" xfId="33" applyFont="1" applyFill="1" applyBorder="1" applyAlignment="1" applyProtection="1">
      <alignment horizontal="center" vertical="center"/>
      <protection locked="0"/>
    </xf>
    <xf numFmtId="0" fontId="24" fillId="0" borderId="0" xfId="33" applyFont="1" applyAlignment="1">
      <alignment horizontal="left" vertical="center"/>
    </xf>
    <xf numFmtId="0" fontId="9" fillId="0" borderId="9" xfId="33" applyFont="1" applyBorder="1" applyAlignment="1">
      <alignment horizontal="left" vertical="center" wrapText="1"/>
    </xf>
    <xf numFmtId="0" fontId="9" fillId="0" borderId="0" xfId="33" applyFont="1" applyAlignment="1">
      <alignment horizontal="right" vertical="center"/>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9" fillId="0" borderId="0" xfId="37" applyFont="1" applyAlignment="1">
      <alignment horizont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0" borderId="0" xfId="37" applyFont="1" applyAlignment="1">
      <alignment horizontal="center" wrapText="1"/>
    </xf>
    <xf numFmtId="0" fontId="126" fillId="0" borderId="0" xfId="37" applyFont="1" applyAlignment="1">
      <alignment horizont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left" vertical="center" wrapText="1"/>
    </xf>
    <xf numFmtId="0" fontId="24" fillId="0" borderId="0" xfId="37" applyFont="1" applyAlignment="1">
      <alignment horizontal="center" vertical="center" wrapText="1"/>
    </xf>
    <xf numFmtId="0" fontId="24" fillId="0" borderId="56" xfId="37" applyFont="1" applyBorder="1" applyAlignment="1">
      <alignment horizontal="center" vertical="center"/>
    </xf>
    <xf numFmtId="0" fontId="245" fillId="0" borderId="0" xfId="33" applyFont="1" applyAlignment="1">
      <alignment horizontal="left" vertical="top"/>
    </xf>
    <xf numFmtId="0" fontId="70" fillId="0" borderId="0" xfId="13" applyFont="1" applyAlignment="1">
      <alignment horizontal="left"/>
    </xf>
    <xf numFmtId="0" fontId="205" fillId="0" borderId="0" xfId="33" applyFont="1" applyAlignment="1">
      <alignment horizontal="center"/>
    </xf>
    <xf numFmtId="0" fontId="205" fillId="0" borderId="4" xfId="33" applyFont="1" applyBorder="1" applyAlignment="1">
      <alignment horizontal="center"/>
    </xf>
    <xf numFmtId="0" fontId="205" fillId="0" borderId="0" xfId="33" applyFont="1" applyAlignment="1">
      <alignment horizontal="right" vertical="center"/>
    </xf>
    <xf numFmtId="0" fontId="205" fillId="0" borderId="57" xfId="33" applyFont="1" applyBorder="1" applyAlignment="1">
      <alignment horizontal="center" vertical="center"/>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horizontal="center" wrapText="1"/>
    </xf>
    <xf numFmtId="0" fontId="4" fillId="0" borderId="0" xfId="0" applyFont="1" applyAlignment="1">
      <alignment horizontal="left" vertic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4" fillId="0" borderId="0" xfId="0" applyFont="1" applyAlignment="1">
      <alignment horizontal="center" vertical="center"/>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38" fontId="8" fillId="5" borderId="12" xfId="0" applyNumberFormat="1" applyFont="1" applyFill="1" applyBorder="1" applyAlignment="1" applyProtection="1">
      <alignment horizontal="center" vertical="center"/>
      <protection locked="0"/>
    </xf>
    <xf numFmtId="0" fontId="13" fillId="0" borderId="0" xfId="0" applyFont="1" applyAlignment="1">
      <alignment horizont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8" fontId="38" fillId="0" borderId="0" xfId="0" applyNumberFormat="1" applyFont="1" applyAlignment="1">
      <alignment horizontal="center" vertical="center"/>
    </xf>
    <xf numFmtId="0" fontId="14" fillId="0" borderId="0" xfId="0" applyFont="1" applyAlignment="1">
      <alignment horizontal="center"/>
    </xf>
    <xf numFmtId="0" fontId="4" fillId="0" borderId="9" xfId="0" applyFont="1" applyBorder="1" applyAlignment="1">
      <alignment horizontal="left" vertical="center" wrapText="1"/>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5" fillId="0" borderId="0" xfId="13" applyFont="1" applyAlignment="1">
      <alignment horizont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0" borderId="0" xfId="13" applyFont="1" applyAlignment="1">
      <alignment vertical="top" wrapText="1"/>
    </xf>
    <xf numFmtId="0" fontId="129" fillId="0" borderId="0" xfId="13" applyFont="1" applyAlignment="1">
      <alignment horizontal="left"/>
    </xf>
    <xf numFmtId="0" fontId="9" fillId="0" borderId="0" xfId="13" applyFont="1" applyAlignment="1">
      <alignment horizontal="left"/>
    </xf>
    <xf numFmtId="0" fontId="111" fillId="0" borderId="0" xfId="13" applyFont="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9" fontId="38" fillId="0" borderId="60" xfId="10" applyFont="1" applyFill="1" applyBorder="1" applyAlignment="1" applyProtection="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167" fontId="41" fillId="0" borderId="57" xfId="0" applyNumberFormat="1" applyFont="1" applyBorder="1" applyAlignment="1" applyProtection="1">
      <alignment vertical="center"/>
      <protection locked="0"/>
    </xf>
    <xf numFmtId="0" fontId="41" fillId="5" borderId="152" xfId="0" applyFont="1" applyFill="1" applyBorder="1" applyAlignment="1" applyProtection="1">
      <alignment horizontal="center" vertical="top"/>
      <protection locked="0"/>
    </xf>
    <xf numFmtId="0" fontId="41" fillId="5" borderId="104" xfId="0" applyFont="1" applyFill="1" applyBorder="1" applyAlignment="1" applyProtection="1">
      <alignment horizontal="center" vertical="top"/>
      <protection locked="0"/>
    </xf>
    <xf numFmtId="173" fontId="41" fillId="5" borderId="104" xfId="10" applyNumberFormat="1" applyFont="1" applyFill="1" applyBorder="1" applyAlignment="1" applyProtection="1">
      <alignment horizontal="center" vertical="top"/>
      <protection locked="0"/>
    </xf>
    <xf numFmtId="0" fontId="41" fillId="5" borderId="108" xfId="0" applyFont="1" applyFill="1" applyBorder="1" applyAlignment="1" applyProtection="1">
      <alignment horizontal="center" vertical="top"/>
      <protection locked="0"/>
    </xf>
    <xf numFmtId="0" fontId="87" fillId="20" borderId="194" xfId="0" applyFont="1" applyFill="1" applyBorder="1" applyAlignment="1">
      <alignment vertical="center"/>
    </xf>
    <xf numFmtId="0" fontId="3" fillId="0" borderId="194" xfId="0" applyFont="1" applyBorder="1" applyAlignment="1">
      <alignment vertical="center"/>
    </xf>
    <xf numFmtId="0" fontId="41" fillId="0" borderId="194" xfId="0" applyFont="1" applyBorder="1" applyAlignment="1">
      <alignment vertical="center"/>
    </xf>
    <xf numFmtId="166" fontId="41" fillId="5" borderId="104" xfId="0" applyNumberFormat="1" applyFont="1" applyFill="1" applyBorder="1" applyAlignment="1" applyProtection="1">
      <alignment horizontal="center" vertical="center"/>
      <protection locked="0"/>
    </xf>
    <xf numFmtId="0" fontId="41" fillId="5" borderId="104" xfId="0" applyFont="1" applyFill="1" applyBorder="1" applyAlignment="1" applyProtection="1">
      <alignment horizontal="center" vertical="center"/>
      <protection locked="0"/>
    </xf>
    <xf numFmtId="10" fontId="41" fillId="0" borderId="60" xfId="0" applyNumberFormat="1" applyFont="1" applyBorder="1" applyAlignment="1">
      <alignment horizontal="center" vertical="center"/>
    </xf>
    <xf numFmtId="9" fontId="37" fillId="0" borderId="57" xfId="0" applyNumberFormat="1" applyFont="1" applyBorder="1" applyAlignment="1">
      <alignment horizontal="center" vertical="center"/>
    </xf>
    <xf numFmtId="176" fontId="0" fillId="5" borderId="60" xfId="0" applyNumberFormat="1" applyFill="1" applyBorder="1" applyAlignment="1" applyProtection="1">
      <alignment horizontal="center" vertical="center"/>
      <protection locked="0"/>
    </xf>
    <xf numFmtId="8" fontId="26" fillId="0" borderId="0" xfId="0" applyNumberFormat="1" applyFont="1" applyAlignment="1">
      <alignment vertical="center"/>
    </xf>
    <xf numFmtId="8" fontId="26" fillId="0" borderId="0" xfId="0" applyNumberFormat="1" applyFont="1" applyAlignment="1">
      <alignment horizontal="right" vertical="center"/>
    </xf>
    <xf numFmtId="10" fontId="0" fillId="5" borderId="60" xfId="0" applyNumberFormat="1" applyFill="1" applyBorder="1" applyAlignment="1" applyProtection="1">
      <alignment horizontal="center" vertical="center"/>
      <protection locked="0"/>
    </xf>
    <xf numFmtId="3" fontId="0" fillId="5" borderId="60" xfId="0" applyNumberFormat="1" applyFill="1" applyBorder="1" applyAlignment="1" applyProtection="1">
      <alignment horizontal="center" vertical="center"/>
      <protection locked="0"/>
    </xf>
    <xf numFmtId="176" fontId="3" fillId="0" borderId="0" xfId="0" applyNumberFormat="1" applyFont="1" applyAlignment="1">
      <alignment horizontal="center"/>
    </xf>
    <xf numFmtId="8"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13" fillId="0" borderId="0" xfId="0" applyFont="1" applyAlignment="1">
      <alignment horizontal="center" vertical="center"/>
    </xf>
    <xf numFmtId="176" fontId="0" fillId="5" borderId="60" xfId="0" applyNumberFormat="1" applyFill="1" applyBorder="1" applyProtection="1">
      <protection locked="0"/>
    </xf>
    <xf numFmtId="166" fontId="0" fillId="5" borderId="60" xfId="0" applyNumberFormat="1" applyFill="1" applyBorder="1" applyAlignment="1" applyProtection="1">
      <alignment horizontal="center"/>
      <protection locked="0"/>
    </xf>
    <xf numFmtId="10" fontId="0" fillId="5" borderId="60" xfId="0" applyNumberFormat="1" applyFill="1" applyBorder="1" applyAlignment="1" applyProtection="1">
      <alignment horizontal="center"/>
      <protection locked="0"/>
    </xf>
    <xf numFmtId="3" fontId="0" fillId="5" borderId="60" xfId="0" applyNumberFormat="1" applyFill="1" applyBorder="1" applyAlignment="1" applyProtection="1">
      <alignment horizontal="center"/>
      <protection locked="0"/>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4" fontId="41" fillId="13" borderId="107" xfId="0" applyNumberFormat="1" applyFont="1" applyFill="1" applyBorder="1" applyAlignment="1" applyProtection="1">
      <alignment horizontal="right" vertical="center"/>
      <protection locked="0"/>
    </xf>
    <xf numFmtId="0" fontId="58" fillId="5" borderId="104" xfId="0" applyFont="1" applyFill="1" applyBorder="1" applyAlignment="1" applyProtection="1">
      <alignment horizontal="center" vertical="center"/>
      <protection locked="0"/>
    </xf>
    <xf numFmtId="38" fontId="79" fillId="0" borderId="194" xfId="0" applyNumberFormat="1" applyFont="1" applyBorder="1" applyAlignment="1">
      <alignment horizontal="center" vertical="center"/>
    </xf>
    <xf numFmtId="187" fontId="79" fillId="0" borderId="194" xfId="0" applyNumberFormat="1" applyFont="1" applyBorder="1" applyAlignment="1">
      <alignment horizontal="center" vertical="center"/>
    </xf>
    <xf numFmtId="164" fontId="37" fillId="5" borderId="117" xfId="1" applyNumberFormat="1" applyFont="1" applyFill="1" applyBorder="1" applyAlignment="1" applyProtection="1">
      <alignment horizontal="center" vertical="center"/>
      <protection locked="0"/>
    </xf>
    <xf numFmtId="0" fontId="8" fillId="5" borderId="104" xfId="0" applyFont="1" applyFill="1" applyBorder="1" applyAlignment="1" applyProtection="1">
      <alignment horizontal="center" vertical="center"/>
      <protection locked="0"/>
    </xf>
    <xf numFmtId="0" fontId="3" fillId="0" borderId="59" xfId="0" applyFont="1" applyBorder="1"/>
    <xf numFmtId="0" fontId="0" fillId="5" borderId="104" xfId="0" applyFill="1" applyBorder="1" applyAlignment="1" applyProtection="1">
      <alignment horizontal="center" vertical="center"/>
      <protection locked="0"/>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3"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70"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0" fontId="0" fillId="5" borderId="60" xfId="0" applyFill="1" applyBorder="1" applyAlignment="1" applyProtection="1">
      <alignment horizontal="center" vertical="center"/>
      <protection locked="0"/>
    </xf>
    <xf numFmtId="3" fontId="13" fillId="5" borderId="104" xfId="10" applyNumberFormat="1" applyFont="1" applyFill="1" applyBorder="1" applyAlignment="1" applyProtection="1">
      <alignment horizontal="center" vertical="center"/>
      <protection locked="0"/>
    </xf>
    <xf numFmtId="1" fontId="13" fillId="5" borderId="104" xfId="1" applyNumberFormat="1" applyFont="1" applyFill="1" applyBorder="1" applyAlignment="1" applyProtection="1">
      <alignment horizontal="center" vertical="center"/>
      <protection locked="0"/>
    </xf>
    <xf numFmtId="39" fontId="13" fillId="5" borderId="104" xfId="1" applyNumberFormat="1" applyFont="1" applyFill="1" applyBorder="1" applyAlignment="1" applyProtection="1">
      <alignment horizontal="center" vertical="center"/>
      <protection locked="0"/>
    </xf>
    <xf numFmtId="3" fontId="13" fillId="10" borderId="104" xfId="1" applyNumberFormat="1" applyFont="1" applyFill="1" applyBorder="1" applyAlignment="1" applyProtection="1">
      <alignment horizontal="center" vertical="center"/>
      <protection locked="0"/>
    </xf>
    <xf numFmtId="3" fontId="37" fillId="5" borderId="104" xfId="1" applyNumberFormat="1" applyFont="1" applyFill="1" applyBorder="1" applyAlignment="1" applyProtection="1">
      <alignment horizontal="center" vertical="center"/>
      <protection locked="0"/>
    </xf>
    <xf numFmtId="38" fontId="13" fillId="0" borderId="104" xfId="1" applyNumberFormat="1" applyFont="1" applyFill="1" applyBorder="1" applyAlignment="1" applyProtection="1">
      <alignment horizontal="center" vertical="center"/>
    </xf>
    <xf numFmtId="0" fontId="37" fillId="5" borderId="104" xfId="0" applyFont="1" applyFill="1" applyBorder="1" applyAlignment="1" applyProtection="1">
      <alignment horizontal="center" vertical="center"/>
      <protection locked="0"/>
    </xf>
    <xf numFmtId="0" fontId="38" fillId="5" borderId="104" xfId="0" applyFont="1" applyFill="1" applyBorder="1" applyAlignment="1" applyProtection="1">
      <alignment horizontal="center" vertical="center"/>
      <protection locked="0"/>
    </xf>
    <xf numFmtId="0" fontId="13" fillId="5" borderId="104" xfId="0" applyFont="1" applyFill="1" applyBorder="1" applyAlignment="1" applyProtection="1">
      <alignment horizontal="center" vertical="center"/>
      <protection locked="0"/>
    </xf>
    <xf numFmtId="10" fontId="13" fillId="13" borderId="152" xfId="0" applyNumberFormat="1" applyFont="1" applyFill="1" applyBorder="1" applyAlignment="1" applyProtection="1">
      <alignment horizontal="center" vertical="center"/>
      <protection locked="0"/>
    </xf>
    <xf numFmtId="0" fontId="187" fillId="0" borderId="101" xfId="0" applyFont="1" applyBorder="1" applyAlignment="1">
      <alignment horizontal="center" vertical="center"/>
    </xf>
    <xf numFmtId="164" fontId="187" fillId="0" borderId="103" xfId="1" applyNumberFormat="1" applyFont="1" applyFill="1" applyBorder="1" applyAlignment="1" applyProtection="1">
      <alignment horizontal="center" vertical="center"/>
    </xf>
    <xf numFmtId="164" fontId="13" fillId="0" borderId="60" xfId="1" applyNumberFormat="1" applyFont="1" applyFill="1" applyBorder="1" applyAlignment="1" applyProtection="1">
      <alignment horizontal="center" vertical="center"/>
    </xf>
    <xf numFmtId="38" fontId="3" fillId="0" borderId="98"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8" fillId="0" borderId="194"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04" xfId="1" applyNumberFormat="1" applyFont="1" applyFill="1" applyBorder="1" applyAlignment="1" applyProtection="1">
      <alignment horizontal="right" vertical="center"/>
      <protection locked="0"/>
    </xf>
    <xf numFmtId="38" fontId="3" fillId="0" borderId="104" xfId="1" applyNumberFormat="1" applyFont="1" applyFill="1" applyBorder="1" applyAlignment="1" applyProtection="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60" xfId="1" applyNumberFormat="1" applyFont="1" applyFill="1" applyBorder="1" applyAlignment="1" applyProtection="1">
      <alignment horizontal="right" vertical="center"/>
    </xf>
    <xf numFmtId="38" fontId="3" fillId="10" borderId="104" xfId="0" applyNumberFormat="1" applyFont="1" applyFill="1" applyBorder="1" applyAlignment="1" applyProtection="1">
      <alignment horizontal="center" vertical="center"/>
      <protection locked="0"/>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70"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8" fontId="3" fillId="0" borderId="84"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8" fillId="0" borderId="194" xfId="1" applyNumberFormat="1" applyFont="1" applyFill="1" applyBorder="1" applyAlignment="1" applyProtection="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10" fontId="13" fillId="0" borderId="60" xfId="0" applyNumberFormat="1" applyFont="1" applyBorder="1" applyAlignment="1">
      <alignment vertical="center"/>
    </xf>
    <xf numFmtId="3" fontId="13" fillId="5" borderId="104" xfId="0" applyNumberFormat="1" applyFont="1" applyFill="1" applyBorder="1" applyAlignment="1" applyProtection="1">
      <alignment vertical="center"/>
      <protection locked="0"/>
    </xf>
    <xf numFmtId="3" fontId="3" fillId="0" borderId="0" xfId="0" applyNumberFormat="1" applyFont="1" applyAlignment="1" applyProtection="1">
      <alignment vertical="center"/>
      <protection locked="0"/>
    </xf>
    <xf numFmtId="164" fontId="13" fillId="0" borderId="60" xfId="1" applyNumberFormat="1" applyFont="1" applyFill="1" applyBorder="1" applyAlignment="1" applyProtection="1">
      <alignment vertical="center"/>
    </xf>
    <xf numFmtId="3" fontId="13" fillId="5" borderId="104" xfId="10" applyNumberFormat="1" applyFont="1" applyFill="1" applyBorder="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5" borderId="60" xfId="0" applyNumberFormat="1" applyFont="1" applyFill="1" applyBorder="1" applyAlignment="1" applyProtection="1">
      <alignment horizontal="center"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94" xfId="0" applyFont="1" applyBorder="1"/>
    <xf numFmtId="0" fontId="8" fillId="6" borderId="60" xfId="0" applyFont="1" applyFill="1" applyBorder="1" applyAlignment="1">
      <alignment horizontal="center" vertical="center"/>
    </xf>
    <xf numFmtId="10" fontId="3" fillId="0" borderId="0" xfId="0" applyNumberFormat="1" applyFont="1" applyAlignment="1">
      <alignment horizontal="left"/>
    </xf>
    <xf numFmtId="164" fontId="3" fillId="5" borderId="60" xfId="1" applyNumberFormat="1" applyFont="1" applyFill="1" applyBorder="1" applyAlignment="1" applyProtection="1">
      <alignment horizontal="right"/>
      <protection locked="0"/>
    </xf>
    <xf numFmtId="10" fontId="3" fillId="0" borderId="0" xfId="0" applyNumberFormat="1" applyFont="1" applyAlignment="1">
      <alignment horizontal="center"/>
    </xf>
    <xf numFmtId="0" fontId="3" fillId="0" borderId="0" xfId="0" applyFont="1" applyAlignment="1">
      <alignment horizontal="right"/>
    </xf>
    <xf numFmtId="10" fontId="3" fillId="5" borderId="60" xfId="0" applyNumberFormat="1" applyFont="1" applyFill="1" applyBorder="1" applyAlignment="1" applyProtection="1">
      <alignment horizontal="left"/>
      <protection locked="0"/>
    </xf>
    <xf numFmtId="0" fontId="3" fillId="5" borderId="104" xfId="0" applyFont="1" applyFill="1" applyBorder="1" applyAlignment="1" applyProtection="1">
      <alignment horizontal="right" vertical="center"/>
      <protection locked="0"/>
    </xf>
    <xf numFmtId="0" fontId="3" fillId="0" borderId="0" xfId="0" quotePrefix="1" applyFont="1" applyAlignment="1">
      <alignment horizontal="left" vertical="center"/>
    </xf>
    <xf numFmtId="3" fontId="3" fillId="5" borderId="104" xfId="10" applyNumberFormat="1" applyFont="1" applyFill="1" applyBorder="1" applyAlignment="1" applyProtection="1">
      <alignment horizontal="right" vertical="center"/>
      <protection locked="0"/>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0" fontId="3" fillId="0" borderId="56" xfId="0" applyFont="1" applyBorder="1"/>
    <xf numFmtId="164" fontId="3" fillId="0" borderId="194"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6" borderId="60" xfId="1" applyNumberFormat="1" applyFont="1" applyFill="1" applyBorder="1" applyProtection="1">
      <protection locked="0"/>
    </xf>
    <xf numFmtId="164" fontId="3" fillId="0" borderId="10" xfId="1" applyNumberFormat="1" applyFont="1" applyFill="1" applyBorder="1" applyProtection="1"/>
    <xf numFmtId="164" fontId="3" fillId="11" borderId="104" xfId="1" applyNumberFormat="1" applyFont="1" applyFill="1" applyBorder="1" applyProtection="1">
      <protection locked="0"/>
    </xf>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0"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6" borderId="104" xfId="1" applyNumberFormat="1" applyFont="1" applyFill="1" applyBorder="1" applyProtection="1">
      <protection locked="0"/>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9" fillId="0" borderId="194" xfId="33" applyFont="1" applyBorder="1" applyAlignment="1">
      <alignment horizontal="left" vertical="center" wrapText="1"/>
    </xf>
    <xf numFmtId="0" fontId="9" fillId="0" borderId="194" xfId="37" applyFont="1" applyBorder="1" applyAlignment="1">
      <alignment vertical="center"/>
    </xf>
    <xf numFmtId="0" fontId="70" fillId="0" borderId="194" xfId="33" applyFont="1" applyBorder="1" applyAlignment="1">
      <alignment vertical="center"/>
    </xf>
    <xf numFmtId="0" fontId="205" fillId="0" borderId="194" xfId="33" applyFont="1" applyBorder="1" applyAlignment="1">
      <alignment vertical="center"/>
    </xf>
    <xf numFmtId="0" fontId="205" fillId="0" borderId="194" xfId="33" applyFont="1" applyBorder="1" applyAlignment="1">
      <alignment horizontal="right" vertical="center"/>
    </xf>
    <xf numFmtId="0" fontId="205" fillId="0" borderId="194" xfId="33" applyFont="1" applyBorder="1"/>
    <xf numFmtId="0" fontId="3" fillId="0" borderId="54" xfId="0" applyFont="1" applyBorder="1"/>
    <xf numFmtId="0" fontId="3" fillId="0" borderId="55" xfId="0" applyFont="1" applyBorder="1"/>
    <xf numFmtId="10" fontId="14" fillId="0" borderId="194" xfId="0" applyNumberFormat="1" applyFont="1" applyBorder="1" applyAlignment="1">
      <alignment vertical="center"/>
    </xf>
    <xf numFmtId="0" fontId="14" fillId="5" borderId="101" xfId="0" applyFont="1" applyFill="1" applyBorder="1" applyAlignment="1" applyProtection="1">
      <alignment horizontal="center" vertical="center"/>
      <protection locked="0"/>
    </xf>
    <xf numFmtId="0" fontId="3" fillId="0" borderId="9" xfId="0" applyFont="1" applyBorder="1"/>
    <xf numFmtId="0" fontId="4" fillId="0" borderId="194" xfId="0" applyFont="1" applyBorder="1" applyAlignment="1">
      <alignment horizontal="left" vertical="center" wrapText="1"/>
    </xf>
    <xf numFmtId="0" fontId="3" fillId="0" borderId="194" xfId="0" applyFont="1" applyBorder="1"/>
    <xf numFmtId="0" fontId="14" fillId="13" borderId="152" xfId="0" applyFont="1" applyFill="1" applyBorder="1" applyAlignment="1">
      <alignment horizontal="center" vertical="center"/>
    </xf>
    <xf numFmtId="0" fontId="4" fillId="0" borderId="194" xfId="0" applyFont="1" applyBorder="1" applyAlignment="1">
      <alignment vertical="center"/>
    </xf>
    <xf numFmtId="0" fontId="4" fillId="0" borderId="194" xfId="0" applyFont="1" applyBorder="1" applyAlignment="1">
      <alignment vertical="center" wrapText="1"/>
    </xf>
    <xf numFmtId="3" fontId="4" fillId="5" borderId="60" xfId="1" applyNumberFormat="1" applyFont="1" applyFill="1" applyBorder="1" applyAlignment="1" applyProtection="1">
      <alignment horizontal="center" vertical="center"/>
      <protection locked="0"/>
    </xf>
    <xf numFmtId="0" fontId="14" fillId="5" borderId="59" xfId="0" applyFont="1" applyFill="1" applyBorder="1" applyAlignment="1" applyProtection="1">
      <alignment horizontal="center" vertical="center"/>
      <protection locked="0"/>
    </xf>
    <xf numFmtId="0" fontId="10" fillId="5" borderId="104" xfId="0" applyFont="1" applyFill="1" applyBorder="1" applyAlignment="1" applyProtection="1">
      <alignment horizontal="center" vertical="center"/>
      <protection locked="0"/>
    </xf>
    <xf numFmtId="0" fontId="13" fillId="13" borderId="104" xfId="0" applyFont="1" applyFill="1" applyBorder="1" applyAlignment="1">
      <alignment horizontal="center" vertical="center"/>
    </xf>
    <xf numFmtId="164" fontId="3" fillId="0" borderId="0" xfId="1" applyNumberFormat="1" applyFont="1" applyFill="1" applyBorder="1" applyAlignment="1" applyProtection="1">
      <alignment horizontal="right" vertical="center"/>
    </xf>
    <xf numFmtId="0" fontId="8" fillId="0" borderId="56" xfId="0" applyFont="1" applyBorder="1" applyAlignment="1">
      <alignment horizontal="center" vertical="center"/>
    </xf>
    <xf numFmtId="0" fontId="8" fillId="0" borderId="59" xfId="0" applyFont="1" applyBorder="1" applyAlignment="1">
      <alignment horizontal="center" vertical="center"/>
    </xf>
    <xf numFmtId="0" fontId="38" fillId="0" borderId="194" xfId="0" applyFont="1" applyBorder="1" applyAlignment="1">
      <alignment vertical="top"/>
    </xf>
    <xf numFmtId="0" fontId="38" fillId="0" borderId="194" xfId="0" applyFont="1" applyBorder="1" applyAlignment="1">
      <alignment vertical="top" wrapText="1"/>
    </xf>
    <xf numFmtId="3" fontId="3" fillId="0" borderId="60" xfId="0" applyNumberFormat="1" applyFont="1" applyBorder="1" applyAlignment="1">
      <alignment horizontal="center" vertical="center"/>
    </xf>
    <xf numFmtId="3" fontId="8" fillId="0" borderId="104" xfId="0" applyNumberFormat="1" applyFont="1" applyBorder="1" applyAlignment="1">
      <alignment horizontal="center" vertical="center"/>
    </xf>
    <xf numFmtId="0" fontId="8" fillId="0" borderId="60" xfId="0" applyFont="1" applyBorder="1" applyAlignment="1">
      <alignment horizontal="center" vertical="center"/>
    </xf>
    <xf numFmtId="0" fontId="8" fillId="13" borderId="152" xfId="0" applyFont="1" applyFill="1" applyBorder="1" applyAlignment="1">
      <alignment horizontal="center" vertical="top" wrapText="1"/>
    </xf>
    <xf numFmtId="0" fontId="14" fillId="0" borderId="152" xfId="0" applyFont="1" applyBorder="1" applyAlignment="1">
      <alignment horizontal="center" vertical="top" wrapText="1"/>
    </xf>
    <xf numFmtId="38" fontId="13" fillId="0" borderId="104" xfId="0" applyNumberFormat="1" applyFont="1" applyBorder="1" applyAlignment="1">
      <alignment horizontal="center" vertical="center"/>
    </xf>
    <xf numFmtId="0" fontId="3" fillId="0" borderId="0" xfId="0" applyFont="1" applyAlignment="1">
      <alignment horizontal="center" vertical="top" wrapText="1"/>
    </xf>
    <xf numFmtId="0" fontId="10" fillId="13" borderId="104" xfId="0" applyFont="1" applyFill="1" applyBorder="1" applyAlignment="1">
      <alignment horizontal="center" vertical="center"/>
    </xf>
    <xf numFmtId="181" fontId="3" fillId="0" borderId="60" xfId="0" applyNumberFormat="1" applyFont="1" applyBorder="1" applyAlignment="1">
      <alignment horizontal="center" vertical="center"/>
    </xf>
    <xf numFmtId="38" fontId="3" fillId="0" borderId="60" xfId="0" applyNumberFormat="1" applyFont="1" applyBorder="1" applyAlignment="1">
      <alignment horizontal="center" vertical="center"/>
    </xf>
    <xf numFmtId="0" fontId="3" fillId="0" borderId="0" xfId="0" applyFont="1" applyAlignment="1">
      <alignment horizontal="center" vertical="center" wrapText="1"/>
    </xf>
    <xf numFmtId="0" fontId="4" fillId="5" borderId="104" xfId="0" applyFont="1" applyFill="1" applyBorder="1" applyAlignment="1" applyProtection="1">
      <alignment horizontal="center" vertical="center"/>
      <protection locked="0"/>
    </xf>
    <xf numFmtId="0" fontId="8" fillId="13" borderId="60" xfId="0" applyFont="1" applyFill="1" applyBorder="1" applyAlignment="1">
      <alignment horizontal="center" vertical="center"/>
    </xf>
    <xf numFmtId="0" fontId="3" fillId="0" borderId="0" xfId="0" applyFont="1" applyAlignment="1">
      <alignment horizontal="center" vertical="top"/>
    </xf>
    <xf numFmtId="38" fontId="9" fillId="0" borderId="0" xfId="0" applyNumberFormat="1" applyFont="1" applyAlignment="1">
      <alignment horizontal="center" vertical="center"/>
    </xf>
    <xf numFmtId="0" fontId="111" fillId="0" borderId="194" xfId="13" applyFont="1" applyBorder="1" applyAlignment="1">
      <alignment vertical="center"/>
    </xf>
    <xf numFmtId="6" fontId="111" fillId="0" borderId="194" xfId="13" applyNumberFormat="1" applyFont="1" applyBorder="1" applyAlignment="1">
      <alignment vertical="center"/>
    </xf>
    <xf numFmtId="0" fontId="5" fillId="0" borderId="194" xfId="13" applyFont="1" applyBorder="1" applyAlignment="1">
      <alignment vertical="center"/>
    </xf>
    <xf numFmtId="6" fontId="5" fillId="0" borderId="194" xfId="13" applyNumberFormat="1" applyFont="1" applyBorder="1" applyAlignment="1">
      <alignment vertical="center"/>
    </xf>
    <xf numFmtId="3" fontId="8" fillId="0" borderId="194" xfId="13" applyNumberFormat="1" applyFont="1" applyBorder="1" applyAlignment="1">
      <alignment horizontal="center"/>
    </xf>
    <xf numFmtId="38" fontId="3" fillId="10" borderId="108" xfId="13" applyNumberFormat="1" applyFill="1" applyBorder="1" applyAlignment="1">
      <alignment horizontal="center" vertical="center"/>
    </xf>
    <xf numFmtId="38" fontId="3" fillId="10" borderId="152" xfId="13" applyNumberFormat="1" applyFill="1" applyBorder="1" applyAlignment="1">
      <alignment horizontal="center" vertical="center"/>
    </xf>
    <xf numFmtId="0" fontId="5" fillId="10" borderId="108" xfId="13" applyFont="1" applyFill="1" applyBorder="1" applyAlignment="1">
      <alignment horizontal="center" vertical="center" wrapText="1"/>
    </xf>
    <xf numFmtId="9" fontId="38" fillId="0" borderId="60" xfId="10" applyFont="1" applyBorder="1" applyAlignment="1" applyProtection="1">
      <alignment horizontal="center" vertical="center"/>
    </xf>
    <xf numFmtId="3" fontId="38" fillId="20" borderId="60" xfId="10" applyNumberFormat="1" applyFont="1" applyFill="1" applyBorder="1" applyAlignment="1" applyProtection="1">
      <alignment horizontal="center" vertical="center"/>
    </xf>
    <xf numFmtId="3" fontId="38" fillId="0" borderId="60" xfId="10" applyNumberFormat="1" applyFont="1" applyBorder="1" applyAlignment="1" applyProtection="1">
      <alignment horizontal="center" vertical="center"/>
    </xf>
    <xf numFmtId="9" fontId="38" fillId="20" borderId="60" xfId="10" applyFont="1" applyFill="1" applyBorder="1" applyAlignment="1" applyProtection="1">
      <alignment horizontal="center" vertical="center"/>
    </xf>
    <xf numFmtId="0" fontId="38" fillId="20" borderId="60" xfId="0" applyFont="1" applyFill="1" applyBorder="1" applyAlignment="1">
      <alignment horizontal="center" vertical="center"/>
    </xf>
    <xf numFmtId="1" fontId="38" fillId="20" borderId="60" xfId="10" applyNumberFormat="1" applyFont="1" applyFill="1" applyBorder="1" applyAlignment="1" applyProtection="1">
      <alignment horizontal="center" vertical="center"/>
    </xf>
    <xf numFmtId="0" fontId="46" fillId="0" borderId="60" xfId="0" applyFont="1" applyBorder="1" applyAlignment="1">
      <alignment horizontal="center" vertical="top" wrapText="1"/>
    </xf>
    <xf numFmtId="9" fontId="46" fillId="0" borderId="60" xfId="0" applyNumberFormat="1" applyFont="1" applyBorder="1" applyAlignment="1">
      <alignment horizontal="center" vertical="center" wrapText="1"/>
    </xf>
    <xf numFmtId="0" fontId="46" fillId="0" borderId="60" xfId="0" applyFont="1" applyBorder="1" applyAlignment="1">
      <alignment horizontal="center" vertical="center" wrapText="1"/>
    </xf>
    <xf numFmtId="0" fontId="38" fillId="5" borderId="57" xfId="0" applyFont="1" applyFill="1" applyBorder="1" applyAlignment="1">
      <alignment horizontal="left"/>
    </xf>
    <xf numFmtId="0" fontId="38" fillId="5" borderId="55" xfId="0" applyFont="1" applyFill="1" applyBorder="1" applyAlignment="1">
      <alignment horizontal="left"/>
    </xf>
    <xf numFmtId="0" fontId="38" fillId="5" borderId="5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3" fillId="20" borderId="4" xfId="0" applyFont="1" applyFill="1" applyBorder="1" applyAlignment="1">
      <alignment horizontal="center" vertical="center" wrapText="1"/>
    </xf>
    <xf numFmtId="0" fontId="213" fillId="20" borderId="0" xfId="0" applyFont="1" applyFill="1" applyAlignment="1">
      <alignment horizontal="center" vertical="center" wrapText="1"/>
    </xf>
    <xf numFmtId="0" fontId="213" fillId="20" borderId="5" xfId="0" applyFont="1" applyFill="1" applyBorder="1" applyAlignment="1">
      <alignment horizontal="center" vertical="center" wrapText="1"/>
    </xf>
    <xf numFmtId="0" fontId="213" fillId="20" borderId="6" xfId="0" applyFont="1" applyFill="1" applyBorder="1" applyAlignment="1">
      <alignment horizontal="center" vertical="center" wrapText="1"/>
    </xf>
    <xf numFmtId="0" fontId="213" fillId="20" borderId="9" xfId="0" applyFont="1" applyFill="1" applyBorder="1" applyAlignment="1">
      <alignment horizontal="center" vertical="center" wrapText="1"/>
    </xf>
    <xf numFmtId="0" fontId="213" fillId="20" borderId="10" xfId="0" applyFont="1" applyFill="1" applyBorder="1" applyAlignment="1">
      <alignment horizontal="center" vertical="center" wrapText="1"/>
    </xf>
    <xf numFmtId="42" fontId="41" fillId="0" borderId="54" xfId="2" applyNumberFormat="1" applyFont="1" applyFill="1" applyBorder="1" applyAlignment="1" applyProtection="1">
      <alignment horizontal="center" vertical="center"/>
    </xf>
    <xf numFmtId="42" fontId="41" fillId="0" borderId="55" xfId="2" applyNumberFormat="1" applyFont="1" applyFill="1" applyBorder="1" applyAlignment="1" applyProtection="1">
      <alignment horizontal="center" vertical="center"/>
    </xf>
    <xf numFmtId="42" fontId="3" fillId="0" borderId="54" xfId="2" applyNumberFormat="1" applyFont="1" applyFill="1" applyBorder="1" applyAlignment="1" applyProtection="1">
      <alignment horizontal="center" vertical="center"/>
    </xf>
    <xf numFmtId="42" fontId="3" fillId="0" borderId="55" xfId="2" applyNumberFormat="1" applyFont="1" applyFill="1" applyBorder="1" applyAlignment="1" applyProtection="1">
      <alignment horizontal="center" vertical="center"/>
    </xf>
    <xf numFmtId="0" fontId="99" fillId="5" borderId="54" xfId="0" applyFont="1" applyFill="1" applyBorder="1" applyAlignment="1" applyProtection="1">
      <alignment horizontal="left" vertical="center"/>
      <protection locked="0"/>
    </xf>
    <xf numFmtId="0" fontId="99" fillId="5" borderId="57" xfId="0" applyFont="1" applyFill="1" applyBorder="1" applyAlignment="1" applyProtection="1">
      <alignment horizontal="left" vertical="center"/>
      <protection locked="0"/>
    </xf>
    <xf numFmtId="0" fontId="99" fillId="5" borderId="55" xfId="0" applyFont="1" applyFill="1" applyBorder="1" applyAlignment="1" applyProtection="1">
      <alignment horizontal="left" vertical="center"/>
      <protection locked="0"/>
    </xf>
    <xf numFmtId="0" fontId="41" fillId="5" borderId="54"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5" borderId="101" xfId="0" applyFont="1" applyFill="1" applyBorder="1" applyAlignment="1" applyProtection="1">
      <alignment horizontal="left" vertical="center"/>
      <protection locked="0"/>
    </xf>
    <xf numFmtId="0" fontId="41" fillId="5" borderId="102" xfId="0" applyFont="1" applyFill="1" applyBorder="1" applyAlignment="1" applyProtection="1">
      <alignment horizontal="left" vertical="center"/>
      <protection locked="0"/>
    </xf>
    <xf numFmtId="0" fontId="41" fillId="5" borderId="103" xfId="0"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56"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94"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56"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56"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101" xfId="0" applyNumberFormat="1" applyFont="1" applyFill="1" applyBorder="1" applyAlignment="1" applyProtection="1">
      <alignment horizontal="center" vertical="center"/>
      <protection locked="0"/>
    </xf>
    <xf numFmtId="6" fontId="41" fillId="5" borderId="103"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54" xfId="0" applyFont="1" applyFill="1" applyBorder="1" applyAlignment="1" applyProtection="1">
      <alignment horizontal="left" vertical="top" wrapText="1"/>
      <protection locked="0"/>
    </xf>
    <xf numFmtId="0" fontId="37" fillId="5" borderId="57" xfId="0" applyFont="1" applyFill="1" applyBorder="1" applyAlignment="1" applyProtection="1">
      <alignment horizontal="left" vertical="top" wrapText="1"/>
      <protection locked="0"/>
    </xf>
    <xf numFmtId="0" fontId="37" fillId="5" borderId="55" xfId="0" applyFont="1" applyFill="1" applyBorder="1" applyAlignment="1" applyProtection="1">
      <alignment horizontal="left" vertical="top" wrapText="1"/>
      <protection locked="0"/>
    </xf>
    <xf numFmtId="0" fontId="37" fillId="4" borderId="54" xfId="0" applyFont="1" applyFill="1" applyBorder="1" applyAlignment="1" applyProtection="1">
      <alignment horizontal="left" vertical="top" wrapText="1"/>
      <protection locked="0"/>
    </xf>
    <xf numFmtId="0" fontId="37" fillId="4" borderId="57" xfId="0" applyFont="1" applyFill="1" applyBorder="1" applyAlignment="1" applyProtection="1">
      <alignment horizontal="left" vertical="top" wrapText="1"/>
      <protection locked="0"/>
    </xf>
    <xf numFmtId="0" fontId="37" fillId="4" borderId="55" xfId="0" applyFont="1" applyFill="1" applyBorder="1" applyAlignment="1" applyProtection="1">
      <alignment horizontal="left" vertical="top" wrapText="1"/>
      <protection locked="0"/>
    </xf>
    <xf numFmtId="0" fontId="41" fillId="0" borderId="54" xfId="0" applyFont="1" applyBorder="1" applyAlignment="1" applyProtection="1">
      <alignment horizontal="left" vertical="center" wrapText="1"/>
      <protection locked="0"/>
    </xf>
    <xf numFmtId="0" fontId="41" fillId="0" borderId="57" xfId="0" applyFont="1" applyBorder="1" applyAlignment="1" applyProtection="1">
      <alignment horizontal="left" vertical="center" wrapText="1"/>
      <protection locked="0"/>
    </xf>
    <xf numFmtId="0" fontId="41" fillId="0" borderId="5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94"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63"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Alignment="1" applyProtection="1">
      <protection locked="0"/>
    </xf>
    <xf numFmtId="0" fontId="41" fillId="5" borderId="5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02" xfId="0" applyFont="1" applyBorder="1" applyAlignment="1" applyProtection="1">
      <protection locked="0"/>
    </xf>
    <xf numFmtId="0" fontId="41" fillId="0" borderId="103" xfId="0" applyFont="1" applyBorder="1" applyAlignment="1" applyProtection="1">
      <protection locked="0"/>
    </xf>
    <xf numFmtId="167" fontId="41" fillId="5" borderId="101" xfId="0" applyNumberFormat="1" applyFont="1" applyFill="1" applyBorder="1" applyAlignment="1" applyProtection="1">
      <alignment horizontal="left" vertical="center"/>
      <protection locked="0"/>
    </xf>
    <xf numFmtId="167" fontId="41" fillId="0" borderId="102" xfId="0" applyNumberFormat="1" applyFont="1" applyBorder="1" applyAlignment="1" applyProtection="1">
      <protection locked="0"/>
    </xf>
    <xf numFmtId="167" fontId="41" fillId="0" borderId="103" xfId="0" applyNumberFormat="1" applyFont="1" applyBorder="1" applyAlignment="1" applyProtection="1">
      <protection locked="0"/>
    </xf>
    <xf numFmtId="0" fontId="41" fillId="0" borderId="0" xfId="0" applyFont="1" applyAlignment="1">
      <alignment horizontal="right" vertical="center" wrapText="1"/>
    </xf>
    <xf numFmtId="0" fontId="38" fillId="0" borderId="101" xfId="0" applyFont="1" applyBorder="1" applyAlignment="1">
      <alignment horizontal="left" vertical="top" wrapText="1"/>
    </xf>
    <xf numFmtId="0" fontId="38" fillId="0" borderId="102" xfId="0" applyFont="1" applyBorder="1" applyAlignment="1">
      <alignment horizontal="left" vertical="top" wrapText="1"/>
    </xf>
    <xf numFmtId="0" fontId="38" fillId="0" borderId="103" xfId="0" applyFont="1" applyBorder="1" applyAlignment="1">
      <alignment horizontal="left" vertical="top" wrapText="1"/>
    </xf>
    <xf numFmtId="0" fontId="38" fillId="5" borderId="101" xfId="0" applyFont="1" applyFill="1" applyBorder="1" applyAlignment="1" applyProtection="1">
      <alignment horizontal="left" vertical="top" wrapText="1"/>
      <protection locked="0"/>
    </xf>
    <xf numFmtId="0" fontId="38" fillId="5" borderId="102" xfId="0" applyFont="1" applyFill="1" applyBorder="1" applyAlignment="1" applyProtection="1">
      <alignment horizontal="left" vertical="top" wrapText="1"/>
      <protection locked="0"/>
    </xf>
    <xf numFmtId="0" fontId="38" fillId="5" borderId="107" xfId="0" applyFont="1" applyFill="1" applyBorder="1" applyAlignment="1" applyProtection="1">
      <alignment horizontal="left" vertical="top" wrapText="1"/>
      <protection locked="0"/>
    </xf>
    <xf numFmtId="0" fontId="38" fillId="5" borderId="103"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56" xfId="0" applyFont="1" applyBorder="1" applyAlignment="1">
      <alignment horizontal="left" vertical="top" wrapText="1"/>
    </xf>
    <xf numFmtId="0" fontId="41" fillId="0" borderId="194"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56" xfId="0" applyFont="1" applyBorder="1" applyAlignment="1">
      <alignment horizontal="center" vertical="top" wrapText="1"/>
    </xf>
    <xf numFmtId="0" fontId="41" fillId="0" borderId="194"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59"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59"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56" xfId="0" applyFont="1" applyBorder="1" applyAlignment="1">
      <alignment horizontal="center" vertical="top" wrapText="1"/>
    </xf>
    <xf numFmtId="0" fontId="79" fillId="0" borderId="194"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6"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4"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55" xfId="0" applyNumberFormat="1"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54" xfId="0" applyFont="1" applyFill="1" applyBorder="1" applyAlignment="1">
      <alignment horizontal="center" vertical="center"/>
    </xf>
    <xf numFmtId="0" fontId="50" fillId="8" borderId="57" xfId="0" applyFont="1" applyFill="1" applyBorder="1" applyAlignment="1">
      <alignment horizontal="center" vertical="center"/>
    </xf>
    <xf numFmtId="0" fontId="50" fillId="8" borderId="5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54" xfId="0" applyNumberFormat="1" applyFont="1" applyFill="1" applyBorder="1" applyAlignment="1" applyProtection="1">
      <alignment horizontal="center" vertical="center"/>
      <protection locked="0"/>
    </xf>
    <xf numFmtId="0" fontId="41" fillId="0" borderId="55"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58"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37" fillId="5" borderId="15" xfId="0" applyFont="1" applyFill="1" applyBorder="1" applyAlignment="1" applyProtection="1">
      <alignment horizontal="left" vertical="center"/>
      <protection locked="0"/>
    </xf>
    <xf numFmtId="0" fontId="37" fillId="5" borderId="63"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54" xfId="0" applyNumberFormat="1" applyFont="1" applyFill="1" applyBorder="1" applyAlignment="1" applyProtection="1">
      <alignment horizontal="left" vertical="center"/>
      <protection locked="0"/>
    </xf>
    <xf numFmtId="3" fontId="41" fillId="10" borderId="55"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54" xfId="0" applyNumberFormat="1" applyFont="1" applyFill="1" applyBorder="1" applyAlignment="1">
      <alignment horizontal="center" vertical="center"/>
    </xf>
    <xf numFmtId="49" fontId="96" fillId="20" borderId="57" xfId="0" applyNumberFormat="1" applyFont="1" applyFill="1" applyBorder="1" applyAlignment="1">
      <alignment horizontal="center" vertical="center"/>
    </xf>
    <xf numFmtId="49" fontId="96" fillId="20" borderId="55" xfId="0" applyNumberFormat="1" applyFont="1" applyFill="1" applyBorder="1" applyAlignment="1">
      <alignment horizontal="center" vertical="center"/>
    </xf>
    <xf numFmtId="0" fontId="8" fillId="0" borderId="0" xfId="0" applyFont="1" applyAlignment="1">
      <alignment horizontal="left"/>
    </xf>
    <xf numFmtId="37" fontId="41" fillId="5" borderId="101" xfId="0" applyNumberFormat="1" applyFont="1" applyFill="1" applyBorder="1" applyAlignment="1" applyProtection="1">
      <alignment horizontal="left" vertical="center"/>
      <protection locked="0"/>
    </xf>
    <xf numFmtId="0" fontId="0" fillId="0" borderId="103"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01"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63" xfId="0" applyFont="1" applyFill="1" applyBorder="1" applyAlignment="1" applyProtection="1">
      <alignment horizontal="left" vertical="center"/>
      <protection locked="0"/>
    </xf>
    <xf numFmtId="0" fontId="37" fillId="5" borderId="102" xfId="0" applyFont="1" applyFill="1" applyBorder="1" applyAlignment="1" applyProtection="1">
      <alignment horizontal="left" vertical="center"/>
      <protection locked="0"/>
    </xf>
    <xf numFmtId="0" fontId="41" fillId="0" borderId="4" xfId="0" applyFont="1" applyBorder="1" applyAlignment="1">
      <alignment vertical="center"/>
    </xf>
    <xf numFmtId="0" fontId="41" fillId="0" borderId="0" xfId="0" applyFont="1" applyAlignment="1">
      <alignment vertical="center"/>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41" fillId="0" borderId="56" xfId="0" applyFont="1" applyBorder="1" applyAlignment="1">
      <alignment vertical="center"/>
    </xf>
    <xf numFmtId="0" fontId="41" fillId="0" borderId="194" xfId="0" applyFont="1" applyBorder="1" applyAlignment="1">
      <alignment vertical="center"/>
    </xf>
    <xf numFmtId="0" fontId="41" fillId="5" borderId="101" xfId="0" applyFont="1" applyFill="1" applyBorder="1" applyAlignment="1" applyProtection="1">
      <alignment horizontal="left" vertical="center" wrapText="1"/>
      <protection locked="0"/>
    </xf>
    <xf numFmtId="0" fontId="41" fillId="5" borderId="102" xfId="0" applyFont="1" applyFill="1" applyBorder="1" applyAlignment="1" applyProtection="1">
      <alignment horizontal="left" vertical="center" wrapText="1"/>
      <protection locked="0"/>
    </xf>
    <xf numFmtId="0" fontId="41" fillId="5" borderId="103" xfId="0" applyFont="1" applyFill="1" applyBorder="1" applyAlignment="1" applyProtection="1">
      <alignment horizontal="left" vertical="center" wrapText="1"/>
      <protection locked="0"/>
    </xf>
    <xf numFmtId="164" fontId="41" fillId="5" borderId="101" xfId="1" applyNumberFormat="1" applyFont="1" applyFill="1" applyBorder="1" applyAlignment="1" applyProtection="1">
      <alignment horizontal="right" vertical="center"/>
      <protection locked="0"/>
    </xf>
    <xf numFmtId="164" fontId="41" fillId="5" borderId="103" xfId="1" applyNumberFormat="1" applyFont="1" applyFill="1" applyBorder="1" applyAlignment="1" applyProtection="1">
      <alignment horizontal="right" vertical="center"/>
      <protection locked="0"/>
    </xf>
    <xf numFmtId="166" fontId="41" fillId="5" borderId="101" xfId="10" applyNumberFormat="1" applyFont="1" applyFill="1" applyBorder="1" applyAlignment="1" applyProtection="1">
      <alignment horizontal="center" vertical="center"/>
      <protection locked="0"/>
    </xf>
    <xf numFmtId="166" fontId="41" fillId="5" borderId="103" xfId="10" applyNumberFormat="1" applyFont="1" applyFill="1" applyBorder="1" applyAlignment="1" applyProtection="1">
      <alignment horizontal="center" vertical="center"/>
      <protection locked="0"/>
    </xf>
    <xf numFmtId="3" fontId="41" fillId="5" borderId="101" xfId="1" applyNumberFormat="1" applyFont="1" applyFill="1" applyBorder="1" applyAlignment="1" applyProtection="1">
      <alignment horizontal="center" vertical="center"/>
      <protection locked="0"/>
    </xf>
    <xf numFmtId="3" fontId="41" fillId="5" borderId="103" xfId="1" applyNumberFormat="1" applyFont="1" applyFill="1" applyBorder="1" applyAlignment="1" applyProtection="1">
      <alignment horizontal="center"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63" xfId="1" applyNumberFormat="1" applyFont="1" applyFill="1" applyBorder="1" applyAlignment="1" applyProtection="1">
      <alignment horizontal="right" vertical="center"/>
      <protection locked="0"/>
    </xf>
    <xf numFmtId="0" fontId="41" fillId="5" borderId="104"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5" borderId="13" xfId="0" applyFont="1" applyFill="1" applyBorder="1" applyAlignment="1" applyProtection="1">
      <alignment horizontal="left" vertical="center" wrapText="1"/>
      <protection locked="0"/>
    </xf>
    <xf numFmtId="38" fontId="49" fillId="0" borderId="54" xfId="2" applyNumberFormat="1" applyFont="1" applyFill="1" applyBorder="1" applyAlignment="1" applyProtection="1">
      <alignment horizontal="right" vertical="center"/>
    </xf>
    <xf numFmtId="38" fontId="49" fillId="0" borderId="55" xfId="2" applyNumberFormat="1" applyFont="1" applyFill="1" applyBorder="1" applyAlignment="1" applyProtection="1">
      <alignment horizontal="right" vertical="center"/>
    </xf>
    <xf numFmtId="38" fontId="49" fillId="11" borderId="54" xfId="2" applyNumberFormat="1" applyFont="1" applyFill="1" applyBorder="1" applyAlignment="1" applyProtection="1">
      <alignment horizontal="right" vertical="center"/>
      <protection locked="0"/>
    </xf>
    <xf numFmtId="38" fontId="49" fillId="11" borderId="55" xfId="2" applyNumberFormat="1" applyFont="1" applyFill="1" applyBorder="1" applyAlignment="1" applyProtection="1">
      <alignment horizontal="right" vertical="center"/>
      <protection locked="0"/>
    </xf>
    <xf numFmtId="38" fontId="49" fillId="0" borderId="54" xfId="0" applyNumberFormat="1" applyFont="1" applyBorder="1" applyAlignment="1">
      <alignment horizontal="right" vertical="center"/>
    </xf>
    <xf numFmtId="38" fontId="49" fillId="0" borderId="55" xfId="0" applyNumberFormat="1" applyFont="1" applyBorder="1" applyAlignment="1">
      <alignment horizontal="right" vertical="center"/>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vertical="center"/>
      <protection locked="0"/>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38" fontId="41" fillId="5" borderId="104" xfId="0" applyNumberFormat="1" applyFont="1" applyFill="1" applyBorder="1" applyAlignment="1" applyProtection="1">
      <alignment horizontal="right" vertical="center"/>
      <protection locked="0"/>
    </xf>
    <xf numFmtId="0" fontId="41" fillId="5" borderId="104" xfId="0" applyFont="1" applyFill="1" applyBorder="1" applyAlignment="1" applyProtection="1">
      <alignment vertical="center"/>
      <protection locked="0"/>
    </xf>
    <xf numFmtId="0" fontId="41" fillId="5" borderId="104" xfId="0" applyFont="1" applyFill="1" applyBorder="1" applyAlignment="1" applyProtection="1">
      <alignment horizontal="center" vertical="center"/>
      <protection locked="0"/>
    </xf>
    <xf numFmtId="38" fontId="41" fillId="6" borderId="104" xfId="2" applyNumberFormat="1" applyFont="1" applyFill="1" applyBorder="1" applyAlignment="1" applyProtection="1">
      <alignment horizontal="center" vertical="center"/>
      <protection locked="0"/>
    </xf>
    <xf numFmtId="0" fontId="41" fillId="5" borderId="54" xfId="0" applyFont="1" applyFill="1" applyBorder="1" applyAlignment="1" applyProtection="1">
      <alignment horizontal="left" vertical="center" wrapText="1"/>
      <protection locked="0"/>
    </xf>
    <xf numFmtId="0" fontId="41" fillId="5" borderId="5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57" xfId="0" applyFont="1" applyBorder="1" applyAlignment="1">
      <alignment horizontal="center" vertical="center"/>
    </xf>
    <xf numFmtId="38" fontId="41" fillId="0" borderId="57" xfId="2" applyNumberFormat="1" applyFont="1" applyFill="1" applyBorder="1" applyAlignment="1" applyProtection="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54" xfId="2" applyNumberFormat="1" applyFont="1" applyFill="1" applyBorder="1" applyAlignment="1" applyProtection="1">
      <alignment horizontal="center" vertical="center"/>
      <protection locked="0"/>
    </xf>
    <xf numFmtId="38" fontId="41" fillId="6" borderId="55"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37" fillId="5" borderId="60" xfId="0" applyFont="1" applyFill="1" applyBorder="1" applyAlignment="1" applyProtection="1">
      <alignment horizontal="left" vertical="top" wrapText="1"/>
      <protection locked="0"/>
    </xf>
    <xf numFmtId="0" fontId="37" fillId="4" borderId="60"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54" xfId="2" applyNumberFormat="1" applyFont="1" applyFill="1" applyBorder="1" applyAlignment="1" applyProtection="1">
      <alignment horizontal="center" vertical="center"/>
    </xf>
    <xf numFmtId="38" fontId="49" fillId="0" borderId="5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28" fillId="8" borderId="54" xfId="0" applyFont="1" applyFill="1" applyBorder="1" applyAlignment="1">
      <alignment horizontal="center" vertical="center"/>
    </xf>
    <xf numFmtId="0" fontId="28" fillId="8" borderId="57" xfId="0" applyFont="1" applyFill="1" applyBorder="1" applyAlignment="1">
      <alignment horizontal="center" vertical="center"/>
    </xf>
    <xf numFmtId="0" fontId="28" fillId="8" borderId="5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94"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0" fontId="13" fillId="13" borderId="64"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13" fillId="13" borderId="107" xfId="0" applyFont="1" applyFill="1" applyBorder="1" applyAlignment="1" applyProtection="1">
      <alignment horizontal="left" vertical="top" wrapText="1"/>
      <protection locked="0"/>
    </xf>
    <xf numFmtId="0" fontId="13" fillId="13" borderId="106" xfId="0" applyFont="1" applyFill="1" applyBorder="1" applyAlignment="1" applyProtection="1">
      <alignment horizontal="left" vertical="top" wrapText="1"/>
      <protection locked="0"/>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56" xfId="1" applyNumberFormat="1" applyFont="1" applyFill="1" applyBorder="1" applyAlignment="1" applyProtection="1">
      <alignment horizontal="right" vertical="center"/>
      <protection locked="0"/>
    </xf>
    <xf numFmtId="164" fontId="41" fillId="0" borderId="172" xfId="1" applyNumberFormat="1" applyFont="1" applyFill="1" applyBorder="1" applyAlignment="1" applyProtection="1">
      <alignment horizontal="right" vertical="center"/>
    </xf>
    <xf numFmtId="164" fontId="41" fillId="5" borderId="150" xfId="1" applyNumberFormat="1" applyFont="1" applyFill="1" applyBorder="1" applyAlignment="1" applyProtection="1">
      <alignment horizontal="right" vertical="center"/>
      <protection locked="0"/>
    </xf>
    <xf numFmtId="164" fontId="41" fillId="5" borderId="151" xfId="1" applyNumberFormat="1" applyFont="1" applyFill="1" applyBorder="1" applyAlignment="1" applyProtection="1">
      <alignment horizontal="right" vertical="center"/>
      <protection locked="0"/>
    </xf>
    <xf numFmtId="0" fontId="99" fillId="0" borderId="74" xfId="0" applyFont="1" applyBorder="1" applyAlignment="1">
      <alignment horizontal="center" vertical="center"/>
    </xf>
    <xf numFmtId="171" fontId="49" fillId="0" borderId="0" xfId="0" applyNumberFormat="1" applyFont="1" applyAlignment="1">
      <alignment horizontal="center" vertical="center"/>
    </xf>
    <xf numFmtId="164" fontId="58" fillId="0" borderId="57" xfId="0" applyNumberFormat="1" applyFont="1" applyBorder="1" applyAlignment="1">
      <alignment horizontal="center" vertical="center"/>
    </xf>
    <xf numFmtId="164" fontId="58" fillId="0" borderId="55"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41" fillId="5" borderId="54" xfId="1" applyNumberFormat="1" applyFont="1" applyFill="1" applyBorder="1" applyAlignment="1" applyProtection="1">
      <alignment horizontal="right" vertical="center"/>
      <protection locked="0"/>
    </xf>
    <xf numFmtId="164" fontId="41" fillId="5" borderId="55" xfId="1" applyNumberFormat="1" applyFont="1" applyFill="1" applyBorder="1" applyAlignment="1" applyProtection="1">
      <alignment horizontal="right" vertical="center"/>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49" fillId="0" borderId="0" xfId="0" applyFont="1" applyAlignment="1">
      <alignment horizontal="left"/>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63" xfId="0" applyFont="1" applyFill="1" applyBorder="1" applyAlignment="1" applyProtection="1">
      <alignment horizontal="left" vertical="center" wrapText="1"/>
      <protection locked="0"/>
    </xf>
    <xf numFmtId="164" fontId="41" fillId="0" borderId="0" xfId="1" applyNumberFormat="1" applyFont="1" applyFill="1" applyBorder="1" applyAlignment="1" applyProtection="1">
      <alignment horizontal="center" vertical="center"/>
    </xf>
    <xf numFmtId="0" fontId="41" fillId="0" borderId="30" xfId="0" applyFont="1" applyBorder="1" applyAlignment="1">
      <alignment horizontal="center" vertical="center" wrapText="1"/>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3" fillId="13" borderId="107" xfId="0" applyFont="1" applyFill="1" applyBorder="1" applyAlignment="1" applyProtection="1">
      <alignment horizontal="left" vertical="top" wrapText="1"/>
      <protection locked="0"/>
    </xf>
    <xf numFmtId="0" fontId="3" fillId="13" borderId="106" xfId="0" applyFont="1" applyFill="1" applyBorder="1" applyAlignment="1" applyProtection="1">
      <alignment horizontal="left" vertical="top" wrapText="1"/>
      <protection locked="0"/>
    </xf>
    <xf numFmtId="0" fontId="201" fillId="0" borderId="0" xfId="0" applyFont="1" applyAlignment="1">
      <alignment horizontal="center" wrapText="1"/>
    </xf>
    <xf numFmtId="0" fontId="201"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38" fontId="38" fillId="0" borderId="59"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56"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38" fontId="49" fillId="0" borderId="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164" fontId="41" fillId="5" borderId="60" xfId="1" applyNumberFormat="1" applyFont="1" applyFill="1" applyBorder="1" applyAlignment="1" applyProtection="1">
      <alignment horizontal="right"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0" fontId="13" fillId="13" borderId="101" xfId="0" applyFont="1" applyFill="1" applyBorder="1" applyAlignment="1" applyProtection="1">
      <alignment horizontal="left" vertical="top" wrapText="1"/>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57" xfId="1" applyNumberFormat="1" applyFont="1" applyFill="1" applyBorder="1" applyAlignment="1" applyProtection="1">
      <alignment horizontal="center" vertical="center"/>
    </xf>
    <xf numFmtId="4" fontId="41" fillId="0" borderId="57" xfId="1" applyNumberFormat="1" applyFont="1" applyFill="1" applyBorder="1" applyAlignment="1" applyProtection="1">
      <alignment vertical="center"/>
    </xf>
    <xf numFmtId="4" fontId="41" fillId="0" borderId="55" xfId="1" applyNumberFormat="1" applyFont="1" applyFill="1" applyBorder="1" applyAlignment="1" applyProtection="1">
      <alignment vertical="center"/>
    </xf>
    <xf numFmtId="38" fontId="49" fillId="5" borderId="101" xfId="0" applyNumberFormat="1" applyFont="1" applyFill="1" applyBorder="1" applyAlignment="1" applyProtection="1">
      <alignment horizontal="center" vertical="center"/>
      <protection locked="0"/>
    </xf>
    <xf numFmtId="38" fontId="49" fillId="5" borderId="103" xfId="0" applyNumberFormat="1" applyFont="1" applyFill="1" applyBorder="1" applyAlignment="1" applyProtection="1">
      <alignment horizontal="center" vertical="center"/>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1" fillId="0" borderId="101" xfId="0" applyNumberFormat="1" applyFont="1" applyBorder="1" applyAlignment="1">
      <alignment horizontal="center" vertical="center"/>
    </xf>
    <xf numFmtId="38" fontId="41" fillId="0" borderId="103" xfId="0" applyNumberFormat="1" applyFont="1" applyBorder="1" applyAlignment="1">
      <alignment horizontal="center" vertical="center"/>
    </xf>
    <xf numFmtId="38" fontId="41" fillId="0" borderId="56" xfId="0" applyNumberFormat="1" applyFont="1" applyBorder="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38" fontId="41" fillId="0" borderId="22"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57" xfId="0" applyNumberFormat="1" applyFont="1" applyBorder="1" applyAlignment="1">
      <alignment horizontal="center" vertical="center"/>
    </xf>
    <xf numFmtId="38" fontId="41" fillId="0" borderId="54" xfId="0" applyNumberFormat="1" applyFont="1" applyBorder="1" applyAlignment="1">
      <alignment horizontal="center" vertical="center"/>
    </xf>
    <xf numFmtId="38" fontId="41" fillId="0" borderId="55" xfId="0" applyNumberFormat="1" applyFont="1" applyBorder="1" applyAlignment="1">
      <alignment horizontal="center" vertical="center"/>
    </xf>
    <xf numFmtId="0" fontId="38" fillId="10" borderId="56" xfId="0" applyFont="1" applyFill="1" applyBorder="1" applyAlignment="1" applyProtection="1">
      <alignment horizontal="center" vertical="center" wrapText="1"/>
      <protection locked="0"/>
    </xf>
    <xf numFmtId="0" fontId="38" fillId="10" borderId="194"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57"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54" xfId="0" applyNumberFormat="1" applyFont="1" applyFill="1" applyBorder="1" applyAlignment="1" applyProtection="1">
      <alignment horizontal="center" vertical="center"/>
      <protection locked="0"/>
    </xf>
    <xf numFmtId="9" fontId="38" fillId="10" borderId="57" xfId="0" applyNumberFormat="1" applyFont="1" applyFill="1" applyBorder="1" applyAlignment="1" applyProtection="1">
      <alignment horizontal="center" vertical="center"/>
      <protection locked="0"/>
    </xf>
    <xf numFmtId="9" fontId="38" fillId="10" borderId="55" xfId="0" applyNumberFormat="1" applyFont="1" applyFill="1" applyBorder="1" applyAlignment="1" applyProtection="1">
      <alignment horizontal="center" vertical="center"/>
      <protection locked="0"/>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02"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114"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126"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68" fontId="41" fillId="0" borderId="156" xfId="0" applyNumberFormat="1" applyFont="1" applyBorder="1" applyAlignment="1">
      <alignment horizontal="center" vertical="center"/>
    </xf>
    <xf numFmtId="168" fontId="41" fillId="0" borderId="116" xfId="0" applyNumberFormat="1" applyFont="1" applyBorder="1" applyAlignment="1">
      <alignment horizontal="center" vertical="center"/>
    </xf>
    <xf numFmtId="168" fontId="41" fillId="0" borderId="195" xfId="0" applyNumberFormat="1" applyFont="1" applyBorder="1" applyAlignment="1">
      <alignment horizontal="center" vertical="center"/>
    </xf>
    <xf numFmtId="170" fontId="41" fillId="5" borderId="54" xfId="0" applyNumberFormat="1" applyFont="1" applyFill="1" applyBorder="1" applyAlignment="1" applyProtection="1">
      <alignment horizontal="center" vertical="center"/>
      <protection locked="0"/>
    </xf>
    <xf numFmtId="170" fontId="41" fillId="5" borderId="55" xfId="0" applyNumberFormat="1" applyFont="1" applyFill="1" applyBorder="1" applyAlignment="1" applyProtection="1">
      <alignment horizontal="center" vertical="center"/>
      <protection locked="0"/>
    </xf>
    <xf numFmtId="38" fontId="37" fillId="0" borderId="170" xfId="0" applyNumberFormat="1" applyFont="1" applyBorder="1" applyAlignment="1">
      <alignment horizontal="center" vertical="center"/>
    </xf>
    <xf numFmtId="38" fontId="37" fillId="0" borderId="171" xfId="0" applyNumberFormat="1" applyFont="1" applyBorder="1" applyAlignment="1">
      <alignment horizontal="center" vertical="center"/>
    </xf>
    <xf numFmtId="38" fontId="37" fillId="0" borderId="117" xfId="0" applyNumberFormat="1" applyFont="1" applyBorder="1" applyAlignment="1">
      <alignment horizontal="center" vertical="center"/>
    </xf>
    <xf numFmtId="0" fontId="37" fillId="13" borderId="60" xfId="0" applyFont="1" applyFill="1" applyBorder="1" applyAlignment="1" applyProtection="1">
      <alignment horizontal="left" vertical="top" wrapText="1"/>
      <protection locked="0"/>
    </xf>
    <xf numFmtId="38" fontId="49" fillId="10" borderId="54" xfId="0" applyNumberFormat="1" applyFont="1" applyFill="1" applyBorder="1" applyAlignment="1" applyProtection="1">
      <alignment horizontal="center" vertical="center"/>
      <protection locked="0"/>
    </xf>
    <xf numFmtId="38" fontId="49" fillId="10" borderId="57" xfId="0" applyNumberFormat="1" applyFont="1" applyFill="1" applyBorder="1" applyAlignment="1" applyProtection="1">
      <alignment horizontal="center" vertical="center"/>
      <protection locked="0"/>
    </xf>
    <xf numFmtId="38" fontId="49" fillId="10" borderId="55"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51" fillId="0" borderId="0" xfId="0" applyFont="1" applyAlignment="1">
      <alignment horizontal="center" vertical="top" wrapText="1"/>
    </xf>
    <xf numFmtId="38" fontId="80" fillId="0" borderId="54" xfId="0" applyNumberFormat="1" applyFont="1" applyBorder="1" applyAlignment="1">
      <alignment horizontal="center" vertical="center"/>
    </xf>
    <xf numFmtId="38" fontId="80" fillId="0" borderId="57" xfId="0" applyNumberFormat="1" applyFont="1" applyBorder="1" applyAlignment="1">
      <alignment horizontal="center" vertical="center"/>
    </xf>
    <xf numFmtId="38" fontId="80" fillId="0" borderId="55" xfId="0" applyNumberFormat="1" applyFont="1" applyBorder="1" applyAlignment="1">
      <alignment horizontal="center" vertical="center"/>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54" xfId="13" applyFont="1" applyFill="1" applyBorder="1" applyAlignment="1">
      <alignment horizontal="justify" vertical="top" wrapText="1"/>
    </xf>
    <xf numFmtId="0" fontId="9" fillId="13" borderId="57" xfId="13" applyFont="1" applyFill="1" applyBorder="1" applyAlignment="1">
      <alignment horizontal="justify" vertical="top" wrapText="1"/>
    </xf>
    <xf numFmtId="0" fontId="9" fillId="13" borderId="55" xfId="13" applyFont="1" applyFill="1" applyBorder="1" applyAlignment="1">
      <alignment horizontal="justify" vertical="top" wrapText="1"/>
    </xf>
    <xf numFmtId="0" fontId="8" fillId="0" borderId="0" xfId="13" applyFont="1" applyAlignment="1">
      <alignment horizontal="left" vertical="top" wrapText="1"/>
    </xf>
    <xf numFmtId="0" fontId="37" fillId="0" borderId="64"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04"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8" fillId="5" borderId="59"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135" fillId="0" borderId="0" xfId="0" applyFont="1" applyAlignment="1">
      <alignment horizontal="center" vertical="center"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54" xfId="0" applyFont="1" applyFill="1" applyBorder="1" applyAlignment="1" applyProtection="1">
      <alignment horizontal="left" vertical="center"/>
      <protection locked="0"/>
    </xf>
    <xf numFmtId="0" fontId="4" fillId="10" borderId="57" xfId="0" applyFont="1" applyFill="1" applyBorder="1" applyAlignment="1" applyProtection="1">
      <alignment horizontal="left" vertical="center"/>
      <protection locked="0"/>
    </xf>
    <xf numFmtId="0" fontId="4" fillId="10" borderId="5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54" xfId="0" applyFont="1" applyFill="1" applyBorder="1" applyAlignment="1" applyProtection="1">
      <alignment horizontal="left" vertical="center"/>
      <protection locked="0"/>
    </xf>
    <xf numFmtId="0" fontId="8" fillId="10" borderId="55" xfId="0"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wrapText="1"/>
      <protection locked="0"/>
    </xf>
    <xf numFmtId="0" fontId="3" fillId="5" borderId="57" xfId="0" applyFont="1" applyFill="1" applyBorder="1" applyAlignment="1" applyProtection="1">
      <alignment horizontal="left" vertical="center" wrapText="1"/>
      <protection locked="0"/>
    </xf>
    <xf numFmtId="0" fontId="3" fillId="5" borderId="55" xfId="0" applyFont="1" applyFill="1" applyBorder="1" applyAlignment="1" applyProtection="1">
      <alignment horizontal="left" vertical="center" wrapText="1"/>
      <protection locked="0"/>
    </xf>
    <xf numFmtId="174" fontId="3" fillId="5" borderId="54" xfId="0" applyNumberFormat="1" applyFont="1" applyFill="1" applyBorder="1" applyAlignment="1" applyProtection="1">
      <alignment horizontal="left" vertical="center"/>
      <protection locked="0"/>
    </xf>
    <xf numFmtId="174" fontId="3" fillId="5" borderId="55" xfId="0" applyNumberFormat="1" applyFont="1" applyFill="1" applyBorder="1" applyAlignment="1" applyProtection="1">
      <alignment horizontal="left" vertical="center"/>
      <protection locked="0"/>
    </xf>
    <xf numFmtId="0" fontId="3" fillId="5" borderId="54" xfId="0" applyFont="1" applyFill="1" applyBorder="1" applyAlignment="1" applyProtection="1">
      <alignment horizontal="left" vertical="center"/>
      <protection locked="0"/>
    </xf>
    <xf numFmtId="0" fontId="3" fillId="5" borderId="55" xfId="0" applyFont="1" applyFill="1" applyBorder="1" applyAlignment="1" applyProtection="1">
      <alignment horizontal="left" vertical="center"/>
      <protection locked="0"/>
    </xf>
    <xf numFmtId="0" fontId="0" fillId="5" borderId="101"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8" fillId="0" borderId="0" xfId="0" applyFont="1" applyAlignment="1">
      <alignment horizontal="center"/>
    </xf>
    <xf numFmtId="0" fontId="13" fillId="5" borderId="54" xfId="0" applyFont="1" applyFill="1" applyBorder="1" applyAlignment="1" applyProtection="1">
      <alignment horizontal="left" vertical="top" wrapText="1"/>
      <protection locked="0"/>
    </xf>
    <xf numFmtId="0" fontId="13" fillId="5" borderId="57" xfId="0" applyFont="1" applyFill="1" applyBorder="1" applyAlignment="1" applyProtection="1">
      <alignment horizontal="left" vertical="top" wrapText="1"/>
      <protection locked="0"/>
    </xf>
    <xf numFmtId="0" fontId="13" fillId="5" borderId="55"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57"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0" fontId="13" fillId="0" borderId="0" xfId="0" applyFont="1" applyAlignment="1">
      <alignment horizontal="center" wrapText="1"/>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13" borderId="101" xfId="0" applyFont="1" applyFill="1" applyBorder="1" applyAlignment="1" applyProtection="1">
      <alignment horizontal="left" vertical="top" wrapText="1"/>
      <protection locked="0"/>
    </xf>
    <xf numFmtId="0" fontId="3" fillId="13" borderId="102" xfId="0" applyFont="1" applyFill="1" applyBorder="1" applyAlignment="1" applyProtection="1">
      <alignment horizontal="left" vertical="top" wrapText="1"/>
      <protection locked="0"/>
    </xf>
    <xf numFmtId="0" fontId="3" fillId="13" borderId="103" xfId="0" applyFont="1" applyFill="1" applyBorder="1" applyAlignment="1" applyProtection="1">
      <alignment horizontal="left" vertical="top" wrapText="1"/>
      <protection locked="0"/>
    </xf>
    <xf numFmtId="0" fontId="91" fillId="0" borderId="0" xfId="0" applyFont="1" applyAlignment="1">
      <alignment horizontal="center" wrapText="1"/>
    </xf>
    <xf numFmtId="0" fontId="91" fillId="0" borderId="0" xfId="0" applyFont="1" applyAlignment="1">
      <alignment horizontal="center" vertical="center" wrapText="1"/>
    </xf>
    <xf numFmtId="0" fontId="186" fillId="0" borderId="56" xfId="0" applyFont="1" applyBorder="1" applyAlignment="1">
      <alignment horizontal="center"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164" fontId="186" fillId="0" borderId="194"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0" fontId="73" fillId="0" borderId="0" xfId="0" applyFont="1" applyAlignment="1">
      <alignment horizontal="left" vertical="center" wrapText="1"/>
    </xf>
    <xf numFmtId="0" fontId="38" fillId="0" borderId="0" xfId="0" applyFont="1" applyAlignment="1">
      <alignment horizontal="left" vertical="center" wrapText="1"/>
    </xf>
    <xf numFmtId="0" fontId="80" fillId="10" borderId="101" xfId="0" applyFont="1" applyFill="1" applyBorder="1" applyAlignment="1" applyProtection="1">
      <alignment horizontal="left" vertical="center"/>
      <protection locked="0"/>
    </xf>
    <xf numFmtId="0" fontId="80" fillId="10" borderId="103" xfId="0" applyFont="1" applyFill="1" applyBorder="1" applyAlignment="1" applyProtection="1">
      <alignment horizontal="left" vertical="center"/>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5" borderId="54" xfId="1" applyNumberFormat="1" applyFont="1" applyFill="1" applyBorder="1" applyAlignment="1" applyProtection="1">
      <alignment horizontal="center" vertical="center"/>
      <protection locked="0"/>
    </xf>
    <xf numFmtId="3" fontId="41" fillId="5" borderId="55" xfId="1" applyNumberFormat="1" applyFont="1" applyFill="1" applyBorder="1" applyAlignment="1" applyProtection="1">
      <alignment horizontal="center" vertical="center"/>
      <protection locked="0"/>
    </xf>
    <xf numFmtId="3" fontId="41" fillId="0" borderId="54" xfId="1" applyNumberFormat="1" applyFont="1" applyFill="1" applyBorder="1" applyAlignment="1" applyProtection="1">
      <alignment horizontal="center" vertical="center"/>
    </xf>
    <xf numFmtId="3" fontId="41" fillId="0" borderId="55" xfId="1" applyNumberFormat="1" applyFont="1" applyFill="1" applyBorder="1" applyAlignment="1" applyProtection="1">
      <alignment horizontal="center" vertical="center"/>
    </xf>
    <xf numFmtId="0" fontId="13" fillId="5" borderId="54"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55" xfId="0" applyFont="1" applyFill="1" applyBorder="1" applyAlignment="1" applyProtection="1">
      <alignment horizontal="left" vertical="center"/>
      <protection locked="0"/>
    </xf>
    <xf numFmtId="38" fontId="3" fillId="5" borderId="101" xfId="1" applyNumberFormat="1" applyFont="1" applyFill="1" applyBorder="1" applyAlignment="1" applyProtection="1">
      <alignment horizontal="right" vertical="center"/>
      <protection locked="0"/>
    </xf>
    <xf numFmtId="38" fontId="3" fillId="5" borderId="103" xfId="1" applyNumberFormat="1" applyFont="1" applyFill="1" applyBorder="1" applyAlignment="1" applyProtection="1">
      <alignment horizontal="right" vertical="center"/>
      <protection locked="0"/>
    </xf>
    <xf numFmtId="0" fontId="4" fillId="5" borderId="54"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55" xfId="0" applyFont="1" applyFill="1" applyBorder="1" applyAlignment="1" applyProtection="1">
      <alignment horizontal="lef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 fontId="3" fillId="5" borderId="101" xfId="0" applyNumberFormat="1" applyFont="1" applyFill="1" applyBorder="1" applyAlignment="1" applyProtection="1">
      <alignment horizontal="right" vertical="center"/>
      <protection locked="0"/>
    </xf>
    <xf numFmtId="3" fontId="3" fillId="5" borderId="103"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00" fillId="0" borderId="0" xfId="0" applyFont="1" applyAlignment="1">
      <alignment horizontal="center" vertical="center" wrapText="1"/>
    </xf>
    <xf numFmtId="38" fontId="4" fillId="5" borderId="54" xfId="0" applyNumberFormat="1" applyFont="1" applyFill="1" applyBorder="1" applyAlignment="1" applyProtection="1">
      <alignment horizontal="left" vertical="center" wrapText="1"/>
      <protection locked="0"/>
    </xf>
    <xf numFmtId="38" fontId="4" fillId="5" borderId="57" xfId="0" applyNumberFormat="1" applyFont="1" applyFill="1" applyBorder="1" applyAlignment="1" applyProtection="1">
      <alignment horizontal="left" vertical="center" wrapText="1"/>
      <protection locked="0"/>
    </xf>
    <xf numFmtId="38" fontId="4" fillId="5" borderId="55" xfId="0" applyNumberFormat="1" applyFont="1" applyFill="1" applyBorder="1" applyAlignment="1" applyProtection="1">
      <alignment horizontal="left" vertical="center" wrapText="1"/>
      <protection locked="0"/>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11" fillId="0" borderId="0" xfId="0" applyFont="1" applyAlignment="1">
      <alignment horizontal="left" vertic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8" fontId="3" fillId="5" borderId="101" xfId="1" applyNumberFormat="1" applyFont="1" applyFill="1" applyBorder="1" applyAlignment="1" applyProtection="1">
      <alignment vertical="center"/>
      <protection locked="0"/>
    </xf>
    <xf numFmtId="38" fontId="3" fillId="5" borderId="103" xfId="1" applyNumberFormat="1" applyFont="1" applyFill="1" applyBorder="1" applyAlignment="1" applyProtection="1">
      <alignment vertical="center"/>
      <protection locked="0"/>
    </xf>
    <xf numFmtId="0" fontId="10" fillId="0" borderId="0" xfId="0" applyFont="1" applyAlignment="1">
      <alignment horizontal="center" wrapText="1"/>
    </xf>
    <xf numFmtId="0" fontId="10" fillId="0" borderId="9" xfId="0" applyFont="1" applyBorder="1" applyAlignment="1">
      <alignment horizontal="center" wrapText="1"/>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54" xfId="0" applyFont="1" applyFill="1" applyBorder="1" applyAlignment="1" applyProtection="1">
      <alignment horizontal="left" vertical="center"/>
      <protection locked="0"/>
    </xf>
    <xf numFmtId="0" fontId="38" fillId="10" borderId="55"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94" xfId="0" applyFont="1" applyBorder="1" applyAlignment="1">
      <alignment horizontal="center" wrapText="1"/>
    </xf>
    <xf numFmtId="0" fontId="10" fillId="0" borderId="9" xfId="0" applyFont="1" applyBorder="1" applyAlignment="1">
      <alignment horizontal="center"/>
    </xf>
    <xf numFmtId="0" fontId="13" fillId="0" borderId="0" xfId="0" applyFont="1" applyAlignment="1">
      <alignment horizontal="left" vertical="top" wrapText="1"/>
    </xf>
    <xf numFmtId="0" fontId="171" fillId="0" borderId="0" xfId="0" applyFont="1" applyAlignment="1">
      <alignment horizontal="right"/>
    </xf>
    <xf numFmtId="0" fontId="8" fillId="0" borderId="0" xfId="0" applyFont="1" applyAlignment="1">
      <alignment horizontal="left" vertical="center"/>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164" fontId="13" fillId="11" borderId="60"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3" fillId="13" borderId="54"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5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4" borderId="60" xfId="0" applyFont="1" applyFill="1" applyBorder="1" applyAlignment="1" applyProtection="1">
      <alignment horizontal="left" vertical="top"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5" borderId="54" xfId="0" applyNumberFormat="1" applyFont="1" applyFill="1" applyBorder="1" applyAlignment="1" applyProtection="1">
      <alignment horizontal="center" vertical="center"/>
      <protection locked="0"/>
    </xf>
    <xf numFmtId="3" fontId="3" fillId="5" borderId="55" xfId="0" applyNumberFormat="1" applyFont="1" applyFill="1" applyBorder="1" applyAlignment="1" applyProtection="1">
      <alignment horizontal="center" vertical="center"/>
      <protection locked="0"/>
    </xf>
    <xf numFmtId="0" fontId="28" fillId="9" borderId="54" xfId="0" applyFont="1" applyFill="1" applyBorder="1" applyAlignment="1">
      <alignment horizontal="center" vertical="center"/>
    </xf>
    <xf numFmtId="0" fontId="0" fillId="0" borderId="57" xfId="0" applyBorder="1" applyAlignment="1"/>
    <xf numFmtId="0" fontId="0" fillId="0" borderId="55" xfId="0" applyBorder="1" applyAlignment="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13" fillId="0" borderId="59"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60" xfId="0" applyFont="1" applyBorder="1" applyAlignment="1">
      <alignment horizontal="center" wrapText="1"/>
    </xf>
    <xf numFmtId="0" fontId="37" fillId="0" borderId="57" xfId="0" applyFont="1" applyBorder="1" applyAlignment="1" applyProtection="1">
      <alignment horizontal="left" vertical="top" wrapText="1"/>
      <protection locked="0"/>
    </xf>
    <xf numFmtId="0" fontId="37" fillId="0" borderId="55" xfId="0" applyFont="1" applyBorder="1" applyAlignment="1" applyProtection="1">
      <alignment horizontal="left" vertical="top" wrapText="1"/>
      <protection locked="0"/>
    </xf>
    <xf numFmtId="0" fontId="37" fillId="13" borderId="54" xfId="0" applyFont="1" applyFill="1" applyBorder="1" applyAlignment="1" applyProtection="1">
      <alignment horizontal="left" vertical="top" wrapText="1"/>
      <protection locked="0"/>
    </xf>
    <xf numFmtId="0" fontId="37" fillId="13" borderId="57" xfId="0" applyFont="1" applyFill="1" applyBorder="1" applyAlignment="1" applyProtection="1">
      <alignment horizontal="left" vertical="top" wrapText="1"/>
      <protection locked="0"/>
    </xf>
    <xf numFmtId="0" fontId="37" fillId="13" borderId="55" xfId="0" applyFont="1" applyFill="1" applyBorder="1" applyAlignment="1" applyProtection="1">
      <alignment horizontal="left" vertical="top" wrapText="1"/>
      <protection locked="0"/>
    </xf>
    <xf numFmtId="0" fontId="28" fillId="8" borderId="54" xfId="33" applyFont="1" applyFill="1" applyBorder="1" applyAlignment="1">
      <alignment horizontal="center" vertical="center"/>
    </xf>
    <xf numFmtId="0" fontId="246" fillId="0" borderId="0" xfId="33" applyFont="1" applyAlignment="1">
      <alignment horizontal="center" vertical="center"/>
    </xf>
    <xf numFmtId="0" fontId="8" fillId="5" borderId="59" xfId="33" applyFont="1" applyFill="1" applyBorder="1" applyAlignment="1">
      <alignment horizontal="center" vertical="center" wrapText="1"/>
    </xf>
    <xf numFmtId="0" fontId="8" fillId="5" borderId="60" xfId="33" applyFont="1" applyFill="1" applyBorder="1" applyAlignment="1">
      <alignment horizontal="center" vertical="center" wrapText="1"/>
    </xf>
    <xf numFmtId="0" fontId="8" fillId="13" borderId="59" xfId="33" applyFont="1" applyFill="1" applyBorder="1" applyAlignment="1">
      <alignment horizontal="center" vertical="center" wrapText="1"/>
    </xf>
    <xf numFmtId="0" fontId="8" fillId="13" borderId="60"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3" borderId="17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77" xfId="33" applyFont="1" applyFill="1" applyBorder="1" applyAlignment="1">
      <alignment horizontal="justify" vertical="top" wrapText="1"/>
    </xf>
    <xf numFmtId="0" fontId="105" fillId="0" borderId="0" xfId="33" applyFont="1" applyAlignment="1">
      <alignment horizontal="left" wrapText="1"/>
    </xf>
    <xf numFmtId="0" fontId="92" fillId="13" borderId="54" xfId="33" applyFont="1" applyFill="1" applyBorder="1" applyAlignment="1">
      <alignment horizontal="center" vertical="center"/>
    </xf>
    <xf numFmtId="0" fontId="92" fillId="13" borderId="60" xfId="33" applyFont="1" applyFill="1" applyBorder="1" applyAlignment="1">
      <alignment horizontal="center" vertical="center"/>
    </xf>
    <xf numFmtId="0" fontId="9" fillId="13" borderId="173" xfId="33" applyFont="1" applyFill="1" applyBorder="1" applyAlignment="1">
      <alignment horizontal="justify" vertical="top" wrapText="1"/>
    </xf>
    <xf numFmtId="0" fontId="9" fillId="13" borderId="174" xfId="33" applyFont="1" applyFill="1" applyBorder="1" applyAlignment="1">
      <alignment horizontal="justify" vertical="top" wrapText="1"/>
    </xf>
    <xf numFmtId="0" fontId="9" fillId="13" borderId="175" xfId="33" applyFont="1" applyFill="1" applyBorder="1" applyAlignment="1">
      <alignment horizontal="justify" vertical="top" wrapText="1"/>
    </xf>
    <xf numFmtId="0" fontId="9" fillId="13" borderId="178" xfId="33" applyFont="1" applyFill="1" applyBorder="1" applyAlignment="1">
      <alignment horizontal="justify" vertical="top" wrapText="1"/>
    </xf>
    <xf numFmtId="0" fontId="9" fillId="13" borderId="179" xfId="33" applyFont="1" applyFill="1" applyBorder="1" applyAlignment="1">
      <alignment horizontal="justify" vertical="top" wrapText="1"/>
    </xf>
    <xf numFmtId="0" fontId="9" fillId="13" borderId="180" xfId="33" applyFont="1" applyFill="1" applyBorder="1" applyAlignment="1">
      <alignment horizontal="justify" vertical="top" wrapText="1"/>
    </xf>
    <xf numFmtId="0" fontId="24" fillId="13" borderId="181" xfId="33" applyFont="1" applyFill="1" applyBorder="1" applyAlignment="1">
      <alignment horizontal="center" vertical="center"/>
    </xf>
    <xf numFmtId="0" fontId="24" fillId="13" borderId="182" xfId="33" applyFont="1" applyFill="1" applyBorder="1" applyAlignment="1">
      <alignment horizontal="center" vertical="center"/>
    </xf>
    <xf numFmtId="0" fontId="9" fillId="5" borderId="54" xfId="33" applyFont="1" applyFill="1" applyBorder="1" applyAlignment="1" applyProtection="1">
      <alignment horizontal="left" vertical="center" wrapText="1"/>
      <protection locked="0"/>
    </xf>
    <xf numFmtId="0" fontId="9" fillId="5" borderId="183" xfId="33" applyFont="1" applyFill="1" applyBorder="1" applyAlignment="1" applyProtection="1">
      <alignment horizontal="left" vertical="center" wrapText="1"/>
      <protection locked="0"/>
    </xf>
    <xf numFmtId="0" fontId="9" fillId="13" borderId="60" xfId="33" applyFont="1" applyFill="1" applyBorder="1" applyAlignment="1">
      <alignment horizontal="left" vertical="center" wrapText="1"/>
    </xf>
    <xf numFmtId="0" fontId="24" fillId="13" borderId="54" xfId="33" applyFont="1" applyFill="1" applyBorder="1" applyAlignment="1">
      <alignment horizontal="center" vertical="center"/>
    </xf>
    <xf numFmtId="0" fontId="24" fillId="13" borderId="183" xfId="33" applyFont="1" applyFill="1" applyBorder="1" applyAlignment="1">
      <alignment horizontal="center" vertical="center"/>
    </xf>
    <xf numFmtId="0" fontId="9" fillId="13" borderId="54" xfId="33" applyFont="1" applyFill="1" applyBorder="1" applyAlignment="1">
      <alignment horizontal="left" vertical="center" wrapText="1"/>
    </xf>
    <xf numFmtId="0" fontId="9" fillId="13" borderId="183" xfId="33" applyFont="1" applyFill="1" applyBorder="1" applyAlignment="1">
      <alignment horizontal="left" vertical="center" wrapText="1"/>
    </xf>
    <xf numFmtId="0" fontId="24" fillId="13" borderId="60"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5" borderId="54" xfId="33" applyFont="1" applyFill="1" applyBorder="1" applyAlignment="1" applyProtection="1">
      <alignment horizontal="left" vertical="top" wrapText="1"/>
      <protection locked="0"/>
    </xf>
    <xf numFmtId="0" fontId="9" fillId="5" borderId="57" xfId="33" applyFont="1" applyFill="1" applyBorder="1" applyAlignment="1" applyProtection="1">
      <alignment horizontal="left" vertical="top" wrapText="1"/>
      <protection locked="0"/>
    </xf>
    <xf numFmtId="0" fontId="9" fillId="5" borderId="55" xfId="33" applyFont="1" applyFill="1" applyBorder="1" applyAlignment="1" applyProtection="1">
      <alignment horizontal="left" vertical="top" wrapText="1"/>
      <protection locked="0"/>
    </xf>
    <xf numFmtId="10" fontId="9" fillId="5" borderId="54" xfId="33" applyNumberFormat="1" applyFont="1" applyFill="1" applyBorder="1" applyAlignment="1" applyProtection="1">
      <alignment horizontal="center" vertical="center" wrapText="1"/>
      <protection locked="0"/>
    </xf>
    <xf numFmtId="0" fontId="9" fillId="5" borderId="57" xfId="33" applyFont="1" applyFill="1" applyBorder="1" applyAlignment="1" applyProtection="1">
      <alignment horizontal="center" vertical="center" wrapText="1"/>
      <protection locked="0"/>
    </xf>
    <xf numFmtId="0" fontId="9" fillId="5" borderId="55"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4" fillId="5" borderId="54" xfId="33" applyFont="1" applyFill="1" applyBorder="1" applyAlignment="1" applyProtection="1">
      <alignment horizontal="center" vertical="center"/>
      <protection locked="0"/>
    </xf>
    <xf numFmtId="0" fontId="24" fillId="5" borderId="55" xfId="33" applyFont="1" applyFill="1" applyBorder="1" applyAlignment="1" applyProtection="1">
      <alignment horizontal="center" vertical="center"/>
      <protection locked="0"/>
    </xf>
    <xf numFmtId="0" fontId="9" fillId="5" borderId="181" xfId="33" applyFont="1" applyFill="1" applyBorder="1" applyAlignment="1" applyProtection="1">
      <alignment horizontal="left" vertical="center" wrapText="1"/>
      <protection locked="0"/>
    </xf>
    <xf numFmtId="0" fontId="9" fillId="5" borderId="184" xfId="33" applyFont="1" applyFill="1" applyBorder="1" applyAlignment="1" applyProtection="1">
      <alignment horizontal="left" vertical="center" wrapText="1"/>
      <protection locked="0"/>
    </xf>
    <xf numFmtId="0" fontId="9" fillId="5" borderId="185" xfId="33" applyFont="1" applyFill="1" applyBorder="1" applyAlignment="1" applyProtection="1">
      <alignment horizontal="left" vertical="center" wrapText="1"/>
      <protection locked="0"/>
    </xf>
    <xf numFmtId="0" fontId="9" fillId="5" borderId="186" xfId="33" applyFont="1" applyFill="1" applyBorder="1" applyAlignment="1" applyProtection="1">
      <alignment horizontal="left" vertical="center" wrapText="1"/>
      <protection locked="0"/>
    </xf>
    <xf numFmtId="0" fontId="9" fillId="5" borderId="182" xfId="33" applyFont="1" applyFill="1" applyBorder="1" applyAlignment="1" applyProtection="1">
      <alignment horizontal="left" vertical="center" wrapText="1"/>
      <protection locked="0"/>
    </xf>
    <xf numFmtId="0" fontId="9" fillId="13" borderId="181" xfId="33" applyFont="1" applyFill="1" applyBorder="1" applyAlignment="1">
      <alignment horizontal="left" vertical="center" wrapText="1"/>
    </xf>
    <xf numFmtId="0" fontId="9" fillId="13" borderId="186" xfId="33" applyFont="1" applyFill="1" applyBorder="1" applyAlignment="1">
      <alignment horizontal="left" vertical="center" wrapText="1"/>
    </xf>
    <xf numFmtId="0" fontId="9" fillId="13" borderId="182" xfId="33" applyFont="1" applyFill="1" applyBorder="1" applyAlignment="1">
      <alignment horizontal="left" vertical="center" wrapText="1"/>
    </xf>
    <xf numFmtId="0" fontId="24" fillId="5" borderId="54" xfId="33" applyFont="1" applyFill="1" applyBorder="1" applyAlignment="1" applyProtection="1">
      <alignment horizontal="left" vertical="top"/>
      <protection locked="0"/>
    </xf>
    <xf numFmtId="0" fontId="24" fillId="5" borderId="57" xfId="33" applyFont="1" applyFill="1" applyBorder="1" applyAlignment="1" applyProtection="1">
      <alignment horizontal="left" vertical="top"/>
      <protection locked="0"/>
    </xf>
    <xf numFmtId="0" fontId="24" fillId="5" borderId="194" xfId="33" applyFont="1" applyFill="1" applyBorder="1" applyAlignment="1" applyProtection="1">
      <alignment horizontal="left" vertical="top"/>
      <protection locked="0"/>
    </xf>
    <xf numFmtId="0" fontId="24" fillId="13" borderId="56" xfId="33" applyFont="1" applyFill="1" applyBorder="1" applyAlignment="1">
      <alignment horizontal="center" vertical="center"/>
    </xf>
    <xf numFmtId="0" fontId="24" fillId="13" borderId="59" xfId="33" applyFont="1" applyFill="1" applyBorder="1" applyAlignment="1">
      <alignment horizontal="center" vertical="center"/>
    </xf>
    <xf numFmtId="0" fontId="9" fillId="5" borderId="54"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center" vertical="center" wrapText="1"/>
      <protection locked="0"/>
    </xf>
    <xf numFmtId="0" fontId="9" fillId="5" borderId="60" xfId="33" applyFont="1" applyFill="1" applyBorder="1" applyAlignment="1" applyProtection="1">
      <alignment horizontal="left" vertical="center" wrapText="1"/>
      <protection locked="0"/>
    </xf>
    <xf numFmtId="0" fontId="9" fillId="0" borderId="9" xfId="33" applyFont="1" applyBorder="1" applyAlignment="1">
      <alignment horizontal="left" vertical="center" wrapText="1"/>
    </xf>
    <xf numFmtId="0" fontId="24" fillId="5" borderId="54" xfId="33" applyFont="1" applyFill="1" applyBorder="1" applyAlignment="1" applyProtection="1">
      <alignment horizontal="center" vertical="center" wrapText="1"/>
      <protection locked="0"/>
    </xf>
    <xf numFmtId="0" fontId="24" fillId="5" borderId="57" xfId="33" applyFont="1" applyFill="1" applyBorder="1" applyAlignment="1" applyProtection="1">
      <alignment horizontal="center" vertical="center" wrapText="1"/>
      <protection locked="0"/>
    </xf>
    <xf numFmtId="0" fontId="24" fillId="5" borderId="55" xfId="33" applyFont="1" applyFill="1" applyBorder="1" applyAlignment="1" applyProtection="1">
      <alignment horizontal="center" vertical="center" wrapText="1"/>
      <protection locked="0"/>
    </xf>
    <xf numFmtId="0" fontId="24" fillId="13" borderId="57" xfId="33" applyFont="1" applyFill="1" applyBorder="1" applyAlignment="1">
      <alignment horizontal="center" vertical="center"/>
    </xf>
    <xf numFmtId="0" fontId="24" fillId="13" borderId="55" xfId="33" applyFont="1" applyFill="1" applyBorder="1" applyAlignment="1">
      <alignment horizontal="center" vertical="center"/>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01" xfId="33" applyFont="1" applyFill="1" applyBorder="1" applyAlignment="1" applyProtection="1">
      <alignment horizontal="left" vertical="center"/>
      <protection locked="0"/>
    </xf>
    <xf numFmtId="0" fontId="24" fillId="5" borderId="102" xfId="33" applyFont="1" applyFill="1" applyBorder="1" applyAlignment="1" applyProtection="1">
      <alignment horizontal="left" vertical="center"/>
      <protection locked="0"/>
    </xf>
    <xf numFmtId="0" fontId="24" fillId="5" borderId="103" xfId="33" applyFont="1" applyFill="1" applyBorder="1" applyAlignment="1" applyProtection="1">
      <alignment horizontal="left" vertical="center"/>
      <protection locked="0"/>
    </xf>
    <xf numFmtId="0" fontId="24" fillId="0" borderId="0" xfId="33" applyFont="1" applyAlignment="1">
      <alignment horizontal="left" vertical="center"/>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54" xfId="33" applyFont="1" applyFill="1" applyBorder="1" applyAlignment="1" applyProtection="1">
      <alignment horizontal="left" vertical="center" wrapText="1"/>
      <protection locked="0"/>
    </xf>
    <xf numFmtId="0" fontId="9" fillId="10" borderId="57"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9" fillId="5" borderId="101" xfId="33" applyFont="1" applyFill="1" applyBorder="1" applyAlignment="1" applyProtection="1">
      <alignment vertical="top" wrapText="1"/>
      <protection locked="0"/>
    </xf>
    <xf numFmtId="0" fontId="9" fillId="5" borderId="102" xfId="33" applyFont="1" applyFill="1" applyBorder="1" applyAlignment="1" applyProtection="1">
      <alignment vertical="top" wrapText="1"/>
      <protection locked="0"/>
    </xf>
    <xf numFmtId="0" fontId="9" fillId="5" borderId="103" xfId="33" applyFont="1" applyFill="1" applyBorder="1" applyAlignment="1" applyProtection="1">
      <alignment vertical="top" wrapText="1"/>
      <protection locked="0"/>
    </xf>
    <xf numFmtId="0" fontId="9" fillId="5" borderId="101" xfId="33" applyFont="1" applyFill="1" applyBorder="1" applyAlignment="1" applyProtection="1">
      <alignment horizontal="left" vertical="top" wrapText="1"/>
      <protection locked="0"/>
    </xf>
    <xf numFmtId="0" fontId="9" fillId="5" borderId="102" xfId="33" applyFont="1" applyFill="1" applyBorder="1" applyAlignment="1" applyProtection="1">
      <alignment horizontal="left" vertical="top" wrapText="1"/>
      <protection locked="0"/>
    </xf>
    <xf numFmtId="0" fontId="9" fillId="5" borderId="103" xfId="33" applyFont="1" applyFill="1" applyBorder="1" applyAlignment="1" applyProtection="1">
      <alignment horizontal="left" vertical="top" wrapText="1"/>
      <protection locked="0"/>
    </xf>
    <xf numFmtId="0" fontId="24" fillId="5" borderId="56" xfId="33" applyFont="1" applyFill="1" applyBorder="1" applyAlignment="1" applyProtection="1">
      <alignment vertical="center"/>
      <protection locked="0"/>
    </xf>
    <xf numFmtId="0" fontId="24" fillId="5" borderId="194" xfId="33" applyFont="1" applyFill="1" applyBorder="1" applyAlignment="1" applyProtection="1">
      <alignment vertical="center"/>
      <protection locked="0"/>
    </xf>
    <xf numFmtId="0" fontId="24" fillId="5" borderId="101" xfId="33" applyFont="1" applyFill="1" applyBorder="1" applyAlignment="1" applyProtection="1">
      <alignment horizontal="center" vertical="center"/>
      <protection locked="0"/>
    </xf>
    <xf numFmtId="0" fontId="24" fillId="5" borderId="103" xfId="33" applyFont="1" applyFill="1" applyBorder="1" applyAlignment="1" applyProtection="1">
      <alignment horizontal="center" vertical="center"/>
      <protection locked="0"/>
    </xf>
    <xf numFmtId="0" fontId="9" fillId="5" borderId="101" xfId="33" applyFont="1" applyFill="1" applyBorder="1" applyAlignment="1" applyProtection="1">
      <alignment horizontal="left" vertical="center" wrapText="1"/>
      <protection locked="0"/>
    </xf>
    <xf numFmtId="0" fontId="9" fillId="5" borderId="102"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6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01" xfId="33" applyFont="1" applyFill="1" applyBorder="1" applyAlignment="1" applyProtection="1">
      <alignment horizontal="center" vertical="top"/>
      <protection locked="0"/>
    </xf>
    <xf numFmtId="0" fontId="24" fillId="5" borderId="103"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center"/>
      <protection locked="0"/>
    </xf>
    <xf numFmtId="0" fontId="24" fillId="5" borderId="8" xfId="33" applyFont="1" applyFill="1" applyBorder="1" applyAlignment="1" applyProtection="1">
      <alignment horizontal="center" vertical="center"/>
      <protection locked="0"/>
    </xf>
    <xf numFmtId="0" fontId="24" fillId="13" borderId="137" xfId="33" applyFont="1" applyFill="1" applyBorder="1" applyAlignment="1">
      <alignment horizontal="center" vertical="center"/>
    </xf>
    <xf numFmtId="0" fontId="24" fillId="5" borderId="22" xfId="33" applyFont="1" applyFill="1" applyBorder="1" applyAlignment="1" applyProtection="1">
      <alignment horizontal="center" vertical="center"/>
      <protection locked="0"/>
    </xf>
    <xf numFmtId="0" fontId="24" fillId="5" borderId="188" xfId="33" applyFont="1" applyFill="1" applyBorder="1" applyAlignment="1" applyProtection="1">
      <alignment horizontal="center" vertical="center"/>
      <protection locked="0"/>
    </xf>
    <xf numFmtId="0" fontId="24" fillId="5" borderId="25" xfId="33" applyFont="1" applyFill="1" applyBorder="1" applyAlignment="1" applyProtection="1">
      <alignment horizontal="center" vertical="center"/>
      <protection locked="0"/>
    </xf>
    <xf numFmtId="0" fontId="24" fillId="5" borderId="189" xfId="33" applyFont="1" applyFill="1" applyBorder="1" applyAlignment="1" applyProtection="1">
      <alignment horizontal="center" vertical="center"/>
      <protection locked="0"/>
    </xf>
    <xf numFmtId="0" fontId="3" fillId="5" borderId="54" xfId="33" applyFont="1" applyFill="1" applyBorder="1" applyAlignment="1" applyProtection="1">
      <alignment horizontal="left" vertical="center" wrapText="1"/>
      <protection locked="0"/>
    </xf>
    <xf numFmtId="0" fontId="3" fillId="5" borderId="57" xfId="33" applyFont="1" applyFill="1" applyBorder="1" applyAlignment="1" applyProtection="1">
      <alignment horizontal="left" vertical="center" wrapText="1"/>
      <protection locked="0"/>
    </xf>
    <xf numFmtId="0" fontId="3" fillId="5" borderId="55" xfId="33" applyFont="1" applyFill="1" applyBorder="1" applyAlignment="1" applyProtection="1">
      <alignment horizontal="left" vertical="center" wrapText="1"/>
      <protection locked="0"/>
    </xf>
    <xf numFmtId="0" fontId="24" fillId="5" borderId="187"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51" fillId="0" borderId="0" xfId="33" applyFont="1" applyAlignment="1">
      <alignment horizontal="center"/>
    </xf>
    <xf numFmtId="38" fontId="105" fillId="0" borderId="54" xfId="33" applyNumberFormat="1" applyFont="1" applyBorder="1" applyAlignment="1">
      <alignment horizontal="center" vertical="center"/>
    </xf>
    <xf numFmtId="0" fontId="105" fillId="0" borderId="55" xfId="33" applyFont="1" applyBorder="1" applyAlignment="1">
      <alignment horizontal="center" vertical="center"/>
    </xf>
    <xf numFmtId="0" fontId="9" fillId="5" borderId="190" xfId="33" applyFont="1" applyFill="1" applyBorder="1" applyAlignment="1" applyProtection="1">
      <alignment horizontal="left" vertical="center" wrapText="1"/>
      <protection locked="0"/>
    </xf>
    <xf numFmtId="0" fontId="9" fillId="5" borderId="191" xfId="33" applyFont="1" applyFill="1" applyBorder="1" applyAlignment="1" applyProtection="1">
      <alignment horizontal="left" vertical="center" wrapText="1"/>
      <protection locked="0"/>
    </xf>
    <xf numFmtId="0" fontId="9" fillId="5" borderId="54" xfId="33" applyFont="1" applyFill="1" applyBorder="1" applyAlignment="1" applyProtection="1">
      <alignment horizontal="center" vertical="center"/>
      <protection locked="0"/>
    </xf>
    <xf numFmtId="0" fontId="9" fillId="5" borderId="57" xfId="33" applyFont="1" applyFill="1" applyBorder="1" applyAlignment="1" applyProtection="1">
      <alignment horizontal="center" vertical="center"/>
      <protection locked="0"/>
    </xf>
    <xf numFmtId="0" fontId="9" fillId="5" borderId="55" xfId="33" applyFont="1" applyFill="1" applyBorder="1" applyAlignment="1" applyProtection="1">
      <alignment horizontal="center" vertical="center"/>
      <protection locked="0"/>
    </xf>
    <xf numFmtId="0" fontId="9" fillId="5" borderId="101" xfId="33" applyFont="1" applyFill="1" applyBorder="1" applyAlignment="1" applyProtection="1">
      <alignment horizontal="center" vertical="center"/>
      <protection locked="0"/>
    </xf>
    <xf numFmtId="0" fontId="9" fillId="5" borderId="187" xfId="33" applyFont="1" applyFill="1" applyBorder="1" applyAlignment="1" applyProtection="1">
      <alignment horizontal="center" vertical="center"/>
      <protection locked="0"/>
    </xf>
    <xf numFmtId="0" fontId="9" fillId="5" borderId="22" xfId="33" applyFont="1" applyFill="1" applyBorder="1" applyAlignment="1" applyProtection="1">
      <alignment horizontal="center" vertical="center"/>
      <protection locked="0"/>
    </xf>
    <xf numFmtId="0" fontId="9" fillId="5" borderId="18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92" xfId="33" applyFont="1" applyFill="1" applyBorder="1" applyAlignment="1" applyProtection="1">
      <alignment horizontal="center" vertical="top"/>
      <protection locked="0"/>
    </xf>
    <xf numFmtId="0" fontId="9" fillId="13" borderId="184" xfId="33" applyFont="1" applyFill="1" applyBorder="1" applyAlignment="1">
      <alignment horizontal="left" vertical="center" wrapText="1"/>
    </xf>
    <xf numFmtId="0" fontId="9" fillId="13" borderId="185"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101" xfId="33" applyFont="1" applyFill="1" applyBorder="1" applyAlignment="1" applyProtection="1">
      <alignment vertical="center"/>
      <protection locked="0"/>
    </xf>
    <xf numFmtId="0" fontId="24" fillId="5" borderId="102" xfId="33" applyFont="1" applyFill="1" applyBorder="1" applyAlignment="1" applyProtection="1">
      <alignment vertical="center"/>
      <protection locked="0"/>
    </xf>
    <xf numFmtId="0" fontId="24" fillId="5" borderId="103" xfId="33" applyFont="1" applyFill="1" applyBorder="1" applyAlignment="1" applyProtection="1">
      <alignment vertical="center"/>
      <protection locked="0"/>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23" xfId="33" applyFont="1" applyFill="1" applyBorder="1" applyAlignment="1" applyProtection="1">
      <alignment horizontal="center" vertical="center"/>
      <protection locked="0"/>
    </xf>
    <xf numFmtId="0" fontId="9" fillId="5" borderId="57" xfId="33" applyFont="1" applyFill="1" applyBorder="1" applyAlignment="1" applyProtection="1">
      <alignment horizontal="left" vertical="center" wrapText="1"/>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5" borderId="55" xfId="33" applyFont="1" applyFill="1" applyBorder="1" applyAlignment="1" applyProtection="1">
      <alignment horizontal="left" vertical="center" wrapText="1"/>
      <protection locked="0"/>
    </xf>
    <xf numFmtId="0" fontId="9" fillId="13" borderId="57" xfId="33" applyFont="1" applyFill="1" applyBorder="1" applyAlignment="1">
      <alignment horizontal="left" vertical="center" wrapText="1"/>
    </xf>
    <xf numFmtId="0" fontId="9" fillId="13" borderId="55" xfId="33" applyFont="1" applyFill="1" applyBorder="1" applyAlignment="1">
      <alignment horizontal="left" vertical="center" wrapText="1"/>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0" borderId="0" xfId="33" applyFont="1" applyAlignment="1">
      <alignment vertical="center"/>
    </xf>
    <xf numFmtId="0" fontId="9" fillId="0" borderId="0" xfId="33" applyFont="1" applyAlignment="1">
      <alignment vertical="center" wrapText="1"/>
    </xf>
    <xf numFmtId="0" fontId="24" fillId="5" borderId="54" xfId="33" applyFont="1" applyFill="1" applyBorder="1" applyAlignment="1" applyProtection="1">
      <alignment horizontal="center" vertical="top"/>
      <protection locked="0"/>
    </xf>
    <xf numFmtId="0" fontId="24" fillId="5" borderId="55" xfId="33" applyFont="1" applyFill="1" applyBorder="1" applyAlignment="1" applyProtection="1">
      <alignment horizontal="center" vertical="top"/>
      <protection locked="0"/>
    </xf>
    <xf numFmtId="0" fontId="24" fillId="5" borderId="60" xfId="33" applyFont="1" applyFill="1" applyBorder="1" applyAlignment="1" applyProtection="1">
      <alignment horizontal="center" vertical="top"/>
      <protection locked="0"/>
    </xf>
    <xf numFmtId="0" fontId="253" fillId="8" borderId="54" xfId="37" applyFont="1" applyFill="1" applyBorder="1" applyAlignment="1">
      <alignment horizontal="center" vertical="center"/>
    </xf>
    <xf numFmtId="0" fontId="253" fillId="8" borderId="57" xfId="37" applyFont="1" applyFill="1" applyBorder="1" applyAlignment="1">
      <alignment horizontal="center" vertical="center"/>
    </xf>
    <xf numFmtId="0" fontId="253" fillId="8" borderId="55"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9" fillId="0" borderId="0" xfId="37" applyFont="1" applyAlignment="1">
      <alignment horizontal="center"/>
    </xf>
    <xf numFmtId="0" fontId="86" fillId="0" borderId="5" xfId="37" applyFont="1" applyBorder="1" applyAlignment="1">
      <alignment horizontal="center"/>
    </xf>
    <xf numFmtId="0" fontId="24" fillId="0" borderId="56" xfId="37" applyFont="1" applyBorder="1" applyAlignment="1">
      <alignment horizontal="center" vertical="center" wrapText="1"/>
    </xf>
    <xf numFmtId="0" fontId="24" fillId="0" borderId="194"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56" xfId="37" applyFont="1" applyBorder="1" applyAlignment="1">
      <alignment horizontal="center" vertical="center"/>
    </xf>
    <xf numFmtId="0" fontId="24" fillId="0" borderId="194"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 fillId="0" borderId="54" xfId="37" applyFont="1" applyBorder="1" applyAlignment="1">
      <alignment horizontal="center" vertical="center"/>
    </xf>
    <xf numFmtId="0" fontId="24" fillId="0" borderId="57" xfId="37" applyFont="1" applyBorder="1" applyAlignment="1">
      <alignment horizontal="center" vertical="center"/>
    </xf>
    <xf numFmtId="0" fontId="24" fillId="0" borderId="55" xfId="37" applyFont="1" applyBorder="1" applyAlignment="1">
      <alignment horizontal="center" vertical="center"/>
    </xf>
    <xf numFmtId="0" fontId="130" fillId="10" borderId="54" xfId="37" applyFont="1" applyFill="1" applyBorder="1" applyAlignment="1" applyProtection="1">
      <alignment horizontal="center" vertical="center"/>
      <protection locked="0"/>
    </xf>
    <xf numFmtId="0" fontId="130" fillId="10" borderId="57" xfId="37" applyFont="1" applyFill="1" applyBorder="1" applyAlignment="1" applyProtection="1">
      <alignment horizontal="center" vertical="center"/>
      <protection locked="0"/>
    </xf>
    <xf numFmtId="0" fontId="130" fillId="10" borderId="55" xfId="37" applyFont="1" applyFill="1" applyBorder="1" applyAlignment="1" applyProtection="1">
      <alignment horizontal="center" vertical="center"/>
      <protection locked="0"/>
    </xf>
    <xf numFmtId="0" fontId="130" fillId="13" borderId="54" xfId="37" applyFont="1" applyFill="1" applyBorder="1" applyAlignment="1">
      <alignment horizontal="center" vertical="center"/>
    </xf>
    <xf numFmtId="0" fontId="130" fillId="13" borderId="57" xfId="37" applyFont="1" applyFill="1" applyBorder="1" applyAlignment="1">
      <alignment horizontal="center" vertical="center"/>
    </xf>
    <xf numFmtId="0" fontId="130" fillId="13" borderId="55" xfId="37" applyFont="1" applyFill="1" applyBorder="1" applyAlignment="1">
      <alignment horizontal="center" vertical="center"/>
    </xf>
    <xf numFmtId="0" fontId="110" fillId="0" borderId="54" xfId="37" applyFont="1" applyBorder="1" applyAlignment="1">
      <alignment horizontal="left" vertical="center" wrapText="1"/>
    </xf>
    <xf numFmtId="0" fontId="110" fillId="0" borderId="57" xfId="37" applyFont="1" applyBorder="1" applyAlignment="1">
      <alignment horizontal="left" vertical="center" wrapText="1"/>
    </xf>
    <xf numFmtId="0" fontId="110" fillId="0" borderId="55" xfId="37" applyFont="1" applyBorder="1" applyAlignment="1">
      <alignment horizontal="left" vertical="center" wrapText="1"/>
    </xf>
    <xf numFmtId="0" fontId="9" fillId="0" borderId="0" xfId="37" applyFont="1" applyAlignment="1">
      <alignment horizontal="left" vertical="center" wrapText="1"/>
    </xf>
    <xf numFmtId="0" fontId="255" fillId="0" borderId="91" xfId="37" applyFont="1" applyBorder="1" applyAlignment="1">
      <alignment horizontal="center" vertical="center"/>
    </xf>
    <xf numFmtId="0" fontId="255" fillId="0" borderId="62" xfId="37" applyFont="1" applyBorder="1" applyAlignment="1">
      <alignment horizontal="center" vertical="center"/>
    </xf>
    <xf numFmtId="0" fontId="261" fillId="0" borderId="91" xfId="37" applyFont="1" applyBorder="1" applyAlignment="1">
      <alignment horizontal="center" vertical="center"/>
    </xf>
    <xf numFmtId="0" fontId="261" fillId="0" borderId="62" xfId="37" applyFont="1" applyBorder="1" applyAlignment="1">
      <alignment horizontal="center" vertical="center"/>
    </xf>
    <xf numFmtId="0" fontId="130" fillId="10" borderId="56" xfId="37" applyFont="1" applyFill="1" applyBorder="1" applyAlignment="1" applyProtection="1">
      <alignment horizontal="center" vertical="center"/>
      <protection locked="0"/>
    </xf>
    <xf numFmtId="0" fontId="130" fillId="10" borderId="194"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89" xfId="37" applyFont="1" applyFill="1" applyBorder="1" applyAlignment="1">
      <alignment horizontal="center" vertical="center"/>
    </xf>
    <xf numFmtId="0" fontId="130" fillId="13" borderId="65"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94"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9" fillId="0" borderId="0" xfId="37" applyFont="1" applyAlignment="1">
      <alignment horizontal="left" vertical="top" wrapText="1"/>
    </xf>
    <xf numFmtId="0" fontId="24" fillId="5" borderId="54" xfId="37" applyFont="1" applyFill="1" applyBorder="1" applyAlignment="1" applyProtection="1">
      <alignment horizontal="left" vertical="center"/>
      <protection locked="0"/>
    </xf>
    <xf numFmtId="0" fontId="24" fillId="5" borderId="57" xfId="37" applyFont="1" applyFill="1" applyBorder="1" applyAlignment="1" applyProtection="1">
      <alignment horizontal="left" vertical="center"/>
      <protection locked="0"/>
    </xf>
    <xf numFmtId="0" fontId="24" fillId="5" borderId="55" xfId="37" applyFont="1" applyFill="1" applyBorder="1" applyAlignment="1" applyProtection="1">
      <alignment horizontal="left" vertical="center"/>
      <protection locked="0"/>
    </xf>
    <xf numFmtId="0" fontId="9" fillId="13" borderId="54" xfId="37" applyFont="1" applyFill="1" applyBorder="1" applyAlignment="1">
      <alignment horizontal="left" vertical="top" wrapText="1"/>
    </xf>
    <xf numFmtId="0" fontId="9" fillId="13" borderId="57" xfId="37" applyFont="1" applyFill="1" applyBorder="1" applyAlignment="1">
      <alignment horizontal="left" vertical="top" wrapText="1"/>
    </xf>
    <xf numFmtId="0" fontId="9" fillId="13" borderId="55" xfId="37" applyFont="1" applyFill="1" applyBorder="1" applyAlignment="1">
      <alignment horizontal="left" vertical="top" wrapText="1"/>
    </xf>
    <xf numFmtId="0" fontId="3" fillId="0" borderId="50" xfId="37" applyBorder="1" applyAlignment="1">
      <alignment horizontal="center" wrapText="1"/>
    </xf>
    <xf numFmtId="0" fontId="3" fillId="0" borderId="0" xfId="37" applyAlignment="1">
      <alignment horizontal="center" wrapText="1"/>
    </xf>
    <xf numFmtId="0" fontId="3" fillId="0" borderId="9" xfId="37" applyBorder="1" applyAlignment="1">
      <alignment horizontal="center" wrapText="1"/>
    </xf>
    <xf numFmtId="0" fontId="9" fillId="10" borderId="101" xfId="37" applyFont="1" applyFill="1" applyBorder="1" applyAlignment="1" applyProtection="1">
      <alignment horizontal="left" vertical="center"/>
      <protection locked="0"/>
    </xf>
    <xf numFmtId="0" fontId="9" fillId="10" borderId="102" xfId="37" applyFont="1" applyFill="1" applyBorder="1" applyAlignment="1" applyProtection="1">
      <alignment horizontal="left" vertical="center"/>
      <protection locked="0"/>
    </xf>
    <xf numFmtId="0" fontId="9" fillId="10" borderId="194"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3" fontId="9" fillId="10" borderId="101" xfId="37" applyNumberFormat="1" applyFont="1" applyFill="1" applyBorder="1" applyAlignment="1" applyProtection="1">
      <alignment horizontal="center" vertical="center"/>
      <protection locked="0"/>
    </xf>
    <xf numFmtId="3" fontId="9" fillId="10" borderId="103" xfId="37" applyNumberFormat="1" applyFont="1" applyFill="1" applyBorder="1" applyAlignment="1" applyProtection="1">
      <alignment horizontal="center" vertical="center"/>
      <protection locked="0"/>
    </xf>
    <xf numFmtId="3" fontId="9" fillId="13" borderId="101" xfId="37" applyNumberFormat="1" applyFont="1" applyFill="1" applyBorder="1" applyAlignment="1">
      <alignment horizontal="center" vertical="center"/>
    </xf>
    <xf numFmtId="3" fontId="9" fillId="13" borderId="102" xfId="37" applyNumberFormat="1" applyFont="1" applyFill="1" applyBorder="1" applyAlignment="1">
      <alignment horizontal="center" vertical="center"/>
    </xf>
    <xf numFmtId="3" fontId="9" fillId="13" borderId="103" xfId="37" applyNumberFormat="1"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126" fillId="5" borderId="54" xfId="37" applyFont="1" applyFill="1" applyBorder="1" applyAlignment="1" applyProtection="1">
      <alignment horizontal="left" vertical="top" wrapText="1"/>
      <protection locked="0"/>
    </xf>
    <xf numFmtId="0" fontId="126" fillId="5" borderId="57" xfId="37" applyFont="1" applyFill="1" applyBorder="1" applyAlignment="1" applyProtection="1">
      <alignment horizontal="left" vertical="top" wrapText="1"/>
      <protection locked="0"/>
    </xf>
    <xf numFmtId="0" fontId="126" fillId="5" borderId="55" xfId="37" applyFont="1" applyFill="1" applyBorder="1" applyAlignment="1" applyProtection="1">
      <alignment horizontal="left" vertical="top" wrapText="1"/>
      <protection locked="0"/>
    </xf>
    <xf numFmtId="0" fontId="9" fillId="0" borderId="0" xfId="37" quotePrefix="1" applyFont="1" applyAlignment="1">
      <alignment horizontal="left" vertical="center" wrapText="1"/>
    </xf>
    <xf numFmtId="0" fontId="126" fillId="0" borderId="0" xfId="37" applyFont="1" applyAlignment="1">
      <alignment horizont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3" fontId="9" fillId="0" borderId="101" xfId="37" applyNumberFormat="1" applyFont="1" applyBorder="1" applyAlignment="1">
      <alignment horizontal="center" vertical="center"/>
    </xf>
    <xf numFmtId="3" fontId="9" fillId="0" borderId="103"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54" xfId="37" applyNumberFormat="1" applyFont="1" applyBorder="1" applyAlignment="1">
      <alignment horizontal="center" vertical="center"/>
    </xf>
    <xf numFmtId="4" fontId="131" fillId="0" borderId="57" xfId="37" applyNumberFormat="1" applyFont="1" applyBorder="1" applyAlignment="1">
      <alignment horizontal="center" vertical="center"/>
    </xf>
    <xf numFmtId="4" fontId="131" fillId="0" borderId="55"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102" xfId="37" applyNumberFormat="1" applyFont="1" applyBorder="1" applyAlignment="1">
      <alignment horizontal="center" vertical="center"/>
    </xf>
    <xf numFmtId="0" fontId="9" fillId="0" borderId="54" xfId="37" applyFont="1" applyBorder="1" applyAlignment="1">
      <alignment horizontal="center" vertical="center"/>
    </xf>
    <xf numFmtId="0" fontId="9" fillId="0" borderId="55"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0" fontId="27" fillId="5" borderId="54" xfId="37" applyFont="1" applyFill="1" applyBorder="1" applyAlignment="1" applyProtection="1">
      <alignment horizontal="left" vertical="top" wrapText="1"/>
      <protection locked="0"/>
    </xf>
    <xf numFmtId="0" fontId="27" fillId="5" borderId="57" xfId="37" applyFont="1" applyFill="1" applyBorder="1" applyAlignment="1" applyProtection="1">
      <alignment horizontal="left" vertical="top" wrapText="1"/>
      <protection locked="0"/>
    </xf>
    <xf numFmtId="0" fontId="27" fillId="5" borderId="55" xfId="37" applyFont="1" applyFill="1" applyBorder="1" applyAlignment="1" applyProtection="1">
      <alignment horizontal="left" vertical="top" wrapText="1"/>
      <protection locked="0"/>
    </xf>
    <xf numFmtId="0" fontId="9" fillId="0" borderId="0" xfId="37" applyFont="1" applyAlignment="1">
      <alignment horizontal="left" wrapText="1"/>
    </xf>
    <xf numFmtId="10" fontId="24" fillId="0" borderId="54" xfId="37" applyNumberFormat="1" applyFont="1" applyBorder="1" applyAlignment="1">
      <alignment horizontal="center" vertical="center"/>
    </xf>
    <xf numFmtId="10" fontId="24" fillId="0" borderId="55" xfId="37" applyNumberFormat="1" applyFont="1" applyBorder="1" applyAlignment="1">
      <alignment horizontal="center" vertical="center"/>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108"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52" xfId="37" applyFont="1" applyFill="1" applyBorder="1" applyAlignment="1">
      <alignment horizontal="center" vertical="center"/>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0" xfId="37" applyFont="1" applyAlignment="1">
      <alignment horizontal="center" vertical="center"/>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5"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6" xfId="37" applyBorder="1" applyAlignment="1">
      <alignment horizontal="center" wrapText="1"/>
    </xf>
    <xf numFmtId="0" fontId="9" fillId="5" borderId="60" xfId="37" applyFont="1" applyFill="1" applyBorder="1" applyAlignment="1" applyProtection="1">
      <alignment horizontal="left" vertical="center"/>
      <protection locked="0"/>
    </xf>
    <xf numFmtId="0" fontId="9" fillId="5" borderId="60" xfId="37" applyFont="1" applyFill="1" applyBorder="1" applyAlignment="1" applyProtection="1">
      <alignment horizontal="center" vertical="center"/>
      <protection locked="0"/>
    </xf>
    <xf numFmtId="0" fontId="9" fillId="10" borderId="101" xfId="37" applyFont="1" applyFill="1" applyBorder="1" applyAlignment="1" applyProtection="1">
      <alignment horizontal="left" vertical="center" wrapText="1"/>
      <protection locked="0"/>
    </xf>
    <xf numFmtId="0" fontId="9" fillId="10" borderId="102" xfId="37" applyFont="1" applyFill="1" applyBorder="1" applyAlignment="1" applyProtection="1">
      <alignment horizontal="left" vertical="center" wrapText="1"/>
      <protection locked="0"/>
    </xf>
    <xf numFmtId="0" fontId="9" fillId="10" borderId="103" xfId="37" applyFont="1" applyFill="1" applyBorder="1" applyAlignment="1" applyProtection="1">
      <alignment horizontal="left" vertical="center" wrapText="1"/>
      <protection locked="0"/>
    </xf>
    <xf numFmtId="0" fontId="9" fillId="10" borderId="101" xfId="37" applyFont="1" applyFill="1" applyBorder="1" applyAlignment="1" applyProtection="1">
      <alignment horizontal="center" vertical="center" wrapText="1"/>
      <protection locked="0"/>
    </xf>
    <xf numFmtId="0" fontId="9" fillId="10" borderId="103" xfId="37" applyFont="1" applyFill="1" applyBorder="1" applyAlignment="1" applyProtection="1">
      <alignment horizontal="center" vertical="center" wrapText="1"/>
      <protection locked="0"/>
    </xf>
    <xf numFmtId="0" fontId="24" fillId="5" borderId="101" xfId="37" applyFont="1" applyFill="1" applyBorder="1" applyAlignment="1" applyProtection="1">
      <alignment horizontal="center" vertical="center"/>
      <protection locked="0"/>
    </xf>
    <xf numFmtId="0" fontId="24" fillId="5" borderId="103" xfId="37" applyFont="1" applyFill="1" applyBorder="1" applyAlignment="1" applyProtection="1">
      <alignment horizontal="center" vertical="center"/>
      <protection locked="0"/>
    </xf>
    <xf numFmtId="0" fontId="24" fillId="5" borderId="102" xfId="37" applyFont="1" applyFill="1" applyBorder="1" applyAlignment="1" applyProtection="1">
      <alignment horizontal="center" vertical="center"/>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3" fillId="10" borderId="101" xfId="37" applyFill="1" applyBorder="1" applyAlignment="1" applyProtection="1">
      <alignment horizontal="left" vertical="center" wrapText="1"/>
      <protection locked="0"/>
    </xf>
    <xf numFmtId="0" fontId="3" fillId="10" borderId="102" xfId="37" applyFill="1" applyBorder="1" applyAlignment="1" applyProtection="1">
      <alignment horizontal="left" vertical="center" wrapText="1"/>
      <protection locked="0"/>
    </xf>
    <xf numFmtId="0" fontId="3" fillId="10" borderId="103" xfId="37" applyFill="1" applyBorder="1" applyAlignment="1" applyProtection="1">
      <alignment horizontal="left" vertical="center" wrapText="1"/>
      <protection locked="0"/>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0" fontId="9" fillId="31" borderId="54" xfId="37" applyFont="1" applyFill="1" applyBorder="1" applyAlignment="1" applyProtection="1">
      <alignment horizontal="center" vertical="center" wrapText="1"/>
      <protection locked="0"/>
    </xf>
    <xf numFmtId="0" fontId="9" fillId="31" borderId="55" xfId="37" applyFont="1" applyFill="1" applyBorder="1" applyAlignment="1" applyProtection="1">
      <alignment horizontal="center" vertical="center" wrapText="1"/>
      <protection locked="0"/>
    </xf>
    <xf numFmtId="49" fontId="9" fillId="31" borderId="54" xfId="37" applyNumberFormat="1" applyFont="1" applyFill="1" applyBorder="1" applyAlignment="1" applyProtection="1">
      <alignment horizontal="left" vertical="center" wrapText="1"/>
      <protection locked="0"/>
    </xf>
    <xf numFmtId="49" fontId="9" fillId="31" borderId="57" xfId="37" applyNumberFormat="1" applyFont="1" applyFill="1" applyBorder="1" applyAlignment="1" applyProtection="1">
      <alignment horizontal="left" vertical="center" wrapText="1"/>
      <protection locked="0"/>
    </xf>
    <xf numFmtId="49" fontId="9" fillId="31" borderId="55"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10" fontId="9" fillId="10" borderId="101" xfId="37" applyNumberFormat="1" applyFont="1" applyFill="1" applyBorder="1" applyAlignment="1" applyProtection="1">
      <alignment horizontal="left" vertical="center"/>
      <protection locked="0"/>
    </xf>
    <xf numFmtId="10" fontId="9" fillId="10" borderId="103" xfId="37" applyNumberFormat="1" applyFont="1" applyFill="1" applyBorder="1" applyAlignment="1" applyProtection="1">
      <alignment horizontal="left" vertical="center"/>
      <protection locked="0"/>
    </xf>
    <xf numFmtId="10" fontId="9" fillId="13" borderId="101" xfId="37" applyNumberFormat="1" applyFont="1" applyFill="1" applyBorder="1" applyAlignment="1">
      <alignment horizontal="left" vertical="center"/>
    </xf>
    <xf numFmtId="10" fontId="9" fillId="13" borderId="103" xfId="37" applyNumberFormat="1" applyFont="1" applyFill="1" applyBorder="1" applyAlignment="1">
      <alignment horizontal="left" vertical="center"/>
    </xf>
    <xf numFmtId="10" fontId="9" fillId="10" borderId="102" xfId="37" applyNumberFormat="1" applyFont="1" applyFill="1" applyBorder="1" applyAlignment="1" applyProtection="1">
      <alignment horizontal="left"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wrapText="1"/>
    </xf>
    <xf numFmtId="0" fontId="9" fillId="5" borderId="101" xfId="37" applyFont="1" applyFill="1" applyBorder="1" applyAlignment="1" applyProtection="1">
      <alignment horizontal="center" vertical="center"/>
      <protection locked="0"/>
    </xf>
    <xf numFmtId="0" fontId="9" fillId="5" borderId="102" xfId="37" applyFont="1" applyFill="1" applyBorder="1" applyAlignment="1" applyProtection="1">
      <alignment horizontal="center" vertical="center"/>
      <protection locked="0"/>
    </xf>
    <xf numFmtId="0" fontId="9" fillId="5" borderId="103" xfId="37" applyFont="1" applyFill="1" applyBorder="1" applyAlignment="1" applyProtection="1">
      <alignment horizontal="center" vertical="center"/>
      <protection locked="0"/>
    </xf>
    <xf numFmtId="175" fontId="9" fillId="5" borderId="104" xfId="37" applyNumberFormat="1" applyFont="1" applyFill="1" applyBorder="1" applyAlignment="1" applyProtection="1">
      <alignment horizontal="center" vertical="center"/>
      <protection locked="0"/>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3" fillId="10" borderId="104" xfId="37" applyFill="1" applyBorder="1" applyAlignment="1" applyProtection="1">
      <alignment horizontal="left" vertical="top"/>
      <protection locked="0"/>
    </xf>
    <xf numFmtId="0" fontId="3" fillId="10" borderId="104" xfId="37" applyFill="1" applyBorder="1" applyAlignment="1" applyProtection="1">
      <alignment horizontal="left" vertical="top" wrapText="1"/>
      <protection locked="0"/>
    </xf>
    <xf numFmtId="0" fontId="3" fillId="10" borderId="104" xfId="37" applyFill="1" applyBorder="1" applyAlignment="1" applyProtection="1">
      <alignment horizontal="center" vertical="top"/>
      <protection locked="0"/>
    </xf>
    <xf numFmtId="0" fontId="3" fillId="10" borderId="104" xfId="37" applyFill="1" applyBorder="1" applyAlignment="1" applyProtection="1">
      <alignment horizontal="center" vertical="center"/>
      <protection locked="0"/>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9" fillId="10" borderId="54" xfId="37" applyFont="1" applyFill="1" applyBorder="1" applyAlignment="1" applyProtection="1">
      <alignment horizontal="left" vertical="center"/>
      <protection locked="0"/>
    </xf>
    <xf numFmtId="0" fontId="9" fillId="10" borderId="57" xfId="37" applyFont="1" applyFill="1" applyBorder="1" applyAlignment="1" applyProtection="1">
      <alignment horizontal="left" vertical="center"/>
      <protection locked="0"/>
    </xf>
    <xf numFmtId="0" fontId="9" fillId="10" borderId="55" xfId="37" applyFont="1" applyFill="1" applyBorder="1" applyAlignment="1" applyProtection="1">
      <alignment horizontal="left" vertical="center"/>
      <protection locked="0"/>
    </xf>
    <xf numFmtId="0" fontId="9" fillId="5" borderId="54" xfId="37" applyFont="1" applyFill="1" applyBorder="1" applyAlignment="1" applyProtection="1">
      <alignment horizontal="left" vertical="top" wrapText="1"/>
      <protection locked="0"/>
    </xf>
    <xf numFmtId="0" fontId="9" fillId="5" borderId="57" xfId="37" applyFont="1" applyFill="1" applyBorder="1" applyAlignment="1" applyProtection="1">
      <alignment horizontal="left" vertical="top" wrapText="1"/>
      <protection locked="0"/>
    </xf>
    <xf numFmtId="0" fontId="9" fillId="5" borderId="55" xfId="37" applyFont="1" applyFill="1" applyBorder="1" applyAlignment="1" applyProtection="1">
      <alignment horizontal="left" vertical="top" wrapText="1"/>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10" borderId="104" xfId="37" applyFont="1" applyFill="1" applyBorder="1" applyAlignment="1" applyProtection="1">
      <alignment horizontal="left" vertical="center"/>
      <protection locked="0"/>
    </xf>
    <xf numFmtId="0" fontId="9" fillId="10" borderId="101" xfId="37" applyFont="1" applyFill="1" applyBorder="1" applyAlignment="1" applyProtection="1">
      <alignment horizontal="center" vertical="center"/>
      <protection locked="0"/>
    </xf>
    <xf numFmtId="0" fontId="9" fillId="10" borderId="102" xfId="37" applyFont="1" applyFill="1" applyBorder="1" applyAlignment="1" applyProtection="1">
      <alignment horizontal="center" vertical="center"/>
      <protection locked="0"/>
    </xf>
    <xf numFmtId="0" fontId="9" fillId="10" borderId="103" xfId="37" applyFont="1" applyFill="1" applyBorder="1" applyAlignment="1" applyProtection="1">
      <alignment horizontal="center" vertical="center"/>
      <protection locked="0"/>
    </xf>
    <xf numFmtId="0" fontId="9" fillId="10" borderId="54" xfId="37" applyFont="1" applyFill="1" applyBorder="1" applyAlignment="1" applyProtection="1">
      <alignment horizontal="left"/>
      <protection locked="0"/>
    </xf>
    <xf numFmtId="0" fontId="9" fillId="10" borderId="57" xfId="37" applyFont="1" applyFill="1" applyBorder="1" applyAlignment="1" applyProtection="1">
      <alignment horizontal="left"/>
      <protection locked="0"/>
    </xf>
    <xf numFmtId="0" fontId="9" fillId="10" borderId="55" xfId="37" applyFont="1" applyFill="1" applyBorder="1" applyAlignment="1" applyProtection="1">
      <alignment horizontal="left"/>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24" fillId="0" borderId="58" xfId="37" applyFont="1" applyBorder="1" applyAlignment="1">
      <alignment horizontal="center" vertical="center"/>
    </xf>
    <xf numFmtId="0" fontId="255" fillId="0" borderId="41" xfId="37" applyFont="1" applyBorder="1" applyAlignment="1">
      <alignment horizontal="center" vertical="center"/>
    </xf>
    <xf numFmtId="0" fontId="255" fillId="0" borderId="1" xfId="37" applyFont="1" applyBorder="1" applyAlignment="1">
      <alignment horizontal="center" vertical="center"/>
    </xf>
    <xf numFmtId="0" fontId="255" fillId="0" borderId="27" xfId="37" applyFont="1" applyBorder="1" applyAlignment="1">
      <alignment horizontal="center" vertical="center"/>
    </xf>
    <xf numFmtId="0" fontId="261" fillId="0" borderId="41" xfId="37" applyFont="1" applyBorder="1" applyAlignment="1">
      <alignment horizontal="center" vertical="center"/>
    </xf>
    <xf numFmtId="0" fontId="261" fillId="0" borderId="1" xfId="37" applyFont="1" applyBorder="1" applyAlignment="1">
      <alignment horizontal="center" vertical="center"/>
    </xf>
    <xf numFmtId="0" fontId="261"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261" fillId="0" borderId="54" xfId="37" applyFont="1" applyBorder="1" applyAlignment="1">
      <alignment horizontal="center" vertical="center" wrapText="1"/>
    </xf>
    <xf numFmtId="0" fontId="261" fillId="0" borderId="55" xfId="37" applyFont="1" applyBorder="1" applyAlignment="1">
      <alignment horizontal="center" vertical="center" wrapText="1"/>
    </xf>
    <xf numFmtId="0" fontId="223" fillId="0" borderId="0" xfId="37" applyFont="1" applyAlignment="1">
      <alignment horizontal="center" vertical="center" wrapText="1"/>
    </xf>
    <xf numFmtId="0" fontId="223" fillId="0" borderId="0" xfId="37" applyFont="1" applyAlignment="1">
      <alignment horizontal="center" vertical="center"/>
    </xf>
    <xf numFmtId="0" fontId="245" fillId="0" borderId="0" xfId="37" applyFont="1" applyAlignment="1">
      <alignment horizontal="center"/>
    </xf>
    <xf numFmtId="0" fontId="223" fillId="0" borderId="0" xfId="37" applyFont="1" applyAlignment="1">
      <alignment horizontal="center"/>
    </xf>
    <xf numFmtId="0" fontId="255" fillId="0" borderId="54" xfId="37" applyFont="1" applyBorder="1" applyAlignment="1">
      <alignment horizontal="center" vertical="center" wrapText="1"/>
    </xf>
    <xf numFmtId="0" fontId="255" fillId="0" borderId="55" xfId="37" applyFont="1" applyBorder="1" applyAlignment="1">
      <alignment horizontal="center" vertical="center" wrapText="1"/>
    </xf>
    <xf numFmtId="0" fontId="261" fillId="0" borderId="60" xfId="37" applyFont="1" applyBorder="1" applyAlignment="1">
      <alignment horizontal="center" vertical="center" wrapText="1"/>
    </xf>
    <xf numFmtId="0" fontId="245" fillId="0" borderId="0" xfId="33" applyFont="1" applyAlignment="1">
      <alignment horizontal="left"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94"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07" fillId="0" borderId="109" xfId="33" applyFont="1" applyBorder="1" applyAlignment="1">
      <alignment horizontal="left" vertical="center"/>
    </xf>
    <xf numFmtId="0" fontId="207" fillId="0" borderId="110" xfId="33" applyFont="1" applyBorder="1" applyAlignment="1">
      <alignment horizontal="left" vertical="center"/>
    </xf>
    <xf numFmtId="0" fontId="207" fillId="0" borderId="124"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164" fontId="205" fillId="0" borderId="101" xfId="34" applyNumberFormat="1" applyFont="1" applyBorder="1" applyAlignment="1">
      <alignment horizontal="left" vertical="center"/>
    </xf>
    <xf numFmtId="164" fontId="205" fillId="0" borderId="102" xfId="34" applyNumberFormat="1" applyFont="1" applyBorder="1" applyAlignment="1">
      <alignment horizontal="left" vertical="center"/>
    </xf>
    <xf numFmtId="0" fontId="206" fillId="10" borderId="80" xfId="33" applyFont="1" applyFill="1" applyBorder="1" applyAlignment="1">
      <alignment horizontal="center"/>
    </xf>
    <xf numFmtId="0" fontId="206" fillId="10" borderId="105"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114" xfId="33" applyFont="1" applyFill="1" applyBorder="1" applyAlignment="1">
      <alignment horizontal="center" wrapText="1"/>
    </xf>
    <xf numFmtId="0" fontId="206" fillId="28" borderId="126" xfId="33" applyFont="1" applyFill="1" applyBorder="1" applyAlignment="1">
      <alignment horizontal="center" wrapText="1"/>
    </xf>
    <xf numFmtId="0" fontId="206" fillId="28" borderId="115" xfId="33" applyFont="1" applyFill="1" applyBorder="1" applyAlignment="1">
      <alignment horizontal="center" wrapText="1"/>
    </xf>
    <xf numFmtId="0" fontId="206" fillId="28" borderId="125"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164" fontId="205" fillId="28" borderId="101" xfId="34" applyNumberFormat="1" applyFont="1" applyFill="1" applyBorder="1" applyAlignment="1">
      <alignment horizontal="center" vertical="center"/>
    </xf>
    <xf numFmtId="164" fontId="205" fillId="28" borderId="153" xfId="34" applyNumberFormat="1" applyFont="1" applyFill="1" applyBorder="1" applyAlignment="1">
      <alignment horizontal="center" vertical="center"/>
    </xf>
    <xf numFmtId="164" fontId="205" fillId="10" borderId="54" xfId="34" applyNumberFormat="1" applyFont="1" applyFill="1" applyBorder="1" applyAlignment="1" applyProtection="1">
      <alignment horizontal="center" vertical="center"/>
      <protection locked="0"/>
    </xf>
    <xf numFmtId="164" fontId="205" fillId="10" borderId="123" xfId="34" applyNumberFormat="1" applyFont="1" applyFill="1" applyBorder="1" applyAlignment="1" applyProtection="1">
      <alignment horizontal="center" vertical="center"/>
      <protection locked="0"/>
    </xf>
    <xf numFmtId="0" fontId="205" fillId="0" borderId="9" xfId="33" applyFont="1" applyBorder="1" applyAlignment="1">
      <alignment horizontal="center" vertical="center"/>
    </xf>
    <xf numFmtId="0" fontId="205" fillId="0" borderId="57" xfId="33" applyFont="1" applyBorder="1" applyAlignment="1">
      <alignment horizontal="center" vertical="center"/>
    </xf>
    <xf numFmtId="0" fontId="207" fillId="0" borderId="111" xfId="33" applyFont="1" applyBorder="1" applyAlignment="1">
      <alignment horizontal="left" vertical="center"/>
    </xf>
    <xf numFmtId="0" fontId="207" fillId="0" borderId="57" xfId="33" applyFont="1" applyBorder="1" applyAlignment="1">
      <alignment horizontal="left" vertical="center"/>
    </xf>
    <xf numFmtId="0" fontId="207" fillId="0" borderId="123" xfId="33" applyFont="1" applyBorder="1" applyAlignment="1">
      <alignment horizontal="left" vertical="center"/>
    </xf>
    <xf numFmtId="164" fontId="207" fillId="10" borderId="54" xfId="34" applyNumberFormat="1" applyFont="1" applyFill="1" applyBorder="1" applyAlignment="1" applyProtection="1">
      <alignment horizontal="center" vertical="center"/>
      <protection locked="0"/>
    </xf>
    <xf numFmtId="164" fontId="207" fillId="10" borderId="123" xfId="34" applyNumberFormat="1" applyFont="1" applyFill="1" applyBorder="1" applyAlignment="1" applyProtection="1">
      <alignment horizontal="center" vertical="center"/>
      <protection locked="0"/>
    </xf>
    <xf numFmtId="164" fontId="205" fillId="10" borderId="101" xfId="34" applyNumberFormat="1" applyFont="1" applyFill="1" applyBorder="1" applyAlignment="1" applyProtection="1">
      <alignment horizontal="center" vertical="center"/>
      <protection locked="0"/>
    </xf>
    <xf numFmtId="164" fontId="205" fillId="10" borderId="153" xfId="34" applyNumberFormat="1" applyFont="1" applyFill="1" applyBorder="1" applyAlignment="1" applyProtection="1">
      <alignment horizontal="center" vertical="center"/>
      <protection locked="0"/>
    </xf>
    <xf numFmtId="164" fontId="205" fillId="10" borderId="22" xfId="34" applyNumberFormat="1" applyFont="1" applyFill="1" applyBorder="1" applyAlignment="1" applyProtection="1">
      <alignment horizontal="center" vertical="center"/>
      <protection locked="0"/>
    </xf>
    <xf numFmtId="164" fontId="205" fillId="10" borderId="154" xfId="34" applyNumberFormat="1" applyFont="1" applyFill="1" applyBorder="1" applyAlignment="1" applyProtection="1">
      <alignment horizontal="center" vertical="center"/>
      <protection locked="0"/>
    </xf>
    <xf numFmtId="0" fontId="205" fillId="10" borderId="25" xfId="33" applyFont="1" applyFill="1" applyBorder="1" applyAlignment="1" applyProtection="1">
      <alignment horizontal="center" vertical="center"/>
      <protection locked="0"/>
    </xf>
    <xf numFmtId="0" fontId="205" fillId="10" borderId="155" xfId="33" applyFont="1" applyFill="1" applyBorder="1" applyAlignment="1" applyProtection="1">
      <alignment horizontal="center" vertical="center"/>
      <protection locked="0"/>
    </xf>
    <xf numFmtId="43" fontId="205" fillId="28" borderId="25" xfId="34" applyFont="1" applyFill="1" applyBorder="1" applyAlignment="1">
      <alignment horizontal="center" vertical="center"/>
    </xf>
    <xf numFmtId="43" fontId="205" fillId="28" borderId="155" xfId="34" applyFont="1" applyFill="1" applyBorder="1" applyAlignment="1">
      <alignment horizontal="center" vertical="center"/>
    </xf>
    <xf numFmtId="166" fontId="205" fillId="28" borderId="156" xfId="35" applyNumberFormat="1" applyFont="1" applyFill="1" applyBorder="1" applyAlignment="1">
      <alignment horizontal="center" vertical="center"/>
    </xf>
    <xf numFmtId="166" fontId="205" fillId="28" borderId="125" xfId="35" applyNumberFormat="1" applyFont="1" applyFill="1" applyBorder="1" applyAlignment="1">
      <alignment horizontal="center" vertical="center"/>
    </xf>
    <xf numFmtId="0" fontId="206" fillId="0" borderId="54" xfId="33" applyFont="1" applyBorder="1" applyAlignment="1">
      <alignment horizontal="left"/>
    </xf>
    <xf numFmtId="0" fontId="206" fillId="0" borderId="57" xfId="33" applyFont="1" applyBorder="1" applyAlignment="1">
      <alignment horizontal="left"/>
    </xf>
    <xf numFmtId="0" fontId="206" fillId="0" borderId="55" xfId="33" applyFont="1" applyBorder="1" applyAlignment="1">
      <alignment horizontal="left"/>
    </xf>
    <xf numFmtId="0" fontId="206" fillId="10" borderId="60" xfId="33" applyFont="1" applyFill="1" applyBorder="1" applyAlignment="1">
      <alignment horizontal="center"/>
    </xf>
    <xf numFmtId="0" fontId="206" fillId="28" borderId="54" xfId="33" applyFont="1" applyFill="1" applyBorder="1" applyAlignment="1">
      <alignment horizontal="center"/>
    </xf>
    <xf numFmtId="0" fontId="206" fillId="28" borderId="57" xfId="33" applyFont="1" applyFill="1" applyBorder="1" applyAlignment="1">
      <alignment horizontal="center"/>
    </xf>
    <xf numFmtId="0" fontId="206" fillId="28" borderId="55" xfId="33" applyFont="1" applyFill="1" applyBorder="1" applyAlignment="1">
      <alignment horizontal="center"/>
    </xf>
    <xf numFmtId="164" fontId="83" fillId="0" borderId="56" xfId="34" applyNumberFormat="1" applyFont="1" applyFill="1" applyBorder="1" applyAlignment="1">
      <alignment horizontal="center" wrapText="1"/>
    </xf>
    <xf numFmtId="0" fontId="209" fillId="0" borderId="0" xfId="33" applyFont="1" applyAlignment="1">
      <alignment horizontal="center" vertical="center" wrapText="1"/>
    </xf>
    <xf numFmtId="37" fontId="211" fillId="10" borderId="101" xfId="34" applyNumberFormat="1" applyFont="1" applyFill="1" applyBorder="1" applyAlignment="1" applyProtection="1">
      <alignment horizontal="center" vertical="center"/>
      <protection locked="0"/>
    </xf>
    <xf numFmtId="37" fontId="211" fillId="10" borderId="103"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7" fillId="29" borderId="54" xfId="33" applyFont="1" applyFill="1" applyBorder="1" applyAlignment="1">
      <alignment horizontal="left"/>
    </xf>
    <xf numFmtId="0" fontId="207" fillId="29" borderId="57" xfId="33" applyFont="1" applyFill="1" applyBorder="1" applyAlignment="1">
      <alignment horizontal="left"/>
    </xf>
    <xf numFmtId="0" fontId="207" fillId="29" borderId="55" xfId="33" applyFont="1" applyFill="1" applyBorder="1" applyAlignment="1">
      <alignment horizontal="left"/>
    </xf>
    <xf numFmtId="0" fontId="83" fillId="0" borderId="54" xfId="33" applyFont="1" applyBorder="1" applyAlignment="1">
      <alignment horizontal="center" wrapText="1"/>
    </xf>
    <xf numFmtId="0" fontId="83" fillId="0" borderId="55" xfId="33" applyFont="1" applyBorder="1" applyAlignment="1">
      <alignment horizontal="center" wrapText="1"/>
    </xf>
    <xf numFmtId="164" fontId="83" fillId="13" borderId="57" xfId="34" applyNumberFormat="1" applyFont="1" applyFill="1" applyBorder="1" applyAlignment="1" applyProtection="1">
      <alignment horizontal="center" wrapText="1"/>
    </xf>
    <xf numFmtId="164" fontId="83" fillId="13" borderId="55" xfId="34" applyNumberFormat="1" applyFont="1" applyFill="1" applyBorder="1" applyAlignment="1" applyProtection="1">
      <alignment horizontal="center" wrapText="1"/>
    </xf>
    <xf numFmtId="0" fontId="205" fillId="0" borderId="36" xfId="33" applyFont="1" applyBorder="1" applyAlignment="1"/>
    <xf numFmtId="0" fontId="205" fillId="28" borderId="102" xfId="33" applyFont="1" applyFill="1" applyBorder="1" applyAlignment="1">
      <alignment horizontal="center" vertical="center"/>
    </xf>
    <xf numFmtId="0" fontId="205" fillId="28" borderId="103" xfId="33" applyFont="1" applyFill="1" applyBorder="1" applyAlignment="1">
      <alignment horizontal="center" vertical="center"/>
    </xf>
    <xf numFmtId="37" fontId="205" fillId="13" borderId="102" xfId="34" applyNumberFormat="1" applyFont="1" applyFill="1" applyBorder="1" applyAlignment="1" applyProtection="1">
      <alignment horizontal="center" vertical="center"/>
    </xf>
    <xf numFmtId="37" fontId="205" fillId="13" borderId="103" xfId="34" applyNumberFormat="1" applyFont="1" applyFill="1" applyBorder="1" applyAlignment="1" applyProtection="1">
      <alignment horizontal="center" vertical="center"/>
    </xf>
    <xf numFmtId="37" fontId="205" fillId="28" borderId="104"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16"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59"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54"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5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54" xfId="0" applyFont="1" applyFill="1" applyBorder="1" applyAlignment="1">
      <alignment horizontal="left" vertical="top" wrapText="1"/>
    </xf>
    <xf numFmtId="0" fontId="4" fillId="13" borderId="57" xfId="0" applyFont="1" applyFill="1" applyBorder="1" applyAlignment="1">
      <alignment horizontal="left" vertical="top" wrapText="1"/>
    </xf>
    <xf numFmtId="0" fontId="4" fillId="13" borderId="55" xfId="0" applyFont="1" applyFill="1" applyBorder="1" applyAlignment="1">
      <alignment horizontal="left" vertical="top" wrapText="1"/>
    </xf>
    <xf numFmtId="0" fontId="10" fillId="13" borderId="56" xfId="0" applyFont="1" applyFill="1" applyBorder="1" applyAlignment="1">
      <alignment horizontal="center" vertical="center"/>
    </xf>
    <xf numFmtId="0" fontId="10" fillId="13" borderId="5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01" xfId="0" applyFont="1" applyFill="1" applyBorder="1" applyAlignment="1" applyProtection="1">
      <alignment horizontal="left" vertical="center"/>
      <protection locked="0"/>
    </xf>
    <xf numFmtId="0" fontId="14" fillId="5" borderId="102" xfId="0" applyFont="1" applyFill="1" applyBorder="1" applyAlignment="1" applyProtection="1">
      <alignment horizontal="left" vertical="center"/>
      <protection locked="0"/>
    </xf>
    <xf numFmtId="0" fontId="14" fillId="5" borderId="103" xfId="0" applyFont="1" applyFill="1" applyBorder="1" applyAlignment="1" applyProtection="1">
      <alignment horizontal="left" vertical="center"/>
      <protection locked="0"/>
    </xf>
    <xf numFmtId="0" fontId="14" fillId="5" borderId="54" xfId="0" applyFont="1" applyFill="1" applyBorder="1" applyAlignment="1" applyProtection="1">
      <alignment horizontal="center" vertical="top"/>
      <protection locked="0"/>
    </xf>
    <xf numFmtId="0" fontId="14" fillId="5" borderId="55" xfId="0" applyFont="1" applyFill="1" applyBorder="1" applyAlignment="1" applyProtection="1">
      <alignment horizontal="center" vertical="top"/>
      <protection locked="0"/>
    </xf>
    <xf numFmtId="0" fontId="14" fillId="13" borderId="54" xfId="0" applyFont="1" applyFill="1" applyBorder="1" applyAlignment="1">
      <alignment horizontal="center" vertical="top"/>
    </xf>
    <xf numFmtId="0" fontId="14" fillId="13" borderId="55" xfId="0" applyFont="1" applyFill="1" applyBorder="1" applyAlignment="1">
      <alignment horizontal="center" vertical="top"/>
    </xf>
    <xf numFmtId="0" fontId="10" fillId="13" borderId="5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54" xfId="0" applyFont="1" applyFill="1" applyBorder="1" applyAlignment="1" applyProtection="1">
      <alignment horizontal="left" vertical="top" wrapText="1"/>
      <protection locked="0"/>
    </xf>
    <xf numFmtId="0" fontId="38" fillId="10" borderId="57" xfId="0" applyFont="1" applyFill="1" applyBorder="1" applyAlignment="1" applyProtection="1">
      <alignment horizontal="left" vertical="top" wrapText="1"/>
      <protection locked="0"/>
    </xf>
    <xf numFmtId="0" fontId="38" fillId="10" borderId="55" xfId="0" applyFont="1" applyFill="1" applyBorder="1" applyAlignment="1" applyProtection="1">
      <alignment horizontal="left" vertical="top" wrapText="1"/>
      <protection locked="0"/>
    </xf>
    <xf numFmtId="0" fontId="14" fillId="13" borderId="70"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01" xfId="0" applyFont="1" applyFill="1" applyBorder="1" applyAlignment="1" applyProtection="1">
      <alignment horizontal="left" vertical="top" wrapText="1"/>
      <protection locked="0"/>
    </xf>
    <xf numFmtId="0" fontId="4" fillId="5" borderId="102" xfId="0" applyFont="1" applyFill="1" applyBorder="1" applyAlignment="1" applyProtection="1">
      <alignment horizontal="left" vertical="top" wrapText="1"/>
      <protection locked="0"/>
    </xf>
    <xf numFmtId="0" fontId="4" fillId="5" borderId="103"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60"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04" xfId="0" applyFont="1" applyFill="1" applyBorder="1" applyAlignment="1" applyProtection="1">
      <alignment horizontal="left" vertical="center"/>
      <protection locked="0"/>
    </xf>
    <xf numFmtId="0" fontId="14" fillId="5" borderId="59"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54" xfId="0" applyNumberFormat="1" applyFont="1" applyFill="1" applyBorder="1" applyAlignment="1" applyProtection="1">
      <alignment horizontal="center" vertical="center"/>
      <protection locked="0"/>
    </xf>
    <xf numFmtId="175" fontId="10" fillId="10" borderId="5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59"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54" xfId="0" applyFont="1" applyFill="1" applyBorder="1" applyAlignment="1">
      <alignment horizontal="left" vertical="center"/>
    </xf>
    <xf numFmtId="0" fontId="14" fillId="13" borderId="55" xfId="0" applyFont="1" applyFill="1" applyBorder="1" applyAlignment="1">
      <alignment horizontal="left" vertical="center"/>
    </xf>
    <xf numFmtId="0" fontId="14" fillId="5" borderId="54"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5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54" xfId="0" applyFont="1" applyFill="1" applyBorder="1" applyAlignment="1">
      <alignment horizontal="center" vertical="center"/>
    </xf>
    <xf numFmtId="0" fontId="94" fillId="13" borderId="55" xfId="0" applyFont="1" applyFill="1" applyBorder="1" applyAlignment="1">
      <alignment horizontal="center" vertical="center"/>
    </xf>
    <xf numFmtId="0" fontId="38" fillId="13" borderId="101" xfId="0" applyFont="1" applyFill="1" applyBorder="1" applyAlignment="1">
      <alignment horizontal="justify" vertical="top" wrapText="1"/>
    </xf>
    <xf numFmtId="0" fontId="38" fillId="13" borderId="102" xfId="0" applyFont="1" applyFill="1" applyBorder="1" applyAlignment="1">
      <alignment horizontal="justify" vertical="top" wrapText="1"/>
    </xf>
    <xf numFmtId="0" fontId="38" fillId="13" borderId="103" xfId="0" applyFont="1" applyFill="1" applyBorder="1" applyAlignment="1">
      <alignment horizontal="justify" vertical="top" wrapText="1"/>
    </xf>
    <xf numFmtId="0" fontId="89" fillId="0" borderId="194"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59"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56" xfId="0" applyFont="1" applyFill="1" applyBorder="1" applyAlignment="1" applyProtection="1">
      <alignment horizontal="center"/>
      <protection locked="0"/>
    </xf>
    <xf numFmtId="0" fontId="14" fillId="5" borderId="55" xfId="0" applyFont="1" applyFill="1" applyBorder="1" applyAlignment="1" applyProtection="1">
      <alignment horizontal="center"/>
      <protection locked="0"/>
    </xf>
    <xf numFmtId="0" fontId="14" fillId="13" borderId="54" xfId="0" applyFont="1" applyFill="1" applyBorder="1" applyAlignment="1">
      <alignment horizontal="center"/>
    </xf>
    <xf numFmtId="0" fontId="14" fillId="13" borderId="55" xfId="0" applyFont="1" applyFill="1" applyBorder="1" applyAlignment="1">
      <alignment horizontal="center"/>
    </xf>
    <xf numFmtId="0" fontId="4" fillId="13" borderId="60" xfId="0" applyFont="1" applyFill="1" applyBorder="1" applyAlignment="1">
      <alignment horizontal="left" vertical="top" wrapText="1"/>
    </xf>
    <xf numFmtId="0" fontId="14" fillId="13" borderId="70" xfId="0" applyFont="1" applyFill="1" applyBorder="1" applyAlignment="1">
      <alignment horizontal="center" vertical="top"/>
    </xf>
    <xf numFmtId="0" fontId="14" fillId="13" borderId="17" xfId="0" applyFont="1" applyFill="1" applyBorder="1" applyAlignment="1">
      <alignment horizontal="center" vertical="top"/>
    </xf>
    <xf numFmtId="0" fontId="14" fillId="5" borderId="70"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01" xfId="0" applyNumberFormat="1" applyFont="1" applyFill="1" applyBorder="1" applyAlignment="1">
      <alignment horizontal="left" vertical="center"/>
    </xf>
    <xf numFmtId="174" fontId="14" fillId="13" borderId="103"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01" xfId="0" applyNumberFormat="1" applyFont="1" applyFill="1" applyBorder="1" applyAlignment="1" applyProtection="1">
      <alignment horizontal="left" vertical="center"/>
      <protection locked="0"/>
    </xf>
    <xf numFmtId="174" fontId="14" fillId="5" borderId="102" xfId="0" applyNumberFormat="1" applyFont="1" applyFill="1" applyBorder="1" applyAlignment="1" applyProtection="1">
      <alignment horizontal="left" vertical="center"/>
      <protection locked="0"/>
    </xf>
    <xf numFmtId="174" fontId="14" fillId="5" borderId="103"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01" xfId="0" applyFont="1" applyFill="1" applyBorder="1" applyAlignment="1" applyProtection="1">
      <alignment horizontal="left"/>
      <protection locked="0"/>
    </xf>
    <xf numFmtId="0" fontId="13" fillId="5" borderId="102" xfId="0" applyFont="1" applyFill="1" applyBorder="1" applyAlignment="1" applyProtection="1">
      <alignment horizontal="left"/>
      <protection locked="0"/>
    </xf>
    <xf numFmtId="0" fontId="13" fillId="5" borderId="103" xfId="0" applyFont="1" applyFill="1" applyBorder="1" applyAlignment="1" applyProtection="1">
      <alignment horizontal="left"/>
      <protection locked="0"/>
    </xf>
    <xf numFmtId="0" fontId="38" fillId="5" borderId="101" xfId="0" applyFont="1" applyFill="1" applyBorder="1" applyAlignment="1" applyProtection="1">
      <alignment vertical="top" wrapText="1"/>
      <protection locked="0"/>
    </xf>
    <xf numFmtId="0" fontId="41" fillId="0" borderId="102" xfId="0" applyFont="1" applyBorder="1" applyAlignment="1" applyProtection="1">
      <alignment vertical="top" wrapText="1"/>
      <protection locked="0"/>
    </xf>
    <xf numFmtId="0" fontId="41" fillId="0" borderId="103" xfId="0" applyFont="1" applyBorder="1" applyAlignment="1" applyProtection="1">
      <alignment vertical="top" wrapText="1"/>
      <protection locked="0"/>
    </xf>
    <xf numFmtId="0" fontId="37" fillId="5" borderId="54" xfId="0" applyFont="1" applyFill="1" applyBorder="1" applyAlignment="1" applyProtection="1">
      <alignment horizontal="center" vertical="center"/>
      <protection locked="0"/>
    </xf>
    <xf numFmtId="0" fontId="37" fillId="5" borderId="5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54" xfId="0" applyFont="1" applyFill="1" applyBorder="1" applyAlignment="1" applyProtection="1">
      <alignment horizontal="left" vertical="top"/>
      <protection locked="0"/>
    </xf>
    <xf numFmtId="0" fontId="4" fillId="10" borderId="57" xfId="0" applyFont="1" applyFill="1" applyBorder="1" applyAlignment="1" applyProtection="1">
      <alignment horizontal="left" vertical="top"/>
      <protection locked="0"/>
    </xf>
    <xf numFmtId="0" fontId="4" fillId="10" borderId="55" xfId="0" applyFont="1" applyFill="1" applyBorder="1" applyAlignment="1" applyProtection="1">
      <alignment horizontal="left" vertical="top"/>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54" xfId="0" applyNumberFormat="1" applyFont="1" applyBorder="1" applyAlignment="1">
      <alignment horizontal="left" vertical="center" wrapText="1"/>
    </xf>
    <xf numFmtId="37" fontId="8" fillId="0" borderId="5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85" xfId="1" applyNumberFormat="1" applyFont="1" applyFill="1" applyBorder="1" applyAlignment="1" applyProtection="1">
      <alignment horizontal="center" vertical="center"/>
      <protection locked="0"/>
    </xf>
    <xf numFmtId="3" fontId="4" fillId="5" borderId="86" xfId="1" applyNumberFormat="1" applyFont="1" applyFill="1" applyBorder="1" applyAlignment="1" applyProtection="1">
      <alignment horizontal="center" vertical="center"/>
      <protection locked="0"/>
    </xf>
    <xf numFmtId="3" fontId="4" fillId="13" borderId="85" xfId="1" applyNumberFormat="1" applyFont="1" applyFill="1" applyBorder="1" applyAlignment="1" applyProtection="1">
      <alignment horizontal="center" vertical="center"/>
    </xf>
    <xf numFmtId="3" fontId="4" fillId="13" borderId="86" xfId="1" applyNumberFormat="1" applyFont="1" applyFill="1" applyBorder="1" applyAlignment="1" applyProtection="1">
      <alignment horizontal="center" vertical="center"/>
    </xf>
    <xf numFmtId="0" fontId="38" fillId="5" borderId="54" xfId="0" applyFont="1" applyFill="1" applyBorder="1" applyAlignment="1" applyProtection="1">
      <alignment horizontal="left" vertical="top" wrapText="1"/>
      <protection locked="0"/>
    </xf>
    <xf numFmtId="0" fontId="38" fillId="5" borderId="57" xfId="0" applyFont="1" applyFill="1" applyBorder="1" applyAlignment="1" applyProtection="1">
      <alignment horizontal="left" vertical="top" wrapText="1"/>
      <protection locked="0"/>
    </xf>
    <xf numFmtId="0" fontId="38" fillId="5" borderId="5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60" xfId="0" applyFont="1" applyFill="1" applyBorder="1" applyAlignment="1" applyProtection="1">
      <alignment horizontal="left" vertical="center"/>
      <protection locked="0"/>
    </xf>
    <xf numFmtId="0" fontId="10" fillId="5" borderId="59"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5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54" xfId="0" applyFont="1" applyFill="1" applyBorder="1" applyAlignment="1" applyProtection="1">
      <alignment horizontal="left" vertical="center"/>
      <protection locked="0"/>
    </xf>
    <xf numFmtId="0" fontId="40" fillId="5" borderId="57" xfId="0" applyFont="1" applyFill="1" applyBorder="1" applyAlignment="1" applyProtection="1">
      <alignment horizontal="left" vertical="center"/>
      <protection locked="0"/>
    </xf>
    <xf numFmtId="0" fontId="40" fillId="5" borderId="5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54" xfId="0" applyFont="1" applyFill="1" applyBorder="1" applyAlignment="1" applyProtection="1">
      <alignment horizontal="left" vertical="center"/>
      <protection locked="0"/>
    </xf>
    <xf numFmtId="0" fontId="37" fillId="5" borderId="57"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54" xfId="0" applyFont="1" applyFill="1" applyBorder="1" applyAlignment="1" applyProtection="1">
      <alignment horizontal="left" vertical="center" wrapText="1"/>
      <protection locked="0"/>
    </xf>
    <xf numFmtId="0" fontId="38" fillId="5" borderId="57" xfId="0" applyFont="1" applyFill="1" applyBorder="1" applyAlignment="1" applyProtection="1">
      <alignment horizontal="left" vertical="center" wrapText="1"/>
      <protection locked="0"/>
    </xf>
    <xf numFmtId="0" fontId="38" fillId="5" borderId="5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54" xfId="0" applyNumberFormat="1" applyFont="1" applyBorder="1" applyAlignment="1">
      <alignment horizontal="center" vertical="center" wrapText="1"/>
    </xf>
    <xf numFmtId="3" fontId="141" fillId="0" borderId="5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8"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29" fillId="0" borderId="4" xfId="0" applyFont="1" applyBorder="1" applyAlignment="1">
      <alignment horizontal="center" vertical="center"/>
    </xf>
    <xf numFmtId="0" fontId="229" fillId="0" borderId="0" xfId="0" applyFont="1" applyAlignment="1">
      <alignment horizontal="center" vertical="center"/>
    </xf>
    <xf numFmtId="0" fontId="229" fillId="0" borderId="6" xfId="0" applyFont="1" applyBorder="1" applyAlignment="1">
      <alignment horizontal="center" vertical="center"/>
    </xf>
    <xf numFmtId="0" fontId="229"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07" xfId="0" applyFont="1" applyFill="1" applyBorder="1" applyAlignment="1">
      <alignment horizontal="center" vertical="center"/>
    </xf>
    <xf numFmtId="0" fontId="41" fillId="13" borderId="103"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01" xfId="0" applyFont="1" applyFill="1" applyBorder="1" applyAlignment="1">
      <alignment horizontal="center" vertical="center"/>
    </xf>
    <xf numFmtId="0" fontId="14" fillId="13" borderId="103"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54" xfId="0" applyFont="1" applyFill="1" applyBorder="1" applyAlignment="1">
      <alignment horizontal="left" vertical="top" wrapText="1"/>
    </xf>
    <xf numFmtId="0" fontId="38" fillId="13" borderId="57" xfId="0" applyFont="1" applyFill="1" applyBorder="1" applyAlignment="1">
      <alignment horizontal="left" vertical="top" wrapText="1"/>
    </xf>
    <xf numFmtId="0" fontId="38" fillId="13" borderId="5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59"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59"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6" xfId="0" applyFont="1" applyBorder="1" applyAlignment="1">
      <alignment horizontal="center" wrapText="1"/>
    </xf>
    <xf numFmtId="0" fontId="38" fillId="10" borderId="101" xfId="0" applyFont="1" applyFill="1" applyBorder="1" applyAlignment="1" applyProtection="1">
      <alignment vertical="center" wrapText="1"/>
      <protection locked="0"/>
    </xf>
    <xf numFmtId="0" fontId="38" fillId="10" borderId="102" xfId="0" applyFont="1" applyFill="1" applyBorder="1" applyAlignment="1" applyProtection="1">
      <alignment vertical="center" wrapText="1"/>
      <protection locked="0"/>
    </xf>
    <xf numFmtId="0" fontId="38" fillId="10" borderId="103" xfId="0" applyFont="1" applyFill="1" applyBorder="1" applyAlignment="1" applyProtection="1">
      <alignment vertical="center" wrapText="1"/>
      <protection locked="0"/>
    </xf>
    <xf numFmtId="0" fontId="14" fillId="5" borderId="101" xfId="0" applyFont="1" applyFill="1" applyBorder="1" applyAlignment="1" applyProtection="1">
      <alignment vertical="center"/>
      <protection locked="0"/>
    </xf>
    <xf numFmtId="0" fontId="14" fillId="5" borderId="103" xfId="0" applyFont="1" applyFill="1" applyBorder="1" applyAlignment="1" applyProtection="1">
      <alignment vertical="center"/>
      <protection locked="0"/>
    </xf>
    <xf numFmtId="0" fontId="41" fillId="13" borderId="64"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01" xfId="0" applyFont="1" applyFill="1" applyBorder="1" applyAlignment="1" applyProtection="1">
      <alignment horizontal="left" vertical="center" wrapText="1"/>
      <protection locked="0"/>
    </xf>
    <xf numFmtId="0" fontId="38" fillId="10" borderId="102" xfId="0" applyFont="1" applyFill="1" applyBorder="1" applyAlignment="1" applyProtection="1">
      <alignment horizontal="left" vertical="center" wrapText="1"/>
      <protection locked="0"/>
    </xf>
    <xf numFmtId="0" fontId="38" fillId="10" borderId="103"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92" xfId="0" applyFont="1" applyFill="1" applyBorder="1" applyAlignment="1" applyProtection="1">
      <alignment horizontal="left" vertical="top" wrapText="1"/>
      <protection locked="0"/>
    </xf>
    <xf numFmtId="0" fontId="4" fillId="5" borderId="93" xfId="0" applyFont="1" applyFill="1" applyBorder="1" applyAlignment="1" applyProtection="1">
      <alignment horizontal="left" vertical="top" wrapText="1"/>
      <protection locked="0"/>
    </xf>
    <xf numFmtId="0" fontId="4" fillId="5" borderId="94" xfId="0" applyFont="1" applyFill="1" applyBorder="1" applyAlignment="1" applyProtection="1">
      <alignment horizontal="left" vertical="top" wrapText="1"/>
      <protection locked="0"/>
    </xf>
    <xf numFmtId="0" fontId="41" fillId="5" borderId="101" xfId="0" applyFont="1" applyFill="1" applyBorder="1" applyAlignment="1" applyProtection="1">
      <alignment horizontal="center" vertical="center"/>
      <protection locked="0"/>
    </xf>
    <xf numFmtId="0" fontId="41" fillId="5" borderId="106"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70"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01" xfId="0" applyNumberFormat="1" applyFont="1" applyFill="1" applyBorder="1" applyAlignment="1">
      <alignment horizontal="center" vertical="center"/>
    </xf>
    <xf numFmtId="3" fontId="3" fillId="13" borderId="102" xfId="0" applyNumberFormat="1" applyFont="1" applyFill="1" applyBorder="1" applyAlignment="1">
      <alignment horizontal="center" vertical="center"/>
    </xf>
    <xf numFmtId="3" fontId="3" fillId="13" borderId="103" xfId="0" applyNumberFormat="1" applyFont="1" applyFill="1" applyBorder="1" applyAlignment="1">
      <alignment horizontal="center" vertical="center"/>
    </xf>
    <xf numFmtId="3" fontId="8" fillId="10" borderId="54" xfId="0" applyNumberFormat="1" applyFont="1" applyFill="1" applyBorder="1" applyAlignment="1" applyProtection="1">
      <alignment horizontal="left" vertical="center"/>
      <protection locked="0"/>
    </xf>
    <xf numFmtId="3" fontId="8" fillId="10" borderId="55" xfId="0" applyNumberFormat="1" applyFont="1" applyFill="1" applyBorder="1" applyAlignment="1" applyProtection="1">
      <alignment horizontal="left" vertical="center"/>
      <protection locked="0"/>
    </xf>
    <xf numFmtId="3" fontId="8" fillId="13" borderId="54" xfId="0" applyNumberFormat="1" applyFont="1" applyFill="1" applyBorder="1" applyAlignment="1">
      <alignment horizontal="center" vertical="center"/>
    </xf>
    <xf numFmtId="3" fontId="8" fillId="13" borderId="55" xfId="0" applyNumberFormat="1" applyFont="1" applyFill="1" applyBorder="1" applyAlignment="1">
      <alignment horizontal="center" vertical="center"/>
    </xf>
    <xf numFmtId="38" fontId="3" fillId="0" borderId="54" xfId="0" applyNumberFormat="1" applyFont="1" applyBorder="1" applyAlignment="1">
      <alignment horizontal="center" vertical="center"/>
    </xf>
    <xf numFmtId="38" fontId="3" fillId="0" borderId="57" xfId="0" applyNumberFormat="1" applyFont="1" applyBorder="1" applyAlignment="1">
      <alignment horizontal="center" vertical="center"/>
    </xf>
    <xf numFmtId="38" fontId="3" fillId="0" borderId="5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01" xfId="0" applyNumberFormat="1" applyFont="1" applyBorder="1" applyAlignment="1">
      <alignment horizontal="center" vertical="center"/>
    </xf>
    <xf numFmtId="3" fontId="3" fillId="0" borderId="103" xfId="0" applyNumberFormat="1" applyFont="1" applyBorder="1" applyAlignment="1">
      <alignment horizontal="center" vertical="center"/>
    </xf>
    <xf numFmtId="0" fontId="0" fillId="10" borderId="56" xfId="0" applyFill="1" applyBorder="1" applyAlignment="1" applyProtection="1">
      <alignment horizontal="left" vertical="center"/>
      <protection locked="0"/>
    </xf>
    <xf numFmtId="0" fontId="0" fillId="10" borderId="194" xfId="0" applyFill="1" applyBorder="1" applyAlignment="1" applyProtection="1">
      <alignment horizontal="left" vertical="center"/>
      <protection locked="0"/>
    </xf>
    <xf numFmtId="0" fontId="0" fillId="10" borderId="57" xfId="0" applyFill="1" applyBorder="1" applyAlignment="1" applyProtection="1">
      <alignment horizontal="left" vertical="center"/>
      <protection locked="0"/>
    </xf>
    <xf numFmtId="0" fontId="0" fillId="10" borderId="5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5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92" xfId="0" applyFont="1" applyFill="1" applyBorder="1" applyAlignment="1" applyProtection="1">
      <alignment horizontal="left" vertical="top" wrapText="1"/>
      <protection locked="0"/>
    </xf>
    <xf numFmtId="0" fontId="38" fillId="5" borderId="93" xfId="0" applyFont="1" applyFill="1" applyBorder="1" applyAlignment="1" applyProtection="1">
      <alignment horizontal="left" vertical="top" wrapText="1"/>
      <protection locked="0"/>
    </xf>
    <xf numFmtId="0" fontId="38" fillId="5" borderId="94"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01" xfId="0" applyNumberFormat="1" applyFont="1" applyFill="1" applyBorder="1" applyAlignment="1">
      <alignment horizontal="center" vertical="center"/>
    </xf>
    <xf numFmtId="10" fontId="13" fillId="13" borderId="102" xfId="0" applyNumberFormat="1" applyFont="1" applyFill="1" applyBorder="1" applyAlignment="1">
      <alignment horizontal="center" vertical="center"/>
    </xf>
    <xf numFmtId="10" fontId="13" fillId="13" borderId="103" xfId="0" applyNumberFormat="1" applyFont="1" applyFill="1" applyBorder="1" applyAlignment="1">
      <alignment horizontal="center" vertical="center"/>
    </xf>
    <xf numFmtId="49" fontId="38" fillId="10" borderId="54" xfId="0" applyNumberFormat="1" applyFont="1" applyFill="1" applyBorder="1" applyAlignment="1" applyProtection="1">
      <alignment horizontal="left" vertical="center" wrapText="1"/>
      <protection locked="0"/>
    </xf>
    <xf numFmtId="49" fontId="38" fillId="10" borderId="57" xfId="0" applyNumberFormat="1" applyFont="1" applyFill="1" applyBorder="1" applyAlignment="1" applyProtection="1">
      <alignment horizontal="left" vertical="center" wrapText="1"/>
      <protection locked="0"/>
    </xf>
    <xf numFmtId="49" fontId="38" fillId="10" borderId="5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54" xfId="0" applyFont="1" applyBorder="1" applyAlignment="1">
      <alignment horizontal="center" vertical="center"/>
    </xf>
    <xf numFmtId="0" fontId="8" fillId="0" borderId="55" xfId="0" applyFont="1" applyBorder="1" applyAlignment="1">
      <alignment horizontal="center" vertical="center"/>
    </xf>
    <xf numFmtId="0" fontId="38" fillId="13" borderId="101" xfId="0" applyFont="1" applyFill="1" applyBorder="1" applyAlignment="1">
      <alignment horizontal="left" vertical="top" wrapText="1"/>
    </xf>
    <xf numFmtId="0" fontId="38" fillId="13" borderId="102" xfId="0" applyFont="1" applyFill="1" applyBorder="1" applyAlignment="1">
      <alignment horizontal="left" vertical="top" wrapText="1"/>
    </xf>
    <xf numFmtId="0" fontId="38" fillId="13" borderId="106" xfId="0" applyFont="1" applyFill="1" applyBorder="1" applyAlignment="1">
      <alignment horizontal="left" vertical="top" wrapText="1"/>
    </xf>
    <xf numFmtId="0" fontId="38" fillId="13" borderId="108"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89" xfId="0" applyFont="1" applyBorder="1" applyAlignment="1">
      <alignment horizontal="center" vertical="top" wrapText="1"/>
    </xf>
    <xf numFmtId="0" fontId="40" fillId="0" borderId="9" xfId="0" applyFont="1" applyBorder="1" applyAlignment="1">
      <alignment horizontal="center" vertical="center" wrapText="1"/>
    </xf>
    <xf numFmtId="0" fontId="38" fillId="0" borderId="54" xfId="0" applyFont="1" applyBorder="1" applyAlignment="1">
      <alignment horizontal="center" vertical="center"/>
    </xf>
    <xf numFmtId="0" fontId="38" fillId="0" borderId="5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5"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89" xfId="0" applyFont="1" applyBorder="1" applyAlignment="1">
      <alignment horizontal="left" vertical="top" wrapText="1"/>
    </xf>
    <xf numFmtId="0" fontId="45" fillId="0" borderId="194"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56" xfId="0" applyFont="1" applyFill="1" applyBorder="1" applyAlignment="1" applyProtection="1">
      <alignment horizontal="center" vertical="center"/>
      <protection locked="0"/>
    </xf>
    <xf numFmtId="0" fontId="100" fillId="10" borderId="194"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52" xfId="0" applyFont="1" applyFill="1" applyBorder="1" applyAlignment="1">
      <alignment horizontal="center" vertical="center"/>
    </xf>
    <xf numFmtId="0" fontId="41" fillId="5" borderId="108"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56" xfId="0" applyFont="1" applyFill="1" applyBorder="1" applyAlignment="1">
      <alignment horizontal="center" vertical="center" wrapText="1"/>
    </xf>
    <xf numFmtId="0" fontId="74" fillId="20" borderId="194"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01" xfId="0" applyNumberFormat="1" applyFont="1" applyFill="1" applyBorder="1" applyAlignment="1" applyProtection="1">
      <alignment horizontal="center" vertical="center"/>
      <protection locked="0"/>
    </xf>
    <xf numFmtId="3" fontId="3" fillId="10" borderId="103" xfId="0" applyNumberFormat="1" applyFont="1" applyFill="1" applyBorder="1" applyAlignment="1" applyProtection="1">
      <alignment horizontal="center" vertical="center"/>
      <protection locked="0"/>
    </xf>
    <xf numFmtId="4" fontId="65" fillId="0" borderId="54" xfId="0" applyNumberFormat="1" applyFont="1" applyBorder="1" applyAlignment="1">
      <alignment horizontal="center" vertical="center"/>
    </xf>
    <xf numFmtId="4" fontId="65" fillId="0" borderId="57" xfId="0" applyNumberFormat="1" applyFont="1" applyBorder="1" applyAlignment="1">
      <alignment horizontal="center" vertical="center"/>
    </xf>
    <xf numFmtId="4" fontId="65" fillId="0" borderId="5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54" xfId="0" applyFont="1" applyBorder="1" applyAlignment="1">
      <alignment horizontal="center" vertical="center" wrapText="1"/>
    </xf>
    <xf numFmtId="0" fontId="108" fillId="0" borderId="57" xfId="0" applyFont="1" applyBorder="1" applyAlignment="1">
      <alignment horizontal="center" vertical="center" wrapText="1"/>
    </xf>
    <xf numFmtId="0" fontId="108" fillId="0" borderId="5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63"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01" xfId="0" applyFont="1" applyFill="1" applyBorder="1" applyAlignment="1" applyProtection="1">
      <alignment horizontal="center" vertical="top" wrapText="1"/>
      <protection locked="0"/>
    </xf>
    <xf numFmtId="0" fontId="38" fillId="10" borderId="106"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4"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127" xfId="0" applyFont="1" applyBorder="1" applyAlignment="1">
      <alignment horizontal="center" vertical="center" wrapText="1"/>
    </xf>
    <xf numFmtId="0" fontId="108" fillId="0" borderId="128" xfId="0" applyFont="1" applyBorder="1" applyAlignment="1">
      <alignment horizontal="center" vertical="center" wrapText="1"/>
    </xf>
    <xf numFmtId="0" fontId="108" fillId="0" borderId="129" xfId="0" applyFont="1" applyBorder="1" applyAlignment="1">
      <alignment horizontal="center" vertical="center" wrapText="1"/>
    </xf>
    <xf numFmtId="0" fontId="108" fillId="0" borderId="130" xfId="0" applyFont="1" applyBorder="1" applyAlignment="1">
      <alignment horizontal="center" vertical="center" wrapText="1"/>
    </xf>
    <xf numFmtId="0" fontId="108" fillId="0" borderId="131" xfId="0" applyFont="1" applyBorder="1" applyAlignment="1">
      <alignment horizontal="center" vertical="center" wrapText="1"/>
    </xf>
    <xf numFmtId="0" fontId="108" fillId="0" borderId="132" xfId="0" applyFont="1" applyBorder="1" applyAlignment="1">
      <alignment horizontal="center" vertical="center" wrapText="1"/>
    </xf>
    <xf numFmtId="0" fontId="108" fillId="0" borderId="133" xfId="0" applyFont="1" applyBorder="1" applyAlignment="1">
      <alignment horizontal="center" vertical="center" wrapText="1"/>
    </xf>
    <xf numFmtId="0" fontId="108" fillId="0" borderId="134" xfId="0" applyFont="1" applyBorder="1" applyAlignment="1">
      <alignment horizontal="center" vertical="center" wrapText="1"/>
    </xf>
    <xf numFmtId="38" fontId="8" fillId="13" borderId="70"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54" xfId="0" applyFill="1" applyBorder="1" applyAlignment="1" applyProtection="1">
      <alignment horizontal="left"/>
      <protection locked="0"/>
    </xf>
    <xf numFmtId="0" fontId="0" fillId="10" borderId="57" xfId="0" applyFill="1" applyBorder="1" applyAlignment="1" applyProtection="1">
      <alignment horizontal="left"/>
      <protection locked="0"/>
    </xf>
    <xf numFmtId="0" fontId="0" fillId="10" borderId="55" xfId="0" applyFill="1" applyBorder="1" applyAlignment="1" applyProtection="1">
      <alignment horizontal="left"/>
      <protection locked="0"/>
    </xf>
    <xf numFmtId="0" fontId="4" fillId="5" borderId="104" xfId="0" applyFont="1" applyFill="1" applyBorder="1" applyAlignment="1" applyProtection="1">
      <alignment horizontal="left" vertical="center"/>
      <protection locked="0"/>
    </xf>
    <xf numFmtId="175" fontId="4" fillId="5" borderId="104" xfId="0" applyNumberFormat="1" applyFont="1" applyFill="1" applyBorder="1" applyAlignment="1" applyProtection="1">
      <alignment horizontal="center" vertical="center"/>
      <protection locked="0"/>
    </xf>
    <xf numFmtId="0" fontId="232"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01" xfId="0" applyNumberFormat="1" applyFont="1" applyFill="1" applyBorder="1" applyAlignment="1" applyProtection="1">
      <alignment horizontal="center" vertical="center"/>
      <protection locked="0"/>
    </xf>
    <xf numFmtId="10" fontId="13" fillId="10" borderId="102" xfId="0" applyNumberFormat="1" applyFont="1" applyFill="1" applyBorder="1" applyAlignment="1" applyProtection="1">
      <alignment horizontal="center" vertical="center"/>
      <protection locked="0"/>
    </xf>
    <xf numFmtId="10" fontId="13" fillId="10" borderId="103" xfId="0" applyNumberFormat="1" applyFont="1" applyFill="1" applyBorder="1" applyAlignment="1" applyProtection="1">
      <alignment horizontal="center" vertical="center"/>
      <protection locked="0"/>
    </xf>
    <xf numFmtId="0" fontId="100" fillId="5" borderId="56" xfId="0" applyFont="1" applyFill="1" applyBorder="1" applyAlignment="1" applyProtection="1">
      <alignment horizontal="center" vertical="center"/>
      <protection locked="0"/>
    </xf>
    <xf numFmtId="0" fontId="100" fillId="5" borderId="194"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4"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65" fontId="24" fillId="0" borderId="54" xfId="13" applyNumberFormat="1" applyFont="1" applyBorder="1" applyAlignment="1">
      <alignment horizontal="center" vertical="center"/>
    </xf>
    <xf numFmtId="165" fontId="24" fillId="0" borderId="55" xfId="13" applyNumberFormat="1" applyFont="1" applyBorder="1" applyAlignment="1">
      <alignment horizontal="center" vertical="center"/>
    </xf>
    <xf numFmtId="0" fontId="143" fillId="0" borderId="0" xfId="13" applyFont="1" applyAlignment="1">
      <alignment horizontal="center" vertical="center"/>
    </xf>
    <xf numFmtId="0" fontId="219"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87" xfId="13" applyFill="1" applyBorder="1" applyAlignment="1">
      <alignment horizontal="left" vertical="top" wrapText="1"/>
    </xf>
    <xf numFmtId="0" fontId="3" fillId="10" borderId="65"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80" xfId="33" applyFont="1" applyFill="1" applyBorder="1" applyAlignment="1">
      <alignment horizontal="center"/>
    </xf>
    <xf numFmtId="0" fontId="206" fillId="13" borderId="105"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01" xfId="34" applyNumberFormat="1" applyFont="1" applyFill="1" applyBorder="1" applyAlignment="1" applyProtection="1">
      <alignment horizontal="center" vertical="center"/>
      <protection locked="0"/>
    </xf>
    <xf numFmtId="37" fontId="211" fillId="13" borderId="103"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57" xfId="34" applyNumberFormat="1" applyFont="1" applyFill="1" applyBorder="1" applyAlignment="1">
      <alignment horizontal="center" wrapText="1"/>
    </xf>
    <xf numFmtId="164" fontId="83" fillId="11" borderId="55" xfId="34" applyNumberFormat="1" applyFont="1" applyFill="1" applyBorder="1" applyAlignment="1">
      <alignment horizontal="center" wrapText="1"/>
    </xf>
    <xf numFmtId="37" fontId="205" fillId="11" borderId="102" xfId="34" applyNumberFormat="1" applyFont="1" applyFill="1" applyBorder="1" applyAlignment="1" applyProtection="1">
      <alignment horizontal="center" vertical="center"/>
      <protection locked="0"/>
    </xf>
    <xf numFmtId="37" fontId="205" fillId="11" borderId="103" xfId="34" applyNumberFormat="1" applyFont="1" applyFill="1" applyBorder="1" applyAlignment="1" applyProtection="1">
      <alignment horizontal="center" vertical="center"/>
      <protection locked="0"/>
    </xf>
    <xf numFmtId="0" fontId="206" fillId="13" borderId="60"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54" xfId="34" applyNumberFormat="1" applyFont="1" applyFill="1" applyBorder="1" applyAlignment="1" applyProtection="1">
      <alignment horizontal="center" vertical="center"/>
      <protection locked="0"/>
    </xf>
    <xf numFmtId="164" fontId="205" fillId="13" borderId="101" xfId="34" applyNumberFormat="1" applyFont="1" applyFill="1" applyBorder="1" applyAlignment="1" applyProtection="1">
      <alignment horizontal="center" vertical="center"/>
      <protection locked="0"/>
    </xf>
    <xf numFmtId="164" fontId="205" fillId="13" borderId="153" xfId="34" applyNumberFormat="1" applyFont="1" applyFill="1" applyBorder="1" applyAlignment="1" applyProtection="1">
      <alignment horizontal="center" vertical="center"/>
      <protection locked="0"/>
    </xf>
    <xf numFmtId="164" fontId="207" fillId="13" borderId="54" xfId="34" applyNumberFormat="1" applyFont="1" applyFill="1" applyBorder="1" applyAlignment="1" applyProtection="1">
      <alignment horizontal="center" vertical="center"/>
      <protection locked="0"/>
    </xf>
    <xf numFmtId="164" fontId="207" fillId="13" borderId="123" xfId="34" applyNumberFormat="1" applyFont="1" applyFill="1" applyBorder="1" applyAlignment="1" applyProtection="1">
      <alignment horizontal="center" vertical="center"/>
      <protection locked="0"/>
    </xf>
    <xf numFmtId="164" fontId="205" fillId="13" borderId="54" xfId="34" applyNumberFormat="1" applyFont="1" applyFill="1" applyBorder="1" applyAlignment="1" applyProtection="1">
      <alignment horizontal="center" vertical="center"/>
      <protection locked="0"/>
    </xf>
    <xf numFmtId="164" fontId="205" fillId="13" borderId="12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55"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4"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07" xfId="13" applyNumberFormat="1" applyFill="1" applyBorder="1" applyAlignment="1">
      <alignment horizontal="center" vertical="center"/>
    </xf>
    <xf numFmtId="3" fontId="3" fillId="10" borderId="106"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47" xfId="13" applyBorder="1" applyAlignment="1">
      <alignment horizontal="center" vertical="center"/>
    </xf>
    <xf numFmtId="0" fontId="3" fillId="0" borderId="148" xfId="13" applyBorder="1" applyAlignment="1">
      <alignment horizontal="center" vertical="center"/>
    </xf>
    <xf numFmtId="0" fontId="3" fillId="0" borderId="149"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126"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07" xfId="13" applyFill="1" applyBorder="1" applyAlignment="1">
      <alignment horizontal="center" vertical="center"/>
    </xf>
    <xf numFmtId="0" fontId="3" fillId="10" borderId="102" xfId="13" applyFill="1" applyBorder="1" applyAlignment="1">
      <alignment horizontal="center" vertical="center"/>
    </xf>
    <xf numFmtId="0" fontId="3" fillId="10" borderId="103" xfId="13" applyFill="1" applyBorder="1" applyAlignment="1">
      <alignment horizontal="center" vertical="center"/>
    </xf>
    <xf numFmtId="0" fontId="8" fillId="10" borderId="64"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0" fontId="40" fillId="0" borderId="54" xfId="0" applyFont="1" applyBorder="1" applyAlignment="1">
      <alignment horizontal="center" vertical="center"/>
    </xf>
    <xf numFmtId="0" fontId="40" fillId="0" borderId="57" xfId="0" applyFont="1" applyBorder="1" applyAlignment="1">
      <alignment horizontal="center" vertical="center"/>
    </xf>
    <xf numFmtId="0" fontId="40" fillId="0" borderId="55" xfId="0" applyFont="1" applyBorder="1" applyAlignment="1">
      <alignment horizontal="center" vertical="center"/>
    </xf>
    <xf numFmtId="3" fontId="38" fillId="20" borderId="54" xfId="10" applyNumberFormat="1" applyFont="1" applyFill="1" applyBorder="1" applyAlignment="1" applyProtection="1">
      <alignment horizontal="center" vertical="center"/>
    </xf>
    <xf numFmtId="3" fontId="38" fillId="20" borderId="55" xfId="10" applyNumberFormat="1" applyFont="1" applyFill="1" applyBorder="1" applyAlignment="1" applyProtection="1">
      <alignment horizontal="center" vertical="center"/>
    </xf>
    <xf numFmtId="9" fontId="38" fillId="0" borderId="54" xfId="0" applyNumberFormat="1" applyFont="1" applyBorder="1" applyAlignment="1">
      <alignment horizontal="center"/>
    </xf>
    <xf numFmtId="9" fontId="38" fillId="0" borderId="55" xfId="0" applyNumberFormat="1" applyFont="1" applyBorder="1" applyAlignment="1">
      <alignment horizontal="center"/>
    </xf>
    <xf numFmtId="0" fontId="200" fillId="0" borderId="194" xfId="0" applyFont="1" applyBorder="1" applyAlignment="1">
      <alignment horizontal="center"/>
    </xf>
    <xf numFmtId="9" fontId="38" fillId="0" borderId="101" xfId="0" applyNumberFormat="1" applyFont="1" applyBorder="1" applyAlignment="1">
      <alignment horizontal="center"/>
    </xf>
    <xf numFmtId="9" fontId="38" fillId="0" borderId="103" xfId="0" applyNumberFormat="1" applyFont="1" applyBorder="1" applyAlignment="1">
      <alignment horizont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54" xfId="1" applyNumberFormat="1" applyFont="1" applyFill="1" applyBorder="1" applyAlignment="1" applyProtection="1">
      <alignment horizontal="center" vertical="center"/>
    </xf>
    <xf numFmtId="3" fontId="38" fillId="0" borderId="55" xfId="1" applyNumberFormat="1" applyFont="1" applyFill="1" applyBorder="1" applyAlignment="1" applyProtection="1">
      <alignment horizontal="center" vertical="center"/>
    </xf>
    <xf numFmtId="3" fontId="38" fillId="0" borderId="101" xfId="1" applyNumberFormat="1" applyFont="1" applyFill="1" applyBorder="1" applyAlignment="1" applyProtection="1">
      <alignment horizontal="center" vertical="center"/>
    </xf>
    <xf numFmtId="3" fontId="38" fillId="0" borderId="103"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9" fontId="38" fillId="0" borderId="104"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3" fontId="38" fillId="20" borderId="54" xfId="1" applyNumberFormat="1" applyFont="1" applyFill="1" applyBorder="1" applyAlignment="1" applyProtection="1">
      <alignment horizontal="center" vertical="center"/>
    </xf>
    <xf numFmtId="3" fontId="38" fillId="20" borderId="55" xfId="1" applyNumberFormat="1" applyFont="1" applyFill="1" applyBorder="1" applyAlignment="1" applyProtection="1">
      <alignment horizontal="center" vertical="center"/>
    </xf>
    <xf numFmtId="0" fontId="38" fillId="20" borderId="54" xfId="0" applyFont="1" applyFill="1" applyBorder="1" applyAlignment="1">
      <alignment horizontal="center" vertical="center"/>
    </xf>
    <xf numFmtId="0" fontId="38" fillId="20" borderId="55" xfId="0" applyFont="1" applyFill="1" applyBorder="1" applyAlignment="1">
      <alignment horizontal="center" vertical="center"/>
    </xf>
    <xf numFmtId="38" fontId="38" fillId="0" borderId="104" xfId="0" applyNumberFormat="1" applyFont="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20" borderId="54" xfId="10" applyFont="1" applyFill="1" applyBorder="1" applyAlignment="1" applyProtection="1">
      <alignment horizontal="center" vertical="center"/>
    </xf>
    <xf numFmtId="9" fontId="38" fillId="20" borderId="55" xfId="10" applyFont="1" applyFill="1" applyBorder="1" applyAlignment="1" applyProtection="1">
      <alignment horizontal="center" vertical="center"/>
    </xf>
    <xf numFmtId="9" fontId="38" fillId="20" borderId="104"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9" fontId="38" fillId="0" borderId="60" xfId="10" applyFont="1" applyFill="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60"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04" xfId="10" applyNumberFormat="1" applyFont="1" applyFill="1" applyBorder="1" applyAlignment="1" applyProtection="1">
      <alignment horizontal="center" vertical="center"/>
    </xf>
    <xf numFmtId="9" fontId="38" fillId="0" borderId="104" xfId="10" applyFont="1" applyBorder="1" applyAlignment="1" applyProtection="1">
      <alignment horizontal="center" vertical="center"/>
    </xf>
    <xf numFmtId="0" fontId="195" fillId="0" borderId="0" xfId="0" applyFont="1" applyAlignment="1">
      <alignment horizontal="center" vertical="center" wrapText="1"/>
    </xf>
    <xf numFmtId="0" fontId="45" fillId="0" borderId="104" xfId="0" applyFont="1" applyBorder="1" applyAlignment="1">
      <alignment horizontal="center" vertical="center" wrapText="1"/>
    </xf>
    <xf numFmtId="0" fontId="45" fillId="0" borderId="12" xfId="0" applyFont="1" applyBorder="1" applyAlignment="1">
      <alignment horizontal="center" vertical="center" wrapText="1"/>
    </xf>
    <xf numFmtId="0" fontId="43" fillId="0" borderId="59"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0" fontId="50" fillId="8" borderId="196" xfId="0" applyFont="1" applyFill="1" applyBorder="1" applyAlignment="1">
      <alignment horizontal="center" vertical="center"/>
    </xf>
    <xf numFmtId="0" fontId="50" fillId="8" borderId="197" xfId="0" applyFont="1" applyFill="1" applyBorder="1" applyAlignment="1">
      <alignment horizontal="center" vertical="center"/>
    </xf>
    <xf numFmtId="0" fontId="50" fillId="8" borderId="198" xfId="0" applyFont="1" applyFill="1" applyBorder="1" applyAlignment="1">
      <alignment horizontal="center" vertical="center"/>
    </xf>
    <xf numFmtId="0" fontId="49" fillId="5" borderId="199" xfId="0" applyFont="1" applyFill="1" applyBorder="1" applyAlignment="1">
      <alignment horizontal="center" vertical="center"/>
    </xf>
    <xf numFmtId="0" fontId="49" fillId="6" borderId="199" xfId="0" applyFont="1" applyFill="1" applyBorder="1" applyAlignment="1">
      <alignment horizontal="center" vertical="center"/>
    </xf>
    <xf numFmtId="0" fontId="213" fillId="20" borderId="200" xfId="0" applyFont="1" applyFill="1" applyBorder="1" applyAlignment="1">
      <alignment horizontal="center" vertical="center" wrapText="1"/>
    </xf>
    <xf numFmtId="0" fontId="213" fillId="20" borderId="201" xfId="0" applyFont="1" applyFill="1" applyBorder="1" applyAlignment="1">
      <alignment horizontal="center" vertical="center" wrapText="1"/>
    </xf>
    <xf numFmtId="0" fontId="41" fillId="5" borderId="201" xfId="0" applyFont="1" applyFill="1" applyBorder="1" applyAlignment="1" applyProtection="1">
      <alignment horizontal="left" vertical="center"/>
      <protection locked="0"/>
    </xf>
    <xf numFmtId="0" fontId="41" fillId="0" borderId="201" xfId="0" applyFont="1" applyBorder="1" applyAlignment="1">
      <alignment horizontal="center" vertical="top" wrapText="1"/>
    </xf>
    <xf numFmtId="0" fontId="79" fillId="0" borderId="201" xfId="0" applyFont="1" applyBorder="1" applyAlignment="1">
      <alignment horizontal="center" vertical="top" wrapText="1"/>
    </xf>
    <xf numFmtId="0" fontId="41" fillId="0" borderId="201" xfId="0" applyFont="1" applyBorder="1" applyAlignment="1">
      <alignment vertical="center"/>
    </xf>
    <xf numFmtId="164" fontId="41" fillId="5" borderId="201" xfId="1" applyNumberFormat="1" applyFont="1" applyFill="1" applyBorder="1" applyAlignment="1" applyProtection="1">
      <alignment horizontal="right" vertical="center"/>
      <protection locked="0"/>
    </xf>
    <xf numFmtId="38" fontId="49" fillId="0" borderId="201" xfId="0" applyNumberFormat="1" applyFont="1" applyBorder="1" applyAlignment="1">
      <alignment horizontal="center" vertical="center"/>
    </xf>
    <xf numFmtId="38" fontId="41" fillId="0" borderId="201" xfId="0" applyNumberFormat="1" applyFont="1" applyBorder="1" applyAlignment="1">
      <alignment horizontal="center" vertical="center"/>
    </xf>
    <xf numFmtId="0" fontId="38" fillId="10" borderId="201" xfId="0" applyFont="1" applyFill="1" applyBorder="1" applyAlignment="1" applyProtection="1">
      <alignment horizontal="center" vertical="center" wrapText="1"/>
      <protection locked="0"/>
    </xf>
    <xf numFmtId="0" fontId="3" fillId="0" borderId="201" xfId="0" applyFont="1" applyBorder="1" applyAlignment="1">
      <alignment vertical="center"/>
    </xf>
    <xf numFmtId="0" fontId="186" fillId="0" borderId="201" xfId="0" applyFont="1" applyBorder="1" applyAlignment="1">
      <alignment horizontal="center" vertical="center"/>
    </xf>
    <xf numFmtId="164" fontId="3" fillId="0" borderId="201" xfId="1" applyNumberFormat="1" applyFont="1" applyFill="1" applyBorder="1" applyProtection="1"/>
    <xf numFmtId="0" fontId="24" fillId="5" borderId="201" xfId="33" applyFont="1" applyFill="1" applyBorder="1" applyAlignment="1" applyProtection="1">
      <alignment horizontal="left" vertical="top"/>
      <protection locked="0"/>
    </xf>
    <xf numFmtId="0" fontId="24" fillId="5" borderId="201" xfId="33" applyFont="1" applyFill="1" applyBorder="1" applyAlignment="1" applyProtection="1">
      <alignment vertical="center"/>
      <protection locked="0"/>
    </xf>
    <xf numFmtId="0" fontId="24" fillId="0" borderId="201" xfId="37" applyFont="1" applyBorder="1" applyAlignment="1">
      <alignment horizontal="center" vertical="center" wrapText="1"/>
    </xf>
    <xf numFmtId="0" fontId="24" fillId="0" borderId="201" xfId="37" applyFont="1" applyBorder="1" applyAlignment="1">
      <alignment horizontal="center" vertical="center"/>
    </xf>
    <xf numFmtId="0" fontId="130" fillId="13" borderId="201" xfId="37" applyFont="1" applyFill="1" applyBorder="1" applyAlignment="1">
      <alignment horizontal="center" vertical="center"/>
    </xf>
    <xf numFmtId="0" fontId="9" fillId="10" borderId="201" xfId="37" applyFont="1" applyFill="1" applyBorder="1" applyAlignment="1" applyProtection="1">
      <alignment horizontal="left" vertical="center"/>
      <protection locked="0"/>
    </xf>
    <xf numFmtId="0" fontId="205" fillId="0" borderId="201" xfId="33" applyFont="1" applyBorder="1" applyAlignment="1">
      <alignment vertical="center"/>
    </xf>
    <xf numFmtId="164" fontId="83" fillId="0" borderId="201" xfId="34" applyNumberFormat="1" applyFont="1" applyFill="1" applyBorder="1" applyAlignment="1">
      <alignment horizontal="center" wrapText="1"/>
    </xf>
    <xf numFmtId="0" fontId="205" fillId="0" borderId="201" xfId="33" applyFont="1" applyBorder="1"/>
    <xf numFmtId="0" fontId="205" fillId="0" borderId="202" xfId="33" applyFont="1" applyBorder="1" applyAlignment="1"/>
    <xf numFmtId="0" fontId="89" fillId="0" borderId="201" xfId="0" applyFont="1" applyBorder="1" applyAlignment="1">
      <alignment horizontal="center" vertical="center" wrapText="1"/>
    </xf>
    <xf numFmtId="10" fontId="4" fillId="0" borderId="201" xfId="0" applyNumberFormat="1" applyFont="1" applyBorder="1" applyAlignment="1">
      <alignment horizontal="right" vertical="center"/>
    </xf>
    <xf numFmtId="0" fontId="4" fillId="0" borderId="201" xfId="0" applyFont="1" applyBorder="1" applyAlignment="1">
      <alignment horizontal="right" vertical="center"/>
    </xf>
    <xf numFmtId="0" fontId="3" fillId="0" borderId="201" xfId="0" applyFont="1" applyBorder="1"/>
    <xf numFmtId="0" fontId="10" fillId="13" borderId="201" xfId="0" applyFont="1" applyFill="1" applyBorder="1" applyAlignment="1">
      <alignment horizontal="center" vertical="center"/>
    </xf>
    <xf numFmtId="6" fontId="5" fillId="13" borderId="201" xfId="0" applyNumberFormat="1" applyFont="1" applyFill="1" applyBorder="1" applyAlignment="1">
      <alignment horizontal="center" vertical="center"/>
    </xf>
    <xf numFmtId="0" fontId="100" fillId="10" borderId="201" xfId="0" applyFont="1" applyFill="1" applyBorder="1" applyAlignment="1" applyProtection="1">
      <alignment horizontal="center" vertical="center"/>
      <protection locked="0"/>
    </xf>
    <xf numFmtId="0" fontId="100" fillId="5" borderId="201" xfId="0" applyFont="1" applyFill="1" applyBorder="1" applyAlignment="1" applyProtection="1">
      <alignment horizontal="center" vertical="center"/>
      <protection locked="0"/>
    </xf>
    <xf numFmtId="0" fontId="14" fillId="0" borderId="201" xfId="0" applyFont="1" applyBorder="1" applyAlignment="1">
      <alignment horizontal="center" vertical="top" wrapText="1"/>
    </xf>
    <xf numFmtId="0" fontId="74" fillId="20" borderId="201" xfId="0" applyFont="1" applyFill="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6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28515625" defaultRowHeight="12.75"/>
  <cols>
    <col min="1" max="1" width="171.42578125" customWidth="1"/>
  </cols>
  <sheetData>
    <row r="1" spans="1:6" ht="15" customHeight="1">
      <c r="A1" s="504" t="s">
        <v>0</v>
      </c>
    </row>
    <row r="2" spans="1:6" ht="15" customHeight="1">
      <c r="A2" s="505" t="str">
        <f>'Part I-Project Identification'!F26</f>
        <v>Finley Place</v>
      </c>
    </row>
    <row r="3" spans="1:6" ht="15" customHeight="1">
      <c r="A3" s="505" t="str">
        <f>CONCATENATE('Part I-Project Identification'!F27,", ", 'Part I-Project Identification'!J27," County")</f>
        <v>Austell, Cobb County</v>
      </c>
    </row>
    <row r="4" spans="1:6" ht="12" customHeight="1">
      <c r="A4" s="821"/>
    </row>
    <row r="5" spans="1:6" ht="72" customHeight="1">
      <c r="A5" s="2842" t="s">
        <v>1</v>
      </c>
      <c r="B5" s="2843" t="s">
        <v>2</v>
      </c>
      <c r="C5" s="2843"/>
      <c r="D5" s="2843"/>
      <c r="E5" s="2843"/>
      <c r="F5" s="2843"/>
    </row>
    <row r="6" spans="1:6" ht="6.6" customHeight="1">
      <c r="A6" s="2842"/>
      <c r="B6" s="2843"/>
      <c r="C6" s="2843"/>
      <c r="D6" s="2843"/>
      <c r="E6" s="2843"/>
      <c r="F6" s="2843"/>
    </row>
    <row r="7" spans="1:6" ht="72" customHeight="1">
      <c r="A7" s="2842"/>
      <c r="B7" s="2843"/>
      <c r="C7" s="2843"/>
      <c r="D7" s="2843"/>
      <c r="E7" s="2843"/>
      <c r="F7" s="2843"/>
    </row>
    <row r="8" spans="1:6" ht="6.6" customHeight="1">
      <c r="A8" s="2842"/>
    </row>
    <row r="9" spans="1:6" ht="72" customHeight="1">
      <c r="A9" s="2842"/>
    </row>
    <row r="10" spans="1:6" ht="6.6" customHeight="1">
      <c r="A10" s="2842"/>
    </row>
    <row r="11" spans="1:6" ht="72" customHeight="1">
      <c r="A11" s="2842"/>
    </row>
    <row r="12" spans="1:6" ht="6.6" customHeight="1">
      <c r="A12" s="2842"/>
    </row>
    <row r="13" spans="1:6" ht="72" customHeight="1">
      <c r="A13" s="2842"/>
    </row>
    <row r="14" spans="1:6" ht="6.6" customHeight="1">
      <c r="A14" s="2842"/>
    </row>
    <row r="15" spans="1:6" ht="72" customHeight="1">
      <c r="A15" s="2842"/>
    </row>
    <row r="16" spans="1:6" ht="6.6" customHeight="1">
      <c r="A16" s="2842"/>
    </row>
    <row r="17" spans="1:1" ht="72" customHeight="1">
      <c r="A17" s="2842"/>
    </row>
    <row r="18" spans="1:1" ht="6.6" customHeight="1">
      <c r="A18" s="2842"/>
    </row>
    <row r="19" spans="1:1" ht="72" customHeight="1">
      <c r="A19" s="2842"/>
    </row>
    <row r="20" spans="1:1" ht="6.6" customHeight="1">
      <c r="A20" s="2842"/>
    </row>
    <row r="21" spans="1:1" ht="72" customHeight="1">
      <c r="A21" s="2842"/>
    </row>
    <row r="22" spans="1:1" ht="6.6" customHeight="1">
      <c r="A22" s="2842"/>
    </row>
    <row r="23" spans="1:1" ht="72" customHeight="1">
      <c r="A23" s="2842"/>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17" zoomScale="85" zoomScaleNormal="85" workbookViewId="0">
      <selection activeCell="J14" sqref="J14"/>
    </sheetView>
  </sheetViews>
  <sheetFormatPr defaultColWidth="9.28515625" defaultRowHeight="12.75"/>
  <cols>
    <col min="1" max="1" width="2.7109375" style="4" customWidth="1"/>
    <col min="2" max="2" width="10" style="4" customWidth="1"/>
    <col min="3" max="3" width="7.5703125" style="4" customWidth="1"/>
    <col min="4" max="4" width="6.42578125" style="4" customWidth="1"/>
    <col min="5" max="5" width="6.7109375" style="4" customWidth="1"/>
    <col min="6" max="6" width="8.28515625" style="4" customWidth="1"/>
    <col min="7" max="8" width="9.7109375" style="4" customWidth="1"/>
    <col min="9" max="9" width="10.7109375" style="4" customWidth="1"/>
    <col min="10" max="10" width="11.7109375" style="4" customWidth="1"/>
    <col min="11" max="11" width="10.28515625" style="4" customWidth="1"/>
    <col min="12" max="12" width="9.7109375" style="4" customWidth="1"/>
    <col min="13" max="14" width="11" style="4" customWidth="1"/>
    <col min="15" max="15" width="13.7109375" style="4" customWidth="1"/>
    <col min="16" max="16" width="15.42578125" style="4" customWidth="1"/>
    <col min="17" max="17" width="12.42578125" style="35" customWidth="1"/>
    <col min="18" max="18" width="9.7109375" style="35" customWidth="1"/>
    <col min="19" max="21" width="7.7109375" style="35" customWidth="1"/>
    <col min="22" max="22" width="59.28515625" style="35" customWidth="1"/>
    <col min="23" max="23" width="47.7109375" style="35" customWidth="1"/>
    <col min="24" max="137" width="9.28515625" style="251"/>
    <col min="138" max="138" width="12.5703125" style="251" customWidth="1"/>
    <col min="139" max="139" width="8.28515625" style="251" customWidth="1"/>
    <col min="140" max="143" width="7.28515625" style="251" customWidth="1"/>
    <col min="144" max="144" width="8.28515625" style="251" customWidth="1"/>
    <col min="145" max="148" width="7.28515625" style="251" customWidth="1"/>
    <col min="149" max="158" width="9.28515625" style="251"/>
    <col min="159" max="159" width="8.28515625" style="251" customWidth="1"/>
    <col min="160" max="163" width="7.28515625" style="251" customWidth="1"/>
    <col min="164" max="168" width="9.28515625" style="251"/>
    <col min="169" max="169" width="8.28515625" style="251" customWidth="1"/>
    <col min="170" max="173" width="7.28515625" style="251" customWidth="1"/>
    <col min="174" max="253" width="9.28515625" style="251"/>
    <col min="254" max="258" width="11.28515625" style="251" customWidth="1"/>
    <col min="259" max="273" width="9.28515625" style="251"/>
    <col min="274" max="274" width="10.28515625" style="251" customWidth="1"/>
    <col min="275" max="278" width="10" style="251" customWidth="1"/>
    <col min="279" max="282" width="9.28515625" style="251"/>
    <col min="283" max="283" width="9.28515625" style="1318"/>
    <col min="284" max="287" width="9.28515625" style="251"/>
    <col min="288" max="288" width="9.28515625" style="1318"/>
    <col min="289" max="292" width="11.42578125" style="251" customWidth="1"/>
    <col min="293" max="293" width="11.42578125" style="1318" customWidth="1"/>
    <col min="294" max="297" width="11.42578125" style="251" customWidth="1"/>
    <col min="298" max="298" width="11.42578125" style="1318" customWidth="1"/>
    <col min="299" max="313" width="9.28515625" style="1318"/>
    <col min="314" max="318" width="11" style="1318" customWidth="1"/>
    <col min="319" max="319" width="9.28515625" style="1318"/>
    <col min="320" max="325" width="9.28515625" style="251"/>
    <col min="326" max="326" width="9.28515625" style="255"/>
    <col min="327" max="341" width="9.28515625" style="251"/>
    <col min="342" max="343" width="9.28515625" style="255"/>
    <col min="344" max="350" width="10.28515625" style="251" customWidth="1"/>
    <col min="351" max="353" width="9.28515625" style="251"/>
    <col min="354" max="354" width="10.42578125" style="251" customWidth="1"/>
    <col min="355" max="358" width="10.28515625" style="251" customWidth="1"/>
    <col min="359" max="378" width="9.28515625" style="77"/>
    <col min="379" max="379" width="9.28515625" style="251"/>
    <col min="380" max="380" width="9.28515625" style="1292"/>
    <col min="381" max="381" width="9.28515625" style="2080"/>
    <col min="382" max="493" width="9.28515625" style="77"/>
    <col min="494" max="16384" width="9.28515625" style="35"/>
  </cols>
  <sheetData>
    <row r="1" spans="1:493" s="1292" customFormat="1" hidden="1">
      <c r="B1" s="1292" t="s">
        <v>815</v>
      </c>
      <c r="C1" s="1292" t="s">
        <v>816</v>
      </c>
      <c r="D1" s="1292" t="s">
        <v>817</v>
      </c>
      <c r="E1" s="1292" t="s">
        <v>818</v>
      </c>
      <c r="F1" s="1292" t="s">
        <v>819</v>
      </c>
      <c r="G1" s="1292" t="s">
        <v>820</v>
      </c>
      <c r="H1" s="1292" t="s">
        <v>821</v>
      </c>
      <c r="I1" s="1292" t="s">
        <v>822</v>
      </c>
      <c r="J1" s="1292" t="s">
        <v>823</v>
      </c>
      <c r="K1" s="1292" t="s">
        <v>824</v>
      </c>
      <c r="L1" s="1292" t="s">
        <v>825</v>
      </c>
      <c r="M1" s="1292" t="s">
        <v>826</v>
      </c>
      <c r="N1" s="1292" t="s">
        <v>827</v>
      </c>
      <c r="O1" s="1292" t="s">
        <v>828</v>
      </c>
      <c r="P1" s="1292" t="s">
        <v>829</v>
      </c>
      <c r="Q1" s="1292" t="s">
        <v>830</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318"/>
      <c r="JX1" s="251"/>
      <c r="JY1" s="251"/>
      <c r="JZ1" s="251"/>
      <c r="KA1" s="251"/>
      <c r="KB1" s="1318"/>
      <c r="KC1" s="251"/>
      <c r="KD1" s="251"/>
      <c r="KE1" s="251"/>
      <c r="KF1" s="251"/>
      <c r="KG1" s="1318"/>
      <c r="KH1" s="251"/>
      <c r="KI1" s="251"/>
      <c r="KJ1" s="251"/>
      <c r="KK1" s="251"/>
      <c r="KL1" s="1318"/>
      <c r="KM1" s="1318"/>
      <c r="KN1" s="1318"/>
      <c r="KO1" s="1318"/>
      <c r="KP1" s="1318"/>
      <c r="KQ1" s="1318"/>
      <c r="KR1" s="1318"/>
      <c r="KS1" s="1318"/>
      <c r="KT1" s="1318"/>
      <c r="KU1" s="1318"/>
      <c r="KV1" s="1318"/>
      <c r="KW1" s="1318"/>
      <c r="KX1" s="1318"/>
      <c r="KY1" s="1318"/>
      <c r="KZ1" s="1318"/>
      <c r="LA1" s="1318"/>
      <c r="LB1" s="1318"/>
      <c r="LC1" s="1318"/>
      <c r="LD1" s="1318"/>
      <c r="LE1" s="1318"/>
      <c r="LF1" s="1318"/>
      <c r="LG1" s="131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2080"/>
      <c r="NR1" s="1514"/>
      <c r="NS1" s="1514"/>
      <c r="NT1" s="1514"/>
      <c r="NU1" s="1514"/>
      <c r="NV1" s="1514"/>
      <c r="NW1" s="1514"/>
      <c r="NX1" s="1514"/>
      <c r="NY1" s="1514"/>
      <c r="NZ1" s="1514"/>
      <c r="OA1" s="1514"/>
      <c r="OB1" s="1514"/>
      <c r="OC1" s="1514"/>
      <c r="OD1" s="1514"/>
      <c r="OE1" s="1514"/>
      <c r="OF1" s="1514"/>
      <c r="OG1" s="1514"/>
      <c r="OH1" s="1514"/>
    </row>
    <row r="2" spans="1:493" s="41" customFormat="1" ht="14.1" customHeight="1">
      <c r="A2" s="3130" t="str">
        <f>CONCATENATE("PART FOUR - PROJECTED REVENUES &amp; EXPENSES","  -  ",'Part I-Project Identification'!$O$7," ",'Part I-Project Identification'!$F$26,", ",'Part I-Project Identification'!F27,", ",'Part I-Project Identification'!J27," County")</f>
        <v>PART FOUR - PROJECTED REVENUES &amp; EXPENSES  -  2024-0 Finley Place, Austell, Cobb County</v>
      </c>
      <c r="B2" s="3131"/>
      <c r="C2" s="3131"/>
      <c r="D2" s="3131"/>
      <c r="E2" s="3131"/>
      <c r="F2" s="3131"/>
      <c r="G2" s="3131"/>
      <c r="H2" s="3131"/>
      <c r="I2" s="3131"/>
      <c r="J2" s="3131"/>
      <c r="K2" s="3131"/>
      <c r="L2" s="3131"/>
      <c r="M2" s="3131"/>
      <c r="N2" s="3131"/>
      <c r="O2" s="3131"/>
      <c r="P2" s="3131"/>
      <c r="Q2" s="3132"/>
      <c r="T2" s="1056" t="str">
        <f>A2</f>
        <v>PART FOUR - PROJECTED REVENUES &amp; EXPENSES  -  2024-0 Finley Place, Austell, Cobb County</v>
      </c>
      <c r="U2" s="1056"/>
      <c r="V2" s="1056"/>
      <c r="W2" s="1056"/>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454"/>
      <c r="KJ2" s="1454"/>
      <c r="KK2" s="1454"/>
      <c r="KL2" s="1454"/>
      <c r="KM2" s="253"/>
      <c r="KN2" s="253"/>
      <c r="KO2" s="1317"/>
      <c r="KP2" s="253"/>
      <c r="KQ2" s="253"/>
      <c r="KR2" s="253"/>
      <c r="KS2" s="253"/>
      <c r="KT2" s="1317"/>
      <c r="KU2" s="253"/>
      <c r="KV2" s="253"/>
      <c r="KW2" s="253"/>
      <c r="KX2" s="253"/>
      <c r="KY2" s="1317"/>
      <c r="KZ2" s="253"/>
      <c r="LA2" s="253"/>
      <c r="LB2" s="253"/>
      <c r="LC2" s="253"/>
      <c r="LD2" s="131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93"/>
      <c r="NQ2" s="2082">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595"/>
      <c r="IA3" s="2595"/>
      <c r="IB3" s="2595"/>
      <c r="IC3" s="2595"/>
      <c r="ID3" s="2595"/>
      <c r="IE3" s="2595"/>
      <c r="IF3" s="2595"/>
      <c r="IG3" s="2595"/>
      <c r="IH3" s="2595"/>
      <c r="II3" s="2595"/>
      <c r="IJ3" s="2595"/>
      <c r="IK3" s="2595"/>
      <c r="IL3" s="2595"/>
      <c r="IM3" s="2595"/>
      <c r="IN3" s="2595"/>
      <c r="IO3" s="2595"/>
      <c r="IP3" s="2595"/>
      <c r="IQ3" s="2595"/>
      <c r="IR3" s="2595"/>
      <c r="IS3" s="2595"/>
      <c r="IT3" s="2595"/>
      <c r="IU3" s="2595"/>
      <c r="IV3" s="2595"/>
      <c r="IW3" s="2595"/>
      <c r="IX3" s="2595"/>
      <c r="IY3" s="2595"/>
      <c r="IZ3" s="2595"/>
      <c r="JA3" s="2595"/>
      <c r="JB3" s="2595"/>
      <c r="JC3" s="2595"/>
      <c r="JD3" s="2595"/>
      <c r="JE3" s="2595"/>
      <c r="JF3" s="2595"/>
      <c r="JG3" s="2595"/>
      <c r="JH3" s="2595"/>
      <c r="JI3" s="2595"/>
      <c r="JJ3" s="2595"/>
      <c r="JK3" s="2595"/>
      <c r="JL3" s="2595"/>
      <c r="JM3" s="2595"/>
      <c r="JN3" s="2595"/>
      <c r="JO3" s="2595"/>
      <c r="JP3" s="2595"/>
      <c r="JQ3" s="2595"/>
      <c r="JR3" s="2595"/>
      <c r="JS3" s="2595"/>
      <c r="JT3" s="2595"/>
      <c r="JU3" s="2595"/>
      <c r="JV3" s="2595"/>
      <c r="JW3" s="2595"/>
      <c r="JX3" s="2595"/>
      <c r="JY3" s="2595"/>
      <c r="JZ3" s="2595"/>
      <c r="KA3" s="2595"/>
      <c r="KB3" s="2595"/>
      <c r="KC3" s="2595"/>
      <c r="KD3" s="2595"/>
      <c r="KE3" s="2595"/>
      <c r="KF3" s="2595"/>
      <c r="KG3" s="2595"/>
      <c r="KH3" s="2595"/>
      <c r="KI3" s="1445"/>
      <c r="KJ3" s="1445"/>
      <c r="KK3" s="1445"/>
      <c r="KL3" s="1445"/>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2080">
        <v>3</v>
      </c>
    </row>
    <row r="4" spans="1:493" s="41" customFormat="1" ht="12.6" customHeight="1">
      <c r="A4" s="3" t="s">
        <v>21</v>
      </c>
      <c r="B4" s="3" t="s">
        <v>831</v>
      </c>
      <c r="C4" s="43"/>
      <c r="D4" s="1118" t="s">
        <v>832</v>
      </c>
      <c r="E4" s="1118"/>
      <c r="F4" s="1118"/>
      <c r="G4" s="1118"/>
      <c r="H4" s="1118"/>
      <c r="I4" s="1118"/>
      <c r="J4" s="1118"/>
      <c r="K4" s="59"/>
      <c r="L4" s="59"/>
      <c r="M4" s="59"/>
      <c r="O4" s="104" t="s">
        <v>833</v>
      </c>
      <c r="P4" s="3416" t="str">
        <f>'Part I-Project Identification'!$O$29</f>
        <v>Atlanta-Sandy Springs-Marietta</v>
      </c>
      <c r="Q4" s="3416"/>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2659"/>
      <c r="IA4" s="2659"/>
      <c r="IB4" s="2659"/>
      <c r="IC4" s="2659"/>
      <c r="ID4" s="2659"/>
      <c r="IE4" s="2595" t="s">
        <v>834</v>
      </c>
      <c r="IF4" s="2595" t="s">
        <v>835</v>
      </c>
      <c r="IG4" s="2595" t="s">
        <v>836</v>
      </c>
      <c r="IH4" s="2595" t="s">
        <v>837</v>
      </c>
      <c r="II4" s="2595" t="s">
        <v>838</v>
      </c>
      <c r="IJ4" s="2595" t="s">
        <v>834</v>
      </c>
      <c r="IK4" s="2595" t="s">
        <v>835</v>
      </c>
      <c r="IL4" s="2595" t="s">
        <v>836</v>
      </c>
      <c r="IM4" s="2595" t="s">
        <v>837</v>
      </c>
      <c r="IN4" s="2595" t="s">
        <v>838</v>
      </c>
      <c r="IO4" s="2659"/>
      <c r="IP4" s="2659"/>
      <c r="IQ4" s="2659"/>
      <c r="IR4" s="2659"/>
      <c r="IS4" s="2659"/>
      <c r="IT4" s="2659"/>
      <c r="IU4" s="2659"/>
      <c r="IV4" s="2659"/>
      <c r="IW4" s="2659"/>
      <c r="IX4" s="2659"/>
      <c r="IY4" s="2595" t="s">
        <v>834</v>
      </c>
      <c r="IZ4" s="2595" t="s">
        <v>835</v>
      </c>
      <c r="JA4" s="2595" t="s">
        <v>836</v>
      </c>
      <c r="JB4" s="2595" t="s">
        <v>837</v>
      </c>
      <c r="JC4" s="2595" t="s">
        <v>838</v>
      </c>
      <c r="JD4" s="2595" t="s">
        <v>834</v>
      </c>
      <c r="JE4" s="2595" t="s">
        <v>835</v>
      </c>
      <c r="JF4" s="2595" t="s">
        <v>836</v>
      </c>
      <c r="JG4" s="2595" t="s">
        <v>837</v>
      </c>
      <c r="JH4" s="2595" t="s">
        <v>838</v>
      </c>
      <c r="JI4" s="2595" t="s">
        <v>834</v>
      </c>
      <c r="JJ4" s="2595" t="s">
        <v>835</v>
      </c>
      <c r="JK4" s="2595" t="s">
        <v>836</v>
      </c>
      <c r="JL4" s="2595" t="s">
        <v>837</v>
      </c>
      <c r="JM4" s="2595" t="s">
        <v>838</v>
      </c>
      <c r="JN4" s="2595" t="s">
        <v>834</v>
      </c>
      <c r="JO4" s="2595" t="s">
        <v>835</v>
      </c>
      <c r="JP4" s="2595" t="s">
        <v>836</v>
      </c>
      <c r="JQ4" s="2595" t="s">
        <v>837</v>
      </c>
      <c r="JR4" s="2595" t="s">
        <v>838</v>
      </c>
      <c r="JS4" s="2595" t="s">
        <v>834</v>
      </c>
      <c r="JT4" s="2595" t="s">
        <v>835</v>
      </c>
      <c r="JU4" s="2595" t="s">
        <v>836</v>
      </c>
      <c r="JV4" s="2595" t="s">
        <v>837</v>
      </c>
      <c r="JW4" s="2595" t="s">
        <v>838</v>
      </c>
      <c r="JX4" s="2595" t="s">
        <v>834</v>
      </c>
      <c r="JY4" s="2595" t="s">
        <v>835</v>
      </c>
      <c r="JZ4" s="2595" t="s">
        <v>836</v>
      </c>
      <c r="KA4" s="2595" t="s">
        <v>837</v>
      </c>
      <c r="KB4" s="2595" t="s">
        <v>838</v>
      </c>
      <c r="KC4" s="2595" t="s">
        <v>834</v>
      </c>
      <c r="KD4" s="2595" t="s">
        <v>835</v>
      </c>
      <c r="KE4" s="2595" t="s">
        <v>836</v>
      </c>
      <c r="KF4" s="2595" t="s">
        <v>837</v>
      </c>
      <c r="KG4" s="2595" t="s">
        <v>838</v>
      </c>
      <c r="KH4" s="2595" t="s">
        <v>834</v>
      </c>
      <c r="KI4" s="1445" t="s">
        <v>835</v>
      </c>
      <c r="KJ4" s="1445" t="s">
        <v>836</v>
      </c>
      <c r="KK4" s="1445" t="s">
        <v>837</v>
      </c>
      <c r="KL4" s="1445" t="s">
        <v>838</v>
      </c>
      <c r="KM4" s="1445" t="s">
        <v>834</v>
      </c>
      <c r="KN4" s="1445" t="s">
        <v>835</v>
      </c>
      <c r="KO4" s="1445" t="s">
        <v>836</v>
      </c>
      <c r="KP4" s="1445" t="s">
        <v>837</v>
      </c>
      <c r="KQ4" s="1445" t="s">
        <v>838</v>
      </c>
      <c r="KR4" s="1445" t="s">
        <v>834</v>
      </c>
      <c r="KS4" s="1445" t="s">
        <v>835</v>
      </c>
      <c r="KT4" s="1445" t="s">
        <v>836</v>
      </c>
      <c r="KU4" s="1445" t="s">
        <v>837</v>
      </c>
      <c r="KV4" s="1445" t="s">
        <v>838</v>
      </c>
      <c r="KW4" s="1445" t="s">
        <v>834</v>
      </c>
      <c r="KX4" s="1445" t="s">
        <v>835</v>
      </c>
      <c r="KY4" s="1445" t="s">
        <v>836</v>
      </c>
      <c r="KZ4" s="1445" t="s">
        <v>837</v>
      </c>
      <c r="LA4" s="1445" t="s">
        <v>838</v>
      </c>
      <c r="LB4" s="1445" t="s">
        <v>834</v>
      </c>
      <c r="LC4" s="1445" t="s">
        <v>835</v>
      </c>
      <c r="LD4" s="1445" t="s">
        <v>836</v>
      </c>
      <c r="LE4" s="1445" t="s">
        <v>837</v>
      </c>
      <c r="LF4" s="1445" t="s">
        <v>838</v>
      </c>
      <c r="LG4" s="1106"/>
      <c r="LH4" s="1106"/>
      <c r="LI4" s="1106"/>
      <c r="LJ4" s="1106"/>
      <c r="LK4" s="1106"/>
      <c r="LL4" s="1106"/>
      <c r="LM4" s="1106"/>
      <c r="LN4" s="1106"/>
      <c r="LO4" s="1106"/>
      <c r="LP4" s="1106"/>
      <c r="LQ4" s="1106"/>
      <c r="LR4" s="1106"/>
      <c r="LS4" s="1106"/>
      <c r="LT4" s="1106"/>
      <c r="LU4" s="1106"/>
      <c r="LV4" s="1106"/>
      <c r="LW4" s="1106"/>
      <c r="LX4" s="1106"/>
      <c r="LY4" s="1106"/>
      <c r="LZ4" s="1106"/>
      <c r="MA4" s="1106"/>
      <c r="MB4" s="1106"/>
      <c r="MC4" s="1106"/>
      <c r="MD4" s="1106"/>
      <c r="ME4" s="1106"/>
      <c r="MF4" s="3368" t="s">
        <v>839</v>
      </c>
      <c r="MG4" s="3368" t="s">
        <v>840</v>
      </c>
      <c r="MH4" s="3368" t="s">
        <v>841</v>
      </c>
      <c r="MI4" s="3368" t="s">
        <v>842</v>
      </c>
      <c r="MJ4" s="3368" t="s">
        <v>843</v>
      </c>
      <c r="MK4" s="1106"/>
      <c r="ML4" s="1106"/>
      <c r="MM4" s="1106"/>
      <c r="MN4" s="1106"/>
      <c r="MO4" s="1106"/>
      <c r="MP4" s="1106"/>
      <c r="MQ4" s="1106"/>
      <c r="MR4" s="1106"/>
      <c r="MS4" s="1106"/>
      <c r="MT4" s="1106"/>
      <c r="MU4" s="43"/>
      <c r="MV4" s="43"/>
      <c r="MW4" s="43"/>
      <c r="MX4" s="43"/>
      <c r="MY4" s="43"/>
      <c r="MZ4" s="43"/>
      <c r="NA4" s="43"/>
      <c r="NB4" s="43"/>
      <c r="NC4" s="43"/>
      <c r="ND4" s="43"/>
      <c r="NE4" s="43"/>
      <c r="NF4" s="43"/>
      <c r="NG4" s="43"/>
      <c r="NH4" s="43"/>
      <c r="NI4" s="43"/>
      <c r="NJ4" s="43"/>
      <c r="NK4" s="43"/>
      <c r="NL4" s="43"/>
      <c r="NM4" s="43"/>
      <c r="NN4" s="43"/>
      <c r="NO4" s="253"/>
      <c r="NP4" s="1293"/>
      <c r="NQ4" s="2082">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118"/>
      <c r="E5" s="1118"/>
      <c r="F5" s="1118"/>
      <c r="G5" s="1118"/>
      <c r="H5" s="1118"/>
      <c r="I5" s="1118"/>
      <c r="J5" s="1118"/>
      <c r="K5" s="43"/>
      <c r="L5" s="43"/>
      <c r="M5" s="43"/>
      <c r="N5" s="43"/>
      <c r="P5" s="1109"/>
      <c r="Q5" s="3423" t="s">
        <v>844</v>
      </c>
      <c r="R5" s="2543"/>
      <c r="S5" s="232"/>
      <c r="T5" s="232"/>
      <c r="U5" s="232"/>
      <c r="W5" s="233"/>
      <c r="X5" s="3362" t="s">
        <v>845</v>
      </c>
      <c r="Y5" s="3362" t="s">
        <v>846</v>
      </c>
      <c r="Z5" s="3362" t="s">
        <v>847</v>
      </c>
      <c r="AA5" s="3362" t="s">
        <v>848</v>
      </c>
      <c r="AB5" s="3362" t="s">
        <v>849</v>
      </c>
      <c r="AC5" s="3362" t="s">
        <v>850</v>
      </c>
      <c r="AD5" s="3362" t="s">
        <v>851</v>
      </c>
      <c r="AE5" s="3362" t="s">
        <v>852</v>
      </c>
      <c r="AF5" s="3362" t="s">
        <v>853</v>
      </c>
      <c r="AG5" s="3362" t="s">
        <v>854</v>
      </c>
      <c r="AH5" s="3362" t="s">
        <v>855</v>
      </c>
      <c r="AI5" s="3362" t="s">
        <v>856</v>
      </c>
      <c r="AJ5" s="3362" t="s">
        <v>857</v>
      </c>
      <c r="AK5" s="3362" t="s">
        <v>858</v>
      </c>
      <c r="AL5" s="3362" t="s">
        <v>859</v>
      </c>
      <c r="AM5" s="3362" t="s">
        <v>860</v>
      </c>
      <c r="AN5" s="3362" t="s">
        <v>861</v>
      </c>
      <c r="AO5" s="3362" t="s">
        <v>862</v>
      </c>
      <c r="AP5" s="3362" t="s">
        <v>863</v>
      </c>
      <c r="AQ5" s="3362" t="s">
        <v>864</v>
      </c>
      <c r="AR5" s="3362" t="s">
        <v>865</v>
      </c>
      <c r="AS5" s="3362" t="s">
        <v>866</v>
      </c>
      <c r="AT5" s="3362" t="s">
        <v>867</v>
      </c>
      <c r="AU5" s="3362" t="s">
        <v>868</v>
      </c>
      <c r="AV5" s="3362" t="s">
        <v>869</v>
      </c>
      <c r="AW5" s="3362" t="s">
        <v>870</v>
      </c>
      <c r="AX5" s="3362" t="s">
        <v>871</v>
      </c>
      <c r="AY5" s="3362" t="s">
        <v>872</v>
      </c>
      <c r="AZ5" s="3362" t="s">
        <v>873</v>
      </c>
      <c r="BA5" s="3362" t="s">
        <v>874</v>
      </c>
      <c r="BB5" s="3362" t="s">
        <v>875</v>
      </c>
      <c r="BC5" s="3362" t="s">
        <v>876</v>
      </c>
      <c r="BD5" s="3362" t="s">
        <v>877</v>
      </c>
      <c r="BE5" s="3362" t="s">
        <v>878</v>
      </c>
      <c r="BF5" s="3362" t="s">
        <v>879</v>
      </c>
      <c r="BG5" s="3362" t="s">
        <v>880</v>
      </c>
      <c r="BH5" s="3362" t="s">
        <v>881</v>
      </c>
      <c r="BI5" s="3362" t="s">
        <v>882</v>
      </c>
      <c r="BJ5" s="3362" t="s">
        <v>883</v>
      </c>
      <c r="BK5" s="3362" t="s">
        <v>884</v>
      </c>
      <c r="BL5" s="3362" t="s">
        <v>885</v>
      </c>
      <c r="BM5" s="3362" t="s">
        <v>886</v>
      </c>
      <c r="BN5" s="3362" t="s">
        <v>887</v>
      </c>
      <c r="BO5" s="3362" t="s">
        <v>888</v>
      </c>
      <c r="BP5" s="3362" t="s">
        <v>889</v>
      </c>
      <c r="BQ5" s="3362" t="s">
        <v>890</v>
      </c>
      <c r="BR5" s="3362" t="s">
        <v>891</v>
      </c>
      <c r="BS5" s="3362" t="s">
        <v>892</v>
      </c>
      <c r="BT5" s="3362" t="s">
        <v>893</v>
      </c>
      <c r="BU5" s="3362" t="s">
        <v>894</v>
      </c>
      <c r="BV5" s="3362" t="s">
        <v>895</v>
      </c>
      <c r="BW5" s="3362" t="s">
        <v>896</v>
      </c>
      <c r="BX5" s="3362" t="s">
        <v>897</v>
      </c>
      <c r="BY5" s="3362" t="s">
        <v>898</v>
      </c>
      <c r="BZ5" s="3362" t="s">
        <v>899</v>
      </c>
      <c r="CA5" s="3362" t="s">
        <v>900</v>
      </c>
      <c r="CB5" s="3362" t="s">
        <v>901</v>
      </c>
      <c r="CC5" s="3362" t="s">
        <v>902</v>
      </c>
      <c r="CD5" s="3362" t="s">
        <v>903</v>
      </c>
      <c r="CE5" s="3362" t="s">
        <v>904</v>
      </c>
      <c r="CF5" s="3362" t="s">
        <v>905</v>
      </c>
      <c r="CG5" s="3362" t="s">
        <v>906</v>
      </c>
      <c r="CH5" s="3362" t="s">
        <v>907</v>
      </c>
      <c r="CI5" s="3362" t="s">
        <v>908</v>
      </c>
      <c r="CJ5" s="3362" t="s">
        <v>909</v>
      </c>
      <c r="CK5" s="3362" t="s">
        <v>910</v>
      </c>
      <c r="CL5" s="3362" t="s">
        <v>911</v>
      </c>
      <c r="CM5" s="3362" t="s">
        <v>912</v>
      </c>
      <c r="CN5" s="3362" t="s">
        <v>913</v>
      </c>
      <c r="CO5" s="3362" t="s">
        <v>914</v>
      </c>
      <c r="CP5" s="3362" t="s">
        <v>915</v>
      </c>
      <c r="CQ5" s="3362" t="s">
        <v>916</v>
      </c>
      <c r="CR5" s="3362" t="s">
        <v>917</v>
      </c>
      <c r="CS5" s="3362" t="s">
        <v>918</v>
      </c>
      <c r="CT5" s="3362" t="s">
        <v>919</v>
      </c>
      <c r="CU5" s="3362" t="s">
        <v>920</v>
      </c>
      <c r="CV5" s="3362" t="s">
        <v>921</v>
      </c>
      <c r="CW5" s="3362" t="s">
        <v>922</v>
      </c>
      <c r="CX5" s="3362" t="s">
        <v>923</v>
      </c>
      <c r="CY5" s="3362" t="s">
        <v>924</v>
      </c>
      <c r="CZ5" s="3362" t="s">
        <v>925</v>
      </c>
      <c r="DA5" s="3362" t="s">
        <v>926</v>
      </c>
      <c r="DB5" s="3362" t="s">
        <v>927</v>
      </c>
      <c r="DC5" s="3362" t="s">
        <v>928</v>
      </c>
      <c r="DD5" s="3362" t="s">
        <v>929</v>
      </c>
      <c r="DE5" s="3362" t="s">
        <v>930</v>
      </c>
      <c r="DF5" s="3362" t="s">
        <v>931</v>
      </c>
      <c r="DG5" s="3362" t="s">
        <v>932</v>
      </c>
      <c r="DH5" s="3362" t="s">
        <v>933</v>
      </c>
      <c r="DI5" s="3362" t="s">
        <v>934</v>
      </c>
      <c r="DJ5" s="3362" t="s">
        <v>935</v>
      </c>
      <c r="DK5" s="3362" t="s">
        <v>936</v>
      </c>
      <c r="DL5" s="3362" t="s">
        <v>937</v>
      </c>
      <c r="DM5" s="3362" t="s">
        <v>938</v>
      </c>
      <c r="DN5" s="3362" t="s">
        <v>939</v>
      </c>
      <c r="DO5" s="3362" t="s">
        <v>940</v>
      </c>
      <c r="DP5" s="3362" t="s">
        <v>941</v>
      </c>
      <c r="DQ5" s="3362" t="s">
        <v>942</v>
      </c>
      <c r="DR5" s="3362" t="s">
        <v>943</v>
      </c>
      <c r="DS5" s="3362" t="s">
        <v>944</v>
      </c>
      <c r="DT5" s="3362" t="s">
        <v>945</v>
      </c>
      <c r="DU5" s="3362" t="s">
        <v>946</v>
      </c>
      <c r="DV5" s="3362" t="s">
        <v>947</v>
      </c>
      <c r="DW5" s="3362" t="s">
        <v>948</v>
      </c>
      <c r="DX5" s="3362" t="s">
        <v>949</v>
      </c>
      <c r="DY5" s="3362" t="s">
        <v>950</v>
      </c>
      <c r="DZ5" s="3362" t="s">
        <v>951</v>
      </c>
      <c r="EA5" s="3362" t="s">
        <v>952</v>
      </c>
      <c r="EB5" s="3362" t="s">
        <v>953</v>
      </c>
      <c r="EC5" s="3362" t="s">
        <v>954</v>
      </c>
      <c r="ED5" s="3362" t="s">
        <v>955</v>
      </c>
      <c r="EE5" s="3362" t="s">
        <v>956</v>
      </c>
      <c r="EF5" s="3362" t="s">
        <v>957</v>
      </c>
      <c r="EG5" s="3362" t="s">
        <v>958</v>
      </c>
      <c r="EH5" s="3362" t="s">
        <v>959</v>
      </c>
      <c r="EI5" s="3362" t="s">
        <v>960</v>
      </c>
      <c r="EJ5" s="3362" t="s">
        <v>961</v>
      </c>
      <c r="EK5" s="3362" t="s">
        <v>962</v>
      </c>
      <c r="EL5" s="3362" t="s">
        <v>963</v>
      </c>
      <c r="EM5" s="3362" t="s">
        <v>964</v>
      </c>
      <c r="EN5" s="3362" t="s">
        <v>965</v>
      </c>
      <c r="EO5" s="3362" t="s">
        <v>966</v>
      </c>
      <c r="EP5" s="3362" t="s">
        <v>967</v>
      </c>
      <c r="EQ5" s="3362" t="s">
        <v>968</v>
      </c>
      <c r="ER5" s="3362" t="s">
        <v>969</v>
      </c>
      <c r="ES5" s="3362" t="s">
        <v>970</v>
      </c>
      <c r="ET5" s="3362" t="s">
        <v>971</v>
      </c>
      <c r="EU5" s="3362" t="s">
        <v>972</v>
      </c>
      <c r="EV5" s="3362" t="s">
        <v>973</v>
      </c>
      <c r="EW5" s="3362" t="s">
        <v>974</v>
      </c>
      <c r="EX5" s="3362" t="s">
        <v>975</v>
      </c>
      <c r="EY5" s="3362" t="s">
        <v>976</v>
      </c>
      <c r="EZ5" s="3362" t="s">
        <v>977</v>
      </c>
      <c r="FA5" s="3362" t="s">
        <v>978</v>
      </c>
      <c r="FB5" s="3362" t="s">
        <v>979</v>
      </c>
      <c r="FC5" s="3362" t="s">
        <v>980</v>
      </c>
      <c r="FD5" s="3362" t="s">
        <v>981</v>
      </c>
      <c r="FE5" s="3362" t="s">
        <v>982</v>
      </c>
      <c r="FF5" s="3362" t="s">
        <v>983</v>
      </c>
      <c r="FG5" s="3362" t="s">
        <v>984</v>
      </c>
      <c r="FH5" s="3362" t="s">
        <v>985</v>
      </c>
      <c r="FI5" s="3362" t="s">
        <v>986</v>
      </c>
      <c r="FJ5" s="3362" t="s">
        <v>987</v>
      </c>
      <c r="FK5" s="3362" t="s">
        <v>988</v>
      </c>
      <c r="FL5" s="3362" t="s">
        <v>989</v>
      </c>
      <c r="FM5" s="3362" t="s">
        <v>990</v>
      </c>
      <c r="FN5" s="3362" t="s">
        <v>991</v>
      </c>
      <c r="FO5" s="3362" t="s">
        <v>992</v>
      </c>
      <c r="FP5" s="3362" t="s">
        <v>993</v>
      </c>
      <c r="FQ5" s="3362" t="s">
        <v>994</v>
      </c>
      <c r="FR5" s="3362" t="s">
        <v>995</v>
      </c>
      <c r="FS5" s="3362" t="s">
        <v>996</v>
      </c>
      <c r="FT5" s="3362" t="s">
        <v>997</v>
      </c>
      <c r="FU5" s="3362" t="s">
        <v>998</v>
      </c>
      <c r="FV5" s="3362" t="s">
        <v>999</v>
      </c>
      <c r="FW5" s="3362" t="s">
        <v>1000</v>
      </c>
      <c r="FX5" s="3362" t="s">
        <v>1001</v>
      </c>
      <c r="FY5" s="3362" t="s">
        <v>1002</v>
      </c>
      <c r="FZ5" s="3362" t="s">
        <v>1003</v>
      </c>
      <c r="GA5" s="3362" t="s">
        <v>1004</v>
      </c>
      <c r="GB5" s="3362" t="s">
        <v>1005</v>
      </c>
      <c r="GC5" s="3362" t="s">
        <v>1006</v>
      </c>
      <c r="GD5" s="3362" t="s">
        <v>1007</v>
      </c>
      <c r="GE5" s="3362" t="s">
        <v>1008</v>
      </c>
      <c r="GF5" s="3362" t="s">
        <v>1009</v>
      </c>
      <c r="GG5" s="3362" t="s">
        <v>1010</v>
      </c>
      <c r="GH5" s="3362" t="s">
        <v>1011</v>
      </c>
      <c r="GI5" s="3362" t="s">
        <v>1012</v>
      </c>
      <c r="GJ5" s="3362" t="s">
        <v>1013</v>
      </c>
      <c r="GK5" s="3362" t="s">
        <v>1014</v>
      </c>
      <c r="GL5" s="3362" t="s">
        <v>1015</v>
      </c>
      <c r="GM5" s="3362" t="s">
        <v>1016</v>
      </c>
      <c r="GN5" s="3362" t="s">
        <v>1017</v>
      </c>
      <c r="GO5" s="3362" t="s">
        <v>1018</v>
      </c>
      <c r="GP5" s="3362" t="s">
        <v>1019</v>
      </c>
      <c r="GQ5" s="3362" t="s">
        <v>1020</v>
      </c>
      <c r="GR5" s="3362" t="s">
        <v>1021</v>
      </c>
      <c r="GS5" s="3362" t="s">
        <v>1022</v>
      </c>
      <c r="GT5" s="3362" t="s">
        <v>1023</v>
      </c>
      <c r="GU5" s="3362" t="s">
        <v>1024</v>
      </c>
      <c r="GV5" s="3362" t="s">
        <v>1025</v>
      </c>
      <c r="GW5" s="3362" t="s">
        <v>1026</v>
      </c>
      <c r="GX5" s="3362" t="s">
        <v>1027</v>
      </c>
      <c r="GY5" s="3362" t="s">
        <v>1028</v>
      </c>
      <c r="GZ5" s="3362" t="s">
        <v>1029</v>
      </c>
      <c r="HA5" s="3362" t="s">
        <v>1030</v>
      </c>
      <c r="HB5" s="3362" t="s">
        <v>1031</v>
      </c>
      <c r="HC5" s="3362" t="s">
        <v>1032</v>
      </c>
      <c r="HD5" s="3362" t="s">
        <v>1033</v>
      </c>
      <c r="HE5" s="3362" t="s">
        <v>1034</v>
      </c>
      <c r="HF5" s="3362" t="s">
        <v>1035</v>
      </c>
      <c r="HG5" s="3362" t="s">
        <v>1036</v>
      </c>
      <c r="HH5" s="3362" t="s">
        <v>1037</v>
      </c>
      <c r="HI5" s="3362" t="s">
        <v>1038</v>
      </c>
      <c r="HJ5" s="3362" t="s">
        <v>1039</v>
      </c>
      <c r="HK5" s="3362" t="s">
        <v>1040</v>
      </c>
      <c r="HL5" s="3362" t="s">
        <v>1041</v>
      </c>
      <c r="HM5" s="3362" t="s">
        <v>1042</v>
      </c>
      <c r="HN5" s="3362" t="s">
        <v>1043</v>
      </c>
      <c r="HO5" s="3362" t="s">
        <v>1044</v>
      </c>
      <c r="HP5" s="3362" t="s">
        <v>1045</v>
      </c>
      <c r="HQ5" s="3362" t="s">
        <v>1046</v>
      </c>
      <c r="HR5" s="3362" t="s">
        <v>1047</v>
      </c>
      <c r="HS5" s="3362" t="s">
        <v>1048</v>
      </c>
      <c r="HT5" s="3362" t="s">
        <v>1049</v>
      </c>
      <c r="HU5" s="3362" t="s">
        <v>1050</v>
      </c>
      <c r="HV5" s="3362" t="s">
        <v>1051</v>
      </c>
      <c r="HW5" s="3362" t="s">
        <v>1052</v>
      </c>
      <c r="HX5" s="3362" t="s">
        <v>1053</v>
      </c>
      <c r="HY5" s="3362" t="s">
        <v>1054</v>
      </c>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c r="IW5" s="2659"/>
      <c r="IX5" s="2659"/>
      <c r="IY5" s="2659"/>
      <c r="IZ5" s="2659"/>
      <c r="JA5" s="2659"/>
      <c r="JB5" s="2659"/>
      <c r="JC5" s="2659"/>
      <c r="JD5" s="2659"/>
      <c r="JE5" s="2659"/>
      <c r="JF5" s="2659"/>
      <c r="JG5" s="2659"/>
      <c r="JH5" s="2659"/>
      <c r="JI5" s="2659"/>
      <c r="JJ5" s="2659"/>
      <c r="JK5" s="2659"/>
      <c r="JL5" s="2659"/>
      <c r="JM5" s="2659"/>
      <c r="JN5" s="2659"/>
      <c r="JO5" s="2659"/>
      <c r="JP5" s="2659"/>
      <c r="JQ5" s="2659"/>
      <c r="JR5" s="2659"/>
      <c r="JS5" s="2659"/>
      <c r="JT5" s="2659"/>
      <c r="JU5" s="2659"/>
      <c r="JV5" s="2659"/>
      <c r="JW5" s="2659"/>
      <c r="JX5" s="2659"/>
      <c r="JY5" s="2659"/>
      <c r="JZ5" s="2659"/>
      <c r="KA5" s="2659"/>
      <c r="KB5" s="2659"/>
      <c r="KC5" s="2659"/>
      <c r="KD5" s="2659"/>
      <c r="KE5" s="2659"/>
      <c r="KF5" s="2659"/>
      <c r="KG5" s="2659"/>
      <c r="KH5" s="2659"/>
      <c r="KI5" s="1455"/>
      <c r="KJ5" s="1455"/>
      <c r="KK5" s="1455"/>
      <c r="KL5" s="1455"/>
      <c r="KM5" s="1106"/>
      <c r="KN5" s="1106"/>
      <c r="KO5" s="1106"/>
      <c r="KP5" s="1106"/>
      <c r="KQ5" s="1106"/>
      <c r="KR5" s="1106"/>
      <c r="KS5" s="1106"/>
      <c r="KT5" s="1106"/>
      <c r="KU5" s="1106"/>
      <c r="KV5" s="1106"/>
      <c r="KW5" s="1106"/>
      <c r="KX5" s="1106"/>
      <c r="KY5" s="1106"/>
      <c r="KZ5" s="1106"/>
      <c r="LA5" s="1106"/>
      <c r="LB5" s="1106"/>
      <c r="LC5" s="1106"/>
      <c r="LD5" s="1106"/>
      <c r="LE5" s="1106"/>
      <c r="LF5" s="1106"/>
      <c r="LG5" s="3368" t="s">
        <v>1055</v>
      </c>
      <c r="LH5" s="3368" t="s">
        <v>1056</v>
      </c>
      <c r="LI5" s="3368" t="s">
        <v>1057</v>
      </c>
      <c r="LJ5" s="3368" t="s">
        <v>1058</v>
      </c>
      <c r="LK5" s="3368" t="s">
        <v>1059</v>
      </c>
      <c r="LL5" s="3368" t="s">
        <v>1060</v>
      </c>
      <c r="LM5" s="3368" t="s">
        <v>1061</v>
      </c>
      <c r="LN5" s="3368" t="s">
        <v>1062</v>
      </c>
      <c r="LO5" s="3368" t="s">
        <v>1063</v>
      </c>
      <c r="LP5" s="3368" t="s">
        <v>1064</v>
      </c>
      <c r="LQ5" s="3368" t="s">
        <v>1065</v>
      </c>
      <c r="LR5" s="3368" t="s">
        <v>1066</v>
      </c>
      <c r="LS5" s="3368" t="s">
        <v>1067</v>
      </c>
      <c r="LT5" s="3368" t="s">
        <v>1068</v>
      </c>
      <c r="LU5" s="3368" t="s">
        <v>1069</v>
      </c>
      <c r="LV5" s="3368" t="s">
        <v>1070</v>
      </c>
      <c r="LW5" s="3368" t="s">
        <v>1071</v>
      </c>
      <c r="LX5" s="3368" t="s">
        <v>1072</v>
      </c>
      <c r="LY5" s="3368" t="s">
        <v>1073</v>
      </c>
      <c r="LZ5" s="3368" t="s">
        <v>1074</v>
      </c>
      <c r="MA5" s="3368" t="s">
        <v>1075</v>
      </c>
      <c r="MB5" s="3368" t="s">
        <v>1076</v>
      </c>
      <c r="MC5" s="3368" t="s">
        <v>1077</v>
      </c>
      <c r="MD5" s="3368" t="s">
        <v>1078</v>
      </c>
      <c r="ME5" s="3368" t="s">
        <v>1079</v>
      </c>
      <c r="MF5" s="3368"/>
      <c r="MG5" s="3368"/>
      <c r="MH5" s="3368"/>
      <c r="MI5" s="3368"/>
      <c r="MJ5" s="3368"/>
      <c r="MK5" s="1106"/>
      <c r="ML5" s="1106"/>
      <c r="MM5" s="1106"/>
      <c r="MN5" s="1106"/>
      <c r="MO5" s="1106"/>
      <c r="MP5" s="1106"/>
      <c r="MQ5" s="1106"/>
      <c r="MR5" s="1106"/>
      <c r="MS5" s="1106"/>
      <c r="MT5" s="1106"/>
      <c r="MU5" s="43"/>
      <c r="MV5" s="43"/>
      <c r="MW5" s="43"/>
      <c r="MX5" s="43"/>
      <c r="MY5" s="43"/>
      <c r="MZ5" s="43"/>
      <c r="NA5" s="43"/>
      <c r="NB5" s="43"/>
      <c r="NC5" s="43"/>
      <c r="ND5" s="43"/>
      <c r="NE5" s="43"/>
      <c r="NF5" s="43"/>
      <c r="NG5" s="43"/>
      <c r="NH5" s="43"/>
      <c r="NI5" s="43"/>
      <c r="NJ5" s="43"/>
      <c r="NK5" s="43"/>
      <c r="NL5" s="43"/>
      <c r="NM5" s="43"/>
      <c r="NN5" s="43"/>
      <c r="NO5" s="253"/>
      <c r="NP5" s="1293"/>
      <c r="NQ5" s="2082">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425" t="str">
        <f>IF(A49&gt;0,"Finish Row!","")</f>
        <v/>
      </c>
      <c r="B6" s="92" t="s">
        <v>1080</v>
      </c>
      <c r="D6" s="1118"/>
      <c r="E6" s="1118"/>
      <c r="F6" s="1118"/>
      <c r="G6" s="889" t="s">
        <v>1081</v>
      </c>
      <c r="H6" s="3426" t="s">
        <v>1082</v>
      </c>
      <c r="I6" s="3427"/>
      <c r="J6" s="3427"/>
      <c r="K6" s="517" t="s">
        <v>824</v>
      </c>
      <c r="L6" s="3428" t="str">
        <f>'Part I-Project Identification'!$A$6</f>
        <v>2024 May 7</v>
      </c>
      <c r="M6" s="3428"/>
      <c r="N6" s="3428"/>
      <c r="O6" s="1290" t="s">
        <v>1083</v>
      </c>
      <c r="P6" s="1108">
        <v>96400</v>
      </c>
      <c r="Q6" s="3423"/>
      <c r="R6" s="2543"/>
      <c r="S6" s="43"/>
      <c r="U6" s="43"/>
      <c r="X6" s="3362"/>
      <c r="Y6" s="3362"/>
      <c r="Z6" s="3362"/>
      <c r="AA6" s="3362"/>
      <c r="AB6" s="3362"/>
      <c r="AC6" s="3362"/>
      <c r="AD6" s="3362"/>
      <c r="AE6" s="3362"/>
      <c r="AF6" s="3362"/>
      <c r="AG6" s="3362"/>
      <c r="AH6" s="3362"/>
      <c r="AI6" s="3362"/>
      <c r="AJ6" s="3362"/>
      <c r="AK6" s="3362"/>
      <c r="AL6" s="3362"/>
      <c r="AM6" s="3362"/>
      <c r="AN6" s="3362"/>
      <c r="AO6" s="3362"/>
      <c r="AP6" s="3362"/>
      <c r="AQ6" s="3362"/>
      <c r="AR6" s="3362"/>
      <c r="AS6" s="3362"/>
      <c r="AT6" s="3362"/>
      <c r="AU6" s="3362"/>
      <c r="AV6" s="3362"/>
      <c r="AW6" s="3362"/>
      <c r="AX6" s="3362"/>
      <c r="AY6" s="3362"/>
      <c r="AZ6" s="3362"/>
      <c r="BA6" s="3362"/>
      <c r="BB6" s="3362"/>
      <c r="BC6" s="3362"/>
      <c r="BD6" s="3362"/>
      <c r="BE6" s="3362"/>
      <c r="BF6" s="3362"/>
      <c r="BG6" s="3362"/>
      <c r="BH6" s="3362"/>
      <c r="BI6" s="3362"/>
      <c r="BJ6" s="3362"/>
      <c r="BK6" s="3362"/>
      <c r="BL6" s="3362"/>
      <c r="BM6" s="3362"/>
      <c r="BN6" s="3362"/>
      <c r="BO6" s="3362"/>
      <c r="BP6" s="3362"/>
      <c r="BQ6" s="3362"/>
      <c r="BR6" s="3362"/>
      <c r="BS6" s="3362"/>
      <c r="BT6" s="3362"/>
      <c r="BU6" s="3362"/>
      <c r="BV6" s="3362"/>
      <c r="BW6" s="3362"/>
      <c r="BX6" s="3362"/>
      <c r="BY6" s="3362"/>
      <c r="BZ6" s="3362"/>
      <c r="CA6" s="3362"/>
      <c r="CB6" s="3362"/>
      <c r="CC6" s="3362"/>
      <c r="CD6" s="3362"/>
      <c r="CE6" s="3362"/>
      <c r="CF6" s="3362"/>
      <c r="CG6" s="3362"/>
      <c r="CH6" s="3362"/>
      <c r="CI6" s="3362"/>
      <c r="CJ6" s="3362"/>
      <c r="CK6" s="3362"/>
      <c r="CL6" s="3362"/>
      <c r="CM6" s="3362"/>
      <c r="CN6" s="3362"/>
      <c r="CO6" s="3362"/>
      <c r="CP6" s="3362"/>
      <c r="CQ6" s="3362"/>
      <c r="CR6" s="3362"/>
      <c r="CS6" s="3362"/>
      <c r="CT6" s="3362"/>
      <c r="CU6" s="3362"/>
      <c r="CV6" s="3362"/>
      <c r="CW6" s="3362"/>
      <c r="CX6" s="3362"/>
      <c r="CY6" s="3362"/>
      <c r="CZ6" s="3362"/>
      <c r="DA6" s="3362"/>
      <c r="DB6" s="3362"/>
      <c r="DC6" s="3362"/>
      <c r="DD6" s="3362"/>
      <c r="DE6" s="3362"/>
      <c r="DF6" s="3362"/>
      <c r="DG6" s="3362"/>
      <c r="DH6" s="3362"/>
      <c r="DI6" s="3362"/>
      <c r="DJ6" s="3362"/>
      <c r="DK6" s="3362"/>
      <c r="DL6" s="3362"/>
      <c r="DM6" s="3362"/>
      <c r="DN6" s="3362"/>
      <c r="DO6" s="3362"/>
      <c r="DP6" s="3362"/>
      <c r="DQ6" s="3362"/>
      <c r="DR6" s="3362"/>
      <c r="DS6" s="3362"/>
      <c r="DT6" s="3362"/>
      <c r="DU6" s="3362"/>
      <c r="DV6" s="3362"/>
      <c r="DW6" s="3362"/>
      <c r="DX6" s="3362"/>
      <c r="DY6" s="3362"/>
      <c r="DZ6" s="3362"/>
      <c r="EA6" s="3362"/>
      <c r="EB6" s="3362"/>
      <c r="EC6" s="3362"/>
      <c r="ED6" s="3362"/>
      <c r="EE6" s="3362"/>
      <c r="EF6" s="3362"/>
      <c r="EG6" s="3362"/>
      <c r="EH6" s="3362"/>
      <c r="EI6" s="3362"/>
      <c r="EJ6" s="3362"/>
      <c r="EK6" s="3362"/>
      <c r="EL6" s="3362"/>
      <c r="EM6" s="3362"/>
      <c r="EN6" s="3362"/>
      <c r="EO6" s="3362"/>
      <c r="EP6" s="3362"/>
      <c r="EQ6" s="3362"/>
      <c r="ER6" s="3362"/>
      <c r="ES6" s="3362"/>
      <c r="ET6" s="3362"/>
      <c r="EU6" s="3362"/>
      <c r="EV6" s="3362"/>
      <c r="EW6" s="3362"/>
      <c r="EX6" s="3362"/>
      <c r="EY6" s="3362"/>
      <c r="EZ6" s="3362"/>
      <c r="FA6" s="3362"/>
      <c r="FB6" s="3362"/>
      <c r="FC6" s="3362"/>
      <c r="FD6" s="3362"/>
      <c r="FE6" s="3362"/>
      <c r="FF6" s="3362"/>
      <c r="FG6" s="3362"/>
      <c r="FH6" s="3362"/>
      <c r="FI6" s="3362"/>
      <c r="FJ6" s="3362"/>
      <c r="FK6" s="3362"/>
      <c r="FL6" s="3362"/>
      <c r="FM6" s="3362"/>
      <c r="FN6" s="3362"/>
      <c r="FO6" s="3362"/>
      <c r="FP6" s="3362"/>
      <c r="FQ6" s="3362"/>
      <c r="FR6" s="3362"/>
      <c r="FS6" s="3362"/>
      <c r="FT6" s="3362"/>
      <c r="FU6" s="3362"/>
      <c r="FV6" s="3362"/>
      <c r="FW6" s="3362"/>
      <c r="FX6" s="3362"/>
      <c r="FY6" s="3362"/>
      <c r="FZ6" s="3362"/>
      <c r="GA6" s="3362"/>
      <c r="GB6" s="3362"/>
      <c r="GC6" s="3362"/>
      <c r="GD6" s="3362"/>
      <c r="GE6" s="3362"/>
      <c r="GF6" s="3362"/>
      <c r="GG6" s="3362"/>
      <c r="GH6" s="3362"/>
      <c r="GI6" s="3362"/>
      <c r="GJ6" s="3362"/>
      <c r="GK6" s="3362"/>
      <c r="GL6" s="3362"/>
      <c r="GM6" s="3362"/>
      <c r="GN6" s="3362"/>
      <c r="GO6" s="3362"/>
      <c r="GP6" s="3362"/>
      <c r="GQ6" s="3362"/>
      <c r="GR6" s="3362"/>
      <c r="GS6" s="3362"/>
      <c r="GT6" s="3362"/>
      <c r="GU6" s="3362"/>
      <c r="GV6" s="3362"/>
      <c r="GW6" s="3362"/>
      <c r="GX6" s="3362"/>
      <c r="GY6" s="3362"/>
      <c r="GZ6" s="3362"/>
      <c r="HA6" s="3362"/>
      <c r="HB6" s="3362"/>
      <c r="HC6" s="3362"/>
      <c r="HD6" s="3362"/>
      <c r="HE6" s="3362"/>
      <c r="HF6" s="3362"/>
      <c r="HG6" s="3362"/>
      <c r="HH6" s="3362"/>
      <c r="HI6" s="3362"/>
      <c r="HJ6" s="3362"/>
      <c r="HK6" s="3362"/>
      <c r="HL6" s="3362"/>
      <c r="HM6" s="3362"/>
      <c r="HN6" s="3362"/>
      <c r="HO6" s="3362"/>
      <c r="HP6" s="3362"/>
      <c r="HQ6" s="3362"/>
      <c r="HR6" s="3362"/>
      <c r="HS6" s="3362"/>
      <c r="HT6" s="3362"/>
      <c r="HU6" s="3362"/>
      <c r="HV6" s="3362"/>
      <c r="HW6" s="3362"/>
      <c r="HX6" s="3362"/>
      <c r="HY6" s="3362"/>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c r="IW6" s="2659"/>
      <c r="IX6" s="2659"/>
      <c r="IY6" s="2659"/>
      <c r="IZ6" s="2659"/>
      <c r="JA6" s="2659"/>
      <c r="JB6" s="2659"/>
      <c r="JC6" s="2659"/>
      <c r="JD6" s="2659"/>
      <c r="JE6" s="2659"/>
      <c r="JF6" s="2659"/>
      <c r="JG6" s="2659"/>
      <c r="JH6" s="2659"/>
      <c r="JI6" s="2659"/>
      <c r="JJ6" s="2659"/>
      <c r="JK6" s="2659"/>
      <c r="JL6" s="2659"/>
      <c r="JM6" s="2659"/>
      <c r="JN6" s="2659"/>
      <c r="JO6" s="2659"/>
      <c r="JP6" s="2659"/>
      <c r="JQ6" s="2659"/>
      <c r="JR6" s="2659"/>
      <c r="JS6" s="2659"/>
      <c r="JT6" s="2659"/>
      <c r="JU6" s="2659"/>
      <c r="JV6" s="2659"/>
      <c r="JW6" s="2659"/>
      <c r="JX6" s="2659"/>
      <c r="JY6" s="2659"/>
      <c r="JZ6" s="2659"/>
      <c r="KA6" s="2659"/>
      <c r="KB6" s="2659"/>
      <c r="KC6" s="2659"/>
      <c r="KD6" s="2659"/>
      <c r="KE6" s="2659"/>
      <c r="KF6" s="2659"/>
      <c r="KG6" s="2659"/>
      <c r="KH6" s="2659"/>
      <c r="KI6" s="1455"/>
      <c r="KJ6" s="1455"/>
      <c r="KK6" s="1455"/>
      <c r="KL6" s="1455"/>
      <c r="KM6" s="1106"/>
      <c r="KN6" s="1106"/>
      <c r="KO6" s="1106"/>
      <c r="KP6" s="1106"/>
      <c r="KQ6" s="1106"/>
      <c r="KR6" s="1106"/>
      <c r="KS6" s="1106"/>
      <c r="KT6" s="1106"/>
      <c r="KU6" s="1106"/>
      <c r="KV6" s="1106"/>
      <c r="KW6" s="1106"/>
      <c r="KX6" s="1106"/>
      <c r="KY6" s="1106"/>
      <c r="KZ6" s="1106"/>
      <c r="LA6" s="1106"/>
      <c r="LB6" s="1106"/>
      <c r="LC6" s="1106"/>
      <c r="LD6" s="1106"/>
      <c r="LE6" s="1106"/>
      <c r="LF6" s="1106"/>
      <c r="LG6" s="3368"/>
      <c r="LH6" s="3368"/>
      <c r="LI6" s="3368"/>
      <c r="LJ6" s="3368"/>
      <c r="LK6" s="3368"/>
      <c r="LL6" s="3368"/>
      <c r="LM6" s="3368"/>
      <c r="LN6" s="3368"/>
      <c r="LO6" s="3368"/>
      <c r="LP6" s="3368"/>
      <c r="LQ6" s="3368"/>
      <c r="LR6" s="3368"/>
      <c r="LS6" s="3368"/>
      <c r="LT6" s="3368"/>
      <c r="LU6" s="3368"/>
      <c r="LV6" s="3368"/>
      <c r="LW6" s="3368"/>
      <c r="LX6" s="3368"/>
      <c r="LY6" s="3368"/>
      <c r="LZ6" s="3368"/>
      <c r="MA6" s="3368"/>
      <c r="MB6" s="3368"/>
      <c r="MC6" s="3368"/>
      <c r="MD6" s="3368"/>
      <c r="ME6" s="3368"/>
      <c r="MF6" s="3368"/>
      <c r="MG6" s="3368"/>
      <c r="MH6" s="3368"/>
      <c r="MI6" s="3368"/>
      <c r="MJ6" s="3368"/>
      <c r="MK6" s="3369" t="s">
        <v>1084</v>
      </c>
      <c r="ML6" s="3369" t="s">
        <v>1085</v>
      </c>
      <c r="MM6" s="3369" t="s">
        <v>1086</v>
      </c>
      <c r="MN6" s="3369" t="s">
        <v>1087</v>
      </c>
      <c r="MO6" s="3369" t="s">
        <v>1088</v>
      </c>
      <c r="MP6" s="3368" t="s">
        <v>1089</v>
      </c>
      <c r="MQ6" s="3368" t="s">
        <v>1090</v>
      </c>
      <c r="MR6" s="3368" t="s">
        <v>1091</v>
      </c>
      <c r="MS6" s="3368" t="s">
        <v>1092</v>
      </c>
      <c r="MT6" s="3368" t="s">
        <v>1093</v>
      </c>
      <c r="MU6" s="43"/>
      <c r="MV6" s="43"/>
      <c r="MW6" s="43"/>
      <c r="MX6" s="43"/>
      <c r="MY6" s="43"/>
      <c r="MZ6" s="43"/>
      <c r="NA6" s="43"/>
      <c r="NB6" s="43"/>
      <c r="NC6" s="43"/>
      <c r="ND6" s="43"/>
      <c r="NE6" s="43"/>
      <c r="NF6" s="43"/>
      <c r="NG6" s="43"/>
      <c r="NH6" s="43"/>
      <c r="NI6" s="43"/>
      <c r="NJ6" s="43"/>
      <c r="NK6" s="43"/>
      <c r="NL6" s="43"/>
      <c r="NM6" s="43"/>
      <c r="NN6" s="43"/>
      <c r="NO6" s="253"/>
      <c r="NP6" s="1293"/>
      <c r="NQ6" s="2082">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425"/>
      <c r="B7" s="2521" t="s">
        <v>1094</v>
      </c>
      <c r="E7" s="3"/>
      <c r="G7" s="2694" t="s">
        <v>56</v>
      </c>
      <c r="I7" s="3429" t="s">
        <v>1095</v>
      </c>
      <c r="J7" s="517" t="s">
        <v>788</v>
      </c>
      <c r="K7" s="517" t="s">
        <v>1096</v>
      </c>
      <c r="L7" s="3428"/>
      <c r="M7" s="3428"/>
      <c r="N7" s="3428"/>
      <c r="O7" s="1291" t="s">
        <v>1097</v>
      </c>
      <c r="P7" s="1136">
        <v>45383</v>
      </c>
      <c r="Q7" s="3423"/>
      <c r="R7" s="3431" t="s">
        <v>1098</v>
      </c>
      <c r="S7" s="3431"/>
      <c r="X7" s="3362"/>
      <c r="Y7" s="3362"/>
      <c r="Z7" s="3362"/>
      <c r="AA7" s="3362"/>
      <c r="AB7" s="3362"/>
      <c r="AC7" s="3362"/>
      <c r="AD7" s="3362"/>
      <c r="AE7" s="3362"/>
      <c r="AF7" s="3362"/>
      <c r="AG7" s="3362"/>
      <c r="AH7" s="3362"/>
      <c r="AI7" s="3362"/>
      <c r="AJ7" s="3362"/>
      <c r="AK7" s="3362"/>
      <c r="AL7" s="3362"/>
      <c r="AM7" s="3362"/>
      <c r="AN7" s="3362"/>
      <c r="AO7" s="3362"/>
      <c r="AP7" s="3362"/>
      <c r="AQ7" s="3362"/>
      <c r="AR7" s="3362"/>
      <c r="AS7" s="3362"/>
      <c r="AT7" s="3362"/>
      <c r="AU7" s="3362"/>
      <c r="AV7" s="3362"/>
      <c r="AW7" s="3362"/>
      <c r="AX7" s="3362"/>
      <c r="AY7" s="3362"/>
      <c r="AZ7" s="3362"/>
      <c r="BA7" s="3362"/>
      <c r="BB7" s="3362"/>
      <c r="BC7" s="3362"/>
      <c r="BD7" s="3362"/>
      <c r="BE7" s="3362"/>
      <c r="BF7" s="3362"/>
      <c r="BG7" s="3362"/>
      <c r="BH7" s="3362"/>
      <c r="BI7" s="3362"/>
      <c r="BJ7" s="3362"/>
      <c r="BK7" s="3362"/>
      <c r="BL7" s="3362"/>
      <c r="BM7" s="3362"/>
      <c r="BN7" s="3362"/>
      <c r="BO7" s="3362"/>
      <c r="BP7" s="3362"/>
      <c r="BQ7" s="3362"/>
      <c r="BR7" s="3362"/>
      <c r="BS7" s="3362"/>
      <c r="BT7" s="3362"/>
      <c r="BU7" s="3362"/>
      <c r="BV7" s="3362"/>
      <c r="BW7" s="3362"/>
      <c r="BX7" s="3362"/>
      <c r="BY7" s="3362"/>
      <c r="BZ7" s="3362"/>
      <c r="CA7" s="3362"/>
      <c r="CB7" s="3362"/>
      <c r="CC7" s="3362"/>
      <c r="CD7" s="3362"/>
      <c r="CE7" s="3362"/>
      <c r="CF7" s="3362"/>
      <c r="CG7" s="3362"/>
      <c r="CH7" s="3362"/>
      <c r="CI7" s="3362"/>
      <c r="CJ7" s="3362"/>
      <c r="CK7" s="3362"/>
      <c r="CL7" s="3362"/>
      <c r="CM7" s="3362"/>
      <c r="CN7" s="3362"/>
      <c r="CO7" s="3362"/>
      <c r="CP7" s="3362"/>
      <c r="CQ7" s="3362"/>
      <c r="CR7" s="3362"/>
      <c r="CS7" s="3362"/>
      <c r="CT7" s="3362"/>
      <c r="CU7" s="3362"/>
      <c r="CV7" s="3362"/>
      <c r="CW7" s="3362"/>
      <c r="CX7" s="3362"/>
      <c r="CY7" s="3362"/>
      <c r="CZ7" s="3362"/>
      <c r="DA7" s="3362"/>
      <c r="DB7" s="3362"/>
      <c r="DC7" s="3362"/>
      <c r="DD7" s="3362"/>
      <c r="DE7" s="3362"/>
      <c r="DF7" s="3362"/>
      <c r="DG7" s="3362"/>
      <c r="DH7" s="3362"/>
      <c r="DI7" s="3362"/>
      <c r="DJ7" s="3362"/>
      <c r="DK7" s="3362"/>
      <c r="DL7" s="3362"/>
      <c r="DM7" s="3362"/>
      <c r="DN7" s="3362"/>
      <c r="DO7" s="3362"/>
      <c r="DP7" s="3362"/>
      <c r="DQ7" s="3362"/>
      <c r="DR7" s="3362"/>
      <c r="DS7" s="3362"/>
      <c r="DT7" s="3362"/>
      <c r="DU7" s="3362"/>
      <c r="DV7" s="3362"/>
      <c r="DW7" s="3362"/>
      <c r="DX7" s="3362"/>
      <c r="DY7" s="3362"/>
      <c r="DZ7" s="3362"/>
      <c r="EA7" s="3362"/>
      <c r="EB7" s="3362"/>
      <c r="EC7" s="3362"/>
      <c r="ED7" s="3362"/>
      <c r="EE7" s="3362"/>
      <c r="EF7" s="3362"/>
      <c r="EG7" s="3362"/>
      <c r="EH7" s="3362"/>
      <c r="EI7" s="3362"/>
      <c r="EJ7" s="3362"/>
      <c r="EK7" s="3362"/>
      <c r="EL7" s="3362"/>
      <c r="EM7" s="3362"/>
      <c r="EN7" s="3362"/>
      <c r="EO7" s="3362"/>
      <c r="EP7" s="3362"/>
      <c r="EQ7" s="3362"/>
      <c r="ER7" s="3362"/>
      <c r="ES7" s="3362"/>
      <c r="ET7" s="3362"/>
      <c r="EU7" s="3362"/>
      <c r="EV7" s="3362"/>
      <c r="EW7" s="3362"/>
      <c r="EX7" s="3362"/>
      <c r="EY7" s="3362"/>
      <c r="EZ7" s="3362"/>
      <c r="FA7" s="3362"/>
      <c r="FB7" s="3362"/>
      <c r="FC7" s="3362"/>
      <c r="FD7" s="3362"/>
      <c r="FE7" s="3362"/>
      <c r="FF7" s="3362"/>
      <c r="FG7" s="3362"/>
      <c r="FH7" s="3362"/>
      <c r="FI7" s="3362"/>
      <c r="FJ7" s="3362"/>
      <c r="FK7" s="3362"/>
      <c r="FL7" s="3362"/>
      <c r="FM7" s="3362"/>
      <c r="FN7" s="3362"/>
      <c r="FO7" s="3362"/>
      <c r="FP7" s="3362"/>
      <c r="FQ7" s="3362"/>
      <c r="FR7" s="3362"/>
      <c r="FS7" s="3362"/>
      <c r="FT7" s="3362"/>
      <c r="FU7" s="3362"/>
      <c r="FV7" s="3362"/>
      <c r="FW7" s="3362"/>
      <c r="FX7" s="3362"/>
      <c r="FY7" s="3362"/>
      <c r="FZ7" s="3362"/>
      <c r="GA7" s="3362"/>
      <c r="GB7" s="3362"/>
      <c r="GC7" s="3362"/>
      <c r="GD7" s="3362"/>
      <c r="GE7" s="3362"/>
      <c r="GF7" s="3362"/>
      <c r="GG7" s="3362"/>
      <c r="GH7" s="3362"/>
      <c r="GI7" s="3362"/>
      <c r="GJ7" s="3362"/>
      <c r="GK7" s="3362"/>
      <c r="GL7" s="3362"/>
      <c r="GM7" s="3362"/>
      <c r="GN7" s="3362"/>
      <c r="GO7" s="3362"/>
      <c r="GP7" s="3362"/>
      <c r="GQ7" s="3362"/>
      <c r="GR7" s="3362"/>
      <c r="GS7" s="3362"/>
      <c r="GT7" s="3362"/>
      <c r="GU7" s="3362"/>
      <c r="GV7" s="3362"/>
      <c r="GW7" s="3362"/>
      <c r="GX7" s="3362"/>
      <c r="GY7" s="3362"/>
      <c r="GZ7" s="3362"/>
      <c r="HA7" s="3362"/>
      <c r="HB7" s="3362"/>
      <c r="HC7" s="3362"/>
      <c r="HD7" s="3362"/>
      <c r="HE7" s="3362"/>
      <c r="HF7" s="3362"/>
      <c r="HG7" s="3362"/>
      <c r="HH7" s="3362"/>
      <c r="HI7" s="3362"/>
      <c r="HJ7" s="3362"/>
      <c r="HK7" s="3362"/>
      <c r="HL7" s="3362"/>
      <c r="HM7" s="3362"/>
      <c r="HN7" s="3362"/>
      <c r="HO7" s="3362"/>
      <c r="HP7" s="3362"/>
      <c r="HQ7" s="3362"/>
      <c r="HR7" s="3362"/>
      <c r="HS7" s="3362"/>
      <c r="HT7" s="3362"/>
      <c r="HU7" s="3362"/>
      <c r="HV7" s="3362"/>
      <c r="HW7" s="3362"/>
      <c r="HX7" s="3362"/>
      <c r="HY7" s="3362"/>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c r="IW7" s="2659"/>
      <c r="IX7" s="2659"/>
      <c r="IY7" s="2659"/>
      <c r="IZ7" s="2659"/>
      <c r="JA7" s="2659"/>
      <c r="JB7" s="2659"/>
      <c r="JC7" s="2659"/>
      <c r="JD7" s="2659"/>
      <c r="JE7" s="2659"/>
      <c r="JF7" s="2659"/>
      <c r="JG7" s="2659"/>
      <c r="JH7" s="2659"/>
      <c r="JI7" s="2659"/>
      <c r="JJ7" s="2659"/>
      <c r="JK7" s="2659"/>
      <c r="JL7" s="2659"/>
      <c r="JM7" s="2659"/>
      <c r="JN7" s="2659"/>
      <c r="JO7" s="2659"/>
      <c r="JP7" s="2659"/>
      <c r="JQ7" s="2659"/>
      <c r="JR7" s="2659"/>
      <c r="JS7" s="2659"/>
      <c r="JT7" s="2659"/>
      <c r="JU7" s="2659"/>
      <c r="JV7" s="2659"/>
      <c r="JW7" s="2659"/>
      <c r="JX7" s="2659"/>
      <c r="JY7" s="2659"/>
      <c r="JZ7" s="2659"/>
      <c r="KA7" s="2659"/>
      <c r="KB7" s="2659"/>
      <c r="KC7" s="2659"/>
      <c r="KD7" s="2659"/>
      <c r="KE7" s="2659"/>
      <c r="KF7" s="2659"/>
      <c r="KG7" s="2659"/>
      <c r="KH7" s="2659"/>
      <c r="KI7" s="1455"/>
      <c r="KJ7" s="1455"/>
      <c r="KK7" s="1455"/>
      <c r="KL7" s="1455"/>
      <c r="KM7" s="1106"/>
      <c r="KN7" s="1106"/>
      <c r="KO7" s="1106"/>
      <c r="KP7" s="1106"/>
      <c r="KQ7" s="1106"/>
      <c r="KR7" s="1106"/>
      <c r="KS7" s="1106"/>
      <c r="KT7" s="1106"/>
      <c r="KU7" s="1106"/>
      <c r="KV7" s="1106"/>
      <c r="KW7" s="1106"/>
      <c r="KX7" s="1106"/>
      <c r="KY7" s="1106"/>
      <c r="KZ7" s="1106"/>
      <c r="LA7" s="1106"/>
      <c r="LB7" s="1106"/>
      <c r="LC7" s="1106"/>
      <c r="LD7" s="1106"/>
      <c r="LE7" s="1106"/>
      <c r="LF7" s="1106"/>
      <c r="LG7" s="3368"/>
      <c r="LH7" s="3368"/>
      <c r="LI7" s="3368"/>
      <c r="LJ7" s="3368"/>
      <c r="LK7" s="3368"/>
      <c r="LL7" s="3368"/>
      <c r="LM7" s="3368"/>
      <c r="LN7" s="3368"/>
      <c r="LO7" s="3368"/>
      <c r="LP7" s="3368"/>
      <c r="LQ7" s="3368"/>
      <c r="LR7" s="3368"/>
      <c r="LS7" s="3368"/>
      <c r="LT7" s="3368"/>
      <c r="LU7" s="3368"/>
      <c r="LV7" s="3368"/>
      <c r="LW7" s="3368"/>
      <c r="LX7" s="3368"/>
      <c r="LY7" s="3368"/>
      <c r="LZ7" s="3368"/>
      <c r="MA7" s="3368"/>
      <c r="MB7" s="3368"/>
      <c r="MC7" s="3368"/>
      <c r="MD7" s="3368"/>
      <c r="ME7" s="3368"/>
      <c r="MF7" s="3368"/>
      <c r="MG7" s="3368"/>
      <c r="MH7" s="3368"/>
      <c r="MI7" s="3368"/>
      <c r="MJ7" s="3368"/>
      <c r="MK7" s="3369"/>
      <c r="ML7" s="3369"/>
      <c r="MM7" s="3369"/>
      <c r="MN7" s="3369"/>
      <c r="MO7" s="3369"/>
      <c r="MP7" s="3368"/>
      <c r="MQ7" s="3368"/>
      <c r="MR7" s="3368"/>
      <c r="MS7" s="3368"/>
      <c r="MT7" s="3368"/>
      <c r="MU7" s="43"/>
      <c r="MV7" s="43"/>
      <c r="MW7" s="43"/>
      <c r="MX7" s="43"/>
      <c r="MY7" s="43"/>
      <c r="MZ7" s="43"/>
      <c r="NA7" s="43"/>
      <c r="NB7" s="43"/>
      <c r="NC7" s="43"/>
      <c r="ND7" s="43"/>
      <c r="NE7" s="43"/>
      <c r="NF7" s="43"/>
      <c r="NG7" s="43"/>
      <c r="NH7" s="43"/>
      <c r="NI7" s="43"/>
      <c r="NJ7" s="43"/>
      <c r="NK7" s="43"/>
      <c r="NL7" s="43"/>
      <c r="NM7" s="43"/>
      <c r="NN7" s="43"/>
      <c r="NO7" s="253"/>
      <c r="NP7" s="1293"/>
      <c r="NQ7" s="2082">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425"/>
      <c r="B8" s="2540" t="s">
        <v>1099</v>
      </c>
      <c r="C8" s="43"/>
      <c r="E8" s="43"/>
      <c r="F8" s="43"/>
      <c r="I8" s="3429"/>
      <c r="J8" s="517" t="s">
        <v>1100</v>
      </c>
      <c r="K8" s="517" t="s">
        <v>1101</v>
      </c>
      <c r="L8" s="506"/>
      <c r="M8" s="506"/>
      <c r="N8" s="1289" t="s">
        <v>1102</v>
      </c>
      <c r="O8" s="3432" t="s">
        <v>1103</v>
      </c>
      <c r="P8" s="3433"/>
      <c r="Q8" s="3423"/>
      <c r="R8" s="507"/>
      <c r="S8" s="509" t="s">
        <v>1104</v>
      </c>
      <c r="T8" s="232"/>
      <c r="W8" s="233"/>
      <c r="X8" s="3362"/>
      <c r="Y8" s="3362"/>
      <c r="Z8" s="3362"/>
      <c r="AA8" s="3362"/>
      <c r="AB8" s="3362"/>
      <c r="AC8" s="3362"/>
      <c r="AD8" s="3362"/>
      <c r="AE8" s="3362"/>
      <c r="AF8" s="3362"/>
      <c r="AG8" s="3362"/>
      <c r="AH8" s="3362"/>
      <c r="AI8" s="3362"/>
      <c r="AJ8" s="3362"/>
      <c r="AK8" s="3362"/>
      <c r="AL8" s="3362"/>
      <c r="AM8" s="3362"/>
      <c r="AN8" s="3362"/>
      <c r="AO8" s="3362"/>
      <c r="AP8" s="3362"/>
      <c r="AQ8" s="3362"/>
      <c r="AR8" s="3362"/>
      <c r="AS8" s="3362"/>
      <c r="AT8" s="3362"/>
      <c r="AU8" s="3362"/>
      <c r="AV8" s="3362"/>
      <c r="AW8" s="3362"/>
      <c r="AX8" s="3362"/>
      <c r="AY8" s="3362"/>
      <c r="AZ8" s="3362"/>
      <c r="BA8" s="3362"/>
      <c r="BB8" s="3362"/>
      <c r="BC8" s="3362"/>
      <c r="BD8" s="3362"/>
      <c r="BE8" s="3362"/>
      <c r="BF8" s="3362"/>
      <c r="BG8" s="3362"/>
      <c r="BH8" s="3362"/>
      <c r="BI8" s="3362"/>
      <c r="BJ8" s="3362"/>
      <c r="BK8" s="3362"/>
      <c r="BL8" s="3362"/>
      <c r="BM8" s="3362"/>
      <c r="BN8" s="3362"/>
      <c r="BO8" s="3362"/>
      <c r="BP8" s="3362"/>
      <c r="BQ8" s="3362"/>
      <c r="BR8" s="3362"/>
      <c r="BS8" s="3362"/>
      <c r="BT8" s="3362"/>
      <c r="BU8" s="3362"/>
      <c r="BV8" s="3362"/>
      <c r="BW8" s="3362"/>
      <c r="BX8" s="3362"/>
      <c r="BY8" s="3362"/>
      <c r="BZ8" s="3362"/>
      <c r="CA8" s="3362"/>
      <c r="CB8" s="3362"/>
      <c r="CC8" s="3362"/>
      <c r="CD8" s="3362"/>
      <c r="CE8" s="3362"/>
      <c r="CF8" s="3362"/>
      <c r="CG8" s="3362"/>
      <c r="CH8" s="3362"/>
      <c r="CI8" s="3362"/>
      <c r="CJ8" s="3362"/>
      <c r="CK8" s="3362"/>
      <c r="CL8" s="3362"/>
      <c r="CM8" s="3362"/>
      <c r="CN8" s="3362"/>
      <c r="CO8" s="3362"/>
      <c r="CP8" s="3362"/>
      <c r="CQ8" s="3362"/>
      <c r="CR8" s="3362"/>
      <c r="CS8" s="3362"/>
      <c r="CT8" s="3362"/>
      <c r="CU8" s="3362"/>
      <c r="CV8" s="3362"/>
      <c r="CW8" s="3362"/>
      <c r="CX8" s="3362"/>
      <c r="CY8" s="3362"/>
      <c r="CZ8" s="3362"/>
      <c r="DA8" s="3362"/>
      <c r="DB8" s="3362"/>
      <c r="DC8" s="3362"/>
      <c r="DD8" s="3362"/>
      <c r="DE8" s="3362"/>
      <c r="DF8" s="3362"/>
      <c r="DG8" s="3362"/>
      <c r="DH8" s="3362"/>
      <c r="DI8" s="3362"/>
      <c r="DJ8" s="3362"/>
      <c r="DK8" s="3362"/>
      <c r="DL8" s="3362"/>
      <c r="DM8" s="3362"/>
      <c r="DN8" s="3362"/>
      <c r="DO8" s="3362"/>
      <c r="DP8" s="3362"/>
      <c r="DQ8" s="3362"/>
      <c r="DR8" s="3362"/>
      <c r="DS8" s="3362"/>
      <c r="DT8" s="3362"/>
      <c r="DU8" s="3362"/>
      <c r="DV8" s="3362"/>
      <c r="DW8" s="3362"/>
      <c r="DX8" s="3362"/>
      <c r="DY8" s="3362"/>
      <c r="DZ8" s="3362"/>
      <c r="EA8" s="3362"/>
      <c r="EB8" s="3362"/>
      <c r="EC8" s="3362"/>
      <c r="ED8" s="3362"/>
      <c r="EE8" s="3362"/>
      <c r="EF8" s="3362"/>
      <c r="EG8" s="3362"/>
      <c r="EH8" s="3362"/>
      <c r="EI8" s="3362"/>
      <c r="EJ8" s="3362"/>
      <c r="EK8" s="3362"/>
      <c r="EL8" s="3362"/>
      <c r="EM8" s="3362"/>
      <c r="EN8" s="3362"/>
      <c r="EO8" s="3362"/>
      <c r="EP8" s="3362"/>
      <c r="EQ8" s="3362"/>
      <c r="ER8" s="3362"/>
      <c r="ES8" s="3362"/>
      <c r="ET8" s="3362"/>
      <c r="EU8" s="3362"/>
      <c r="EV8" s="3362"/>
      <c r="EW8" s="3362"/>
      <c r="EX8" s="3362"/>
      <c r="EY8" s="3362"/>
      <c r="EZ8" s="3362"/>
      <c r="FA8" s="3362"/>
      <c r="FB8" s="3362"/>
      <c r="FC8" s="3362"/>
      <c r="FD8" s="3362"/>
      <c r="FE8" s="3362"/>
      <c r="FF8" s="3362"/>
      <c r="FG8" s="3362"/>
      <c r="FH8" s="3362"/>
      <c r="FI8" s="3362"/>
      <c r="FJ8" s="3362"/>
      <c r="FK8" s="3362"/>
      <c r="FL8" s="3362"/>
      <c r="FM8" s="3362"/>
      <c r="FN8" s="3362"/>
      <c r="FO8" s="3362"/>
      <c r="FP8" s="3362"/>
      <c r="FQ8" s="3362"/>
      <c r="FR8" s="3362"/>
      <c r="FS8" s="3362"/>
      <c r="FT8" s="3362"/>
      <c r="FU8" s="3362"/>
      <c r="FV8" s="3362"/>
      <c r="FW8" s="3362"/>
      <c r="FX8" s="3362"/>
      <c r="FY8" s="3362"/>
      <c r="FZ8" s="3362"/>
      <c r="GA8" s="3362"/>
      <c r="GB8" s="3362"/>
      <c r="GC8" s="3362"/>
      <c r="GD8" s="3362"/>
      <c r="GE8" s="3362"/>
      <c r="GF8" s="3362"/>
      <c r="GG8" s="3362"/>
      <c r="GH8" s="3362"/>
      <c r="GI8" s="3362"/>
      <c r="GJ8" s="3362"/>
      <c r="GK8" s="3362"/>
      <c r="GL8" s="3362"/>
      <c r="GM8" s="3362"/>
      <c r="GN8" s="3362"/>
      <c r="GO8" s="3362"/>
      <c r="GP8" s="3362"/>
      <c r="GQ8" s="3362"/>
      <c r="GR8" s="3362"/>
      <c r="GS8" s="3362"/>
      <c r="GT8" s="3362"/>
      <c r="GU8" s="3362"/>
      <c r="GV8" s="3362"/>
      <c r="GW8" s="3362"/>
      <c r="GX8" s="3362"/>
      <c r="GY8" s="3362"/>
      <c r="GZ8" s="3362"/>
      <c r="HA8" s="3362"/>
      <c r="HB8" s="3362"/>
      <c r="HC8" s="3362"/>
      <c r="HD8" s="3362"/>
      <c r="HE8" s="3362"/>
      <c r="HF8" s="3362"/>
      <c r="HG8" s="3362"/>
      <c r="HH8" s="3362"/>
      <c r="HI8" s="3362"/>
      <c r="HJ8" s="3362"/>
      <c r="HK8" s="3362"/>
      <c r="HL8" s="3362"/>
      <c r="HM8" s="3362"/>
      <c r="HN8" s="3362"/>
      <c r="HO8" s="3362"/>
      <c r="HP8" s="3362"/>
      <c r="HQ8" s="3362"/>
      <c r="HR8" s="3362"/>
      <c r="HS8" s="3362"/>
      <c r="HT8" s="3362"/>
      <c r="HU8" s="3362"/>
      <c r="HV8" s="3362"/>
      <c r="HW8" s="3362"/>
      <c r="HX8" s="3362"/>
      <c r="HY8" s="3362"/>
      <c r="HZ8" s="2659"/>
      <c r="IA8" s="2659"/>
      <c r="IB8" s="2659"/>
      <c r="IC8" s="2659"/>
      <c r="ID8" s="2659"/>
      <c r="IE8" s="2659"/>
      <c r="IF8" s="2659"/>
      <c r="IG8" s="2659"/>
      <c r="IH8" s="2659"/>
      <c r="II8" s="2659"/>
      <c r="IJ8" s="2659"/>
      <c r="IK8" s="2659"/>
      <c r="IL8" s="2659"/>
      <c r="IM8" s="2659"/>
      <c r="IN8" s="2659"/>
      <c r="IO8" s="2659"/>
      <c r="IP8" s="2659"/>
      <c r="IQ8" s="2659"/>
      <c r="IR8" s="2659"/>
      <c r="IS8" s="2659"/>
      <c r="IT8" s="2659"/>
      <c r="IU8" s="2659"/>
      <c r="IV8" s="2659"/>
      <c r="IW8" s="2659"/>
      <c r="IX8" s="2659"/>
      <c r="IY8" s="2595" t="s">
        <v>792</v>
      </c>
      <c r="IZ8" s="2595" t="s">
        <v>835</v>
      </c>
      <c r="JA8" s="2595" t="s">
        <v>836</v>
      </c>
      <c r="JB8" s="2595" t="s">
        <v>837</v>
      </c>
      <c r="JC8" s="2595" t="s">
        <v>838</v>
      </c>
      <c r="JD8" s="2595" t="s">
        <v>792</v>
      </c>
      <c r="JE8" s="2595" t="s">
        <v>835</v>
      </c>
      <c r="JF8" s="2595" t="s">
        <v>836</v>
      </c>
      <c r="JG8" s="2595" t="s">
        <v>837</v>
      </c>
      <c r="JH8" s="2595" t="s">
        <v>838</v>
      </c>
      <c r="JI8" s="2595" t="s">
        <v>792</v>
      </c>
      <c r="JJ8" s="2595" t="s">
        <v>835</v>
      </c>
      <c r="JK8" s="2595" t="s">
        <v>836</v>
      </c>
      <c r="JL8" s="2595" t="s">
        <v>837</v>
      </c>
      <c r="JM8" s="2595" t="s">
        <v>838</v>
      </c>
      <c r="JN8" s="2595" t="s">
        <v>792</v>
      </c>
      <c r="JO8" s="2595" t="s">
        <v>835</v>
      </c>
      <c r="JP8" s="2595" t="s">
        <v>836</v>
      </c>
      <c r="JQ8" s="2595" t="s">
        <v>837</v>
      </c>
      <c r="JR8" s="2595" t="s">
        <v>838</v>
      </c>
      <c r="JS8" s="2595" t="s">
        <v>792</v>
      </c>
      <c r="JT8" s="2595" t="s">
        <v>835</v>
      </c>
      <c r="JU8" s="2595" t="s">
        <v>836</v>
      </c>
      <c r="JV8" s="2595" t="s">
        <v>837</v>
      </c>
      <c r="JW8" s="2595" t="s">
        <v>838</v>
      </c>
      <c r="JX8" s="2595" t="s">
        <v>792</v>
      </c>
      <c r="JY8" s="2595" t="s">
        <v>835</v>
      </c>
      <c r="JZ8" s="2595" t="s">
        <v>836</v>
      </c>
      <c r="KA8" s="2595" t="s">
        <v>837</v>
      </c>
      <c r="KB8" s="2595" t="s">
        <v>838</v>
      </c>
      <c r="KC8" s="2595" t="s">
        <v>792</v>
      </c>
      <c r="KD8" s="2595" t="s">
        <v>835</v>
      </c>
      <c r="KE8" s="2595" t="s">
        <v>836</v>
      </c>
      <c r="KF8" s="2595" t="s">
        <v>837</v>
      </c>
      <c r="KG8" s="2595" t="s">
        <v>838</v>
      </c>
      <c r="KH8" s="2595" t="s">
        <v>792</v>
      </c>
      <c r="KI8" s="1445" t="s">
        <v>835</v>
      </c>
      <c r="KJ8" s="1445" t="s">
        <v>836</v>
      </c>
      <c r="KK8" s="1445" t="s">
        <v>837</v>
      </c>
      <c r="KL8" s="1445" t="s">
        <v>838</v>
      </c>
      <c r="KM8" s="1445" t="s">
        <v>792</v>
      </c>
      <c r="KN8" s="1445" t="s">
        <v>835</v>
      </c>
      <c r="KO8" s="1445" t="s">
        <v>836</v>
      </c>
      <c r="KP8" s="1445" t="s">
        <v>837</v>
      </c>
      <c r="KQ8" s="1445" t="s">
        <v>838</v>
      </c>
      <c r="KR8" s="1445" t="s">
        <v>792</v>
      </c>
      <c r="KS8" s="1445" t="s">
        <v>835</v>
      </c>
      <c r="KT8" s="1445" t="s">
        <v>836</v>
      </c>
      <c r="KU8" s="1445" t="s">
        <v>837</v>
      </c>
      <c r="KV8" s="1445" t="s">
        <v>838</v>
      </c>
      <c r="KW8" s="1445" t="s">
        <v>792</v>
      </c>
      <c r="KX8" s="1445" t="s">
        <v>835</v>
      </c>
      <c r="KY8" s="1445" t="s">
        <v>836</v>
      </c>
      <c r="KZ8" s="1445" t="s">
        <v>837</v>
      </c>
      <c r="LA8" s="1445" t="s">
        <v>838</v>
      </c>
      <c r="LB8" s="1445" t="s">
        <v>792</v>
      </c>
      <c r="LC8" s="1445" t="s">
        <v>835</v>
      </c>
      <c r="LD8" s="1445" t="s">
        <v>836</v>
      </c>
      <c r="LE8" s="1445" t="s">
        <v>837</v>
      </c>
      <c r="LF8" s="1445" t="s">
        <v>838</v>
      </c>
      <c r="LG8" s="3368"/>
      <c r="LH8" s="3368"/>
      <c r="LI8" s="3368"/>
      <c r="LJ8" s="3368"/>
      <c r="LK8" s="3368"/>
      <c r="LL8" s="3368"/>
      <c r="LM8" s="3368"/>
      <c r="LN8" s="3368"/>
      <c r="LO8" s="3368"/>
      <c r="LP8" s="3368"/>
      <c r="LQ8" s="3368"/>
      <c r="LR8" s="3368"/>
      <c r="LS8" s="3368"/>
      <c r="LT8" s="3368"/>
      <c r="LU8" s="3368"/>
      <c r="LV8" s="3368"/>
      <c r="LW8" s="3368"/>
      <c r="LX8" s="3368"/>
      <c r="LY8" s="3368"/>
      <c r="LZ8" s="3368"/>
      <c r="MA8" s="3368"/>
      <c r="MB8" s="3368"/>
      <c r="MC8" s="3368"/>
      <c r="MD8" s="3368"/>
      <c r="ME8" s="3368"/>
      <c r="MF8" s="3368"/>
      <c r="MG8" s="3368"/>
      <c r="MH8" s="3368"/>
      <c r="MI8" s="3368"/>
      <c r="MJ8" s="3368"/>
      <c r="MK8" s="3369"/>
      <c r="ML8" s="3369"/>
      <c r="MM8" s="3369"/>
      <c r="MN8" s="3369"/>
      <c r="MO8" s="3369"/>
      <c r="MP8" s="3368"/>
      <c r="MQ8" s="3368"/>
      <c r="MR8" s="3368"/>
      <c r="MS8" s="3368"/>
      <c r="MT8" s="3368"/>
      <c r="MU8" s="43"/>
      <c r="MV8" s="43"/>
      <c r="MW8" s="43"/>
      <c r="MX8" s="43"/>
      <c r="MY8" s="43"/>
      <c r="MZ8" s="43"/>
      <c r="NA8" s="43"/>
      <c r="NB8" s="43"/>
      <c r="NC8" s="43"/>
      <c r="ND8" s="43"/>
      <c r="NE8" s="43"/>
      <c r="NF8" s="43"/>
      <c r="NG8" s="43"/>
      <c r="NH8" s="43"/>
      <c r="NI8" s="43"/>
      <c r="NJ8" s="43"/>
      <c r="NK8" s="43"/>
      <c r="NL8" s="43"/>
      <c r="NM8" s="43"/>
      <c r="NN8" s="43"/>
      <c r="NO8" s="253"/>
      <c r="NP8" s="1293"/>
      <c r="NQ8" s="2082">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425"/>
      <c r="B9" s="811" t="s">
        <v>1105</v>
      </c>
      <c r="C9" s="517" t="s">
        <v>1106</v>
      </c>
      <c r="D9" s="517" t="s">
        <v>1107</v>
      </c>
      <c r="E9" s="517" t="s">
        <v>1108</v>
      </c>
      <c r="F9" s="517" t="s">
        <v>1108</v>
      </c>
      <c r="G9" s="3429" t="s">
        <v>1109</v>
      </c>
      <c r="H9" s="2543" t="s">
        <v>1110</v>
      </c>
      <c r="I9" s="3429"/>
      <c r="J9" s="3434" t="s">
        <v>1111</v>
      </c>
      <c r="K9" s="517" t="s">
        <v>1112</v>
      </c>
      <c r="L9" s="3436" t="s">
        <v>1113</v>
      </c>
      <c r="M9" s="3437"/>
      <c r="N9" s="517" t="s">
        <v>1114</v>
      </c>
      <c r="O9" s="517" t="s">
        <v>1115</v>
      </c>
      <c r="P9" s="3438" t="s">
        <v>1116</v>
      </c>
      <c r="Q9" s="3423"/>
      <c r="R9" s="517" t="s">
        <v>1117</v>
      </c>
      <c r="S9" s="517" t="s">
        <v>1118</v>
      </c>
      <c r="T9" s="234"/>
      <c r="W9" s="235"/>
      <c r="X9" s="3362"/>
      <c r="Y9" s="3362"/>
      <c r="Z9" s="3362"/>
      <c r="AA9" s="3362"/>
      <c r="AB9" s="3362"/>
      <c r="AC9" s="3362"/>
      <c r="AD9" s="3362"/>
      <c r="AE9" s="3362"/>
      <c r="AF9" s="3362"/>
      <c r="AG9" s="3362"/>
      <c r="AH9" s="3362"/>
      <c r="AI9" s="3362"/>
      <c r="AJ9" s="3362"/>
      <c r="AK9" s="3362"/>
      <c r="AL9" s="3362"/>
      <c r="AM9" s="3362"/>
      <c r="AN9" s="3362"/>
      <c r="AO9" s="3362"/>
      <c r="AP9" s="3362"/>
      <c r="AQ9" s="3362"/>
      <c r="AR9" s="3362"/>
      <c r="AS9" s="3362"/>
      <c r="AT9" s="3362"/>
      <c r="AU9" s="3362"/>
      <c r="AV9" s="3362"/>
      <c r="AW9" s="3362"/>
      <c r="AX9" s="3362"/>
      <c r="AY9" s="3362"/>
      <c r="AZ9" s="3362"/>
      <c r="BA9" s="3362"/>
      <c r="BB9" s="3362"/>
      <c r="BC9" s="3362"/>
      <c r="BD9" s="3362"/>
      <c r="BE9" s="3362"/>
      <c r="BF9" s="3362"/>
      <c r="BG9" s="3362"/>
      <c r="BH9" s="3362"/>
      <c r="BI9" s="3362"/>
      <c r="BJ9" s="3362"/>
      <c r="BK9" s="3362"/>
      <c r="BL9" s="3362"/>
      <c r="BM9" s="3362"/>
      <c r="BN9" s="3362"/>
      <c r="BO9" s="3362"/>
      <c r="BP9" s="3362"/>
      <c r="BQ9" s="3362"/>
      <c r="BR9" s="3362"/>
      <c r="BS9" s="3362"/>
      <c r="BT9" s="3362"/>
      <c r="BU9" s="3362"/>
      <c r="BV9" s="3362"/>
      <c r="BW9" s="3362"/>
      <c r="BX9" s="3362"/>
      <c r="BY9" s="3362"/>
      <c r="BZ9" s="3362"/>
      <c r="CA9" s="3362"/>
      <c r="CB9" s="3362"/>
      <c r="CC9" s="3362"/>
      <c r="CD9" s="3362"/>
      <c r="CE9" s="3362"/>
      <c r="CF9" s="3362"/>
      <c r="CG9" s="3362"/>
      <c r="CH9" s="3362"/>
      <c r="CI9" s="3362"/>
      <c r="CJ9" s="3362"/>
      <c r="CK9" s="3362"/>
      <c r="CL9" s="3362"/>
      <c r="CM9" s="3362"/>
      <c r="CN9" s="3362"/>
      <c r="CO9" s="3362"/>
      <c r="CP9" s="3362"/>
      <c r="CQ9" s="3362"/>
      <c r="CR9" s="3362"/>
      <c r="CS9" s="3362"/>
      <c r="CT9" s="3362"/>
      <c r="CU9" s="3362"/>
      <c r="CV9" s="3362"/>
      <c r="CW9" s="3362"/>
      <c r="CX9" s="3362"/>
      <c r="CY9" s="3362"/>
      <c r="CZ9" s="3362"/>
      <c r="DA9" s="3362"/>
      <c r="DB9" s="3362"/>
      <c r="DC9" s="3362"/>
      <c r="DD9" s="3362"/>
      <c r="DE9" s="3362"/>
      <c r="DF9" s="3362"/>
      <c r="DG9" s="3362"/>
      <c r="DH9" s="3362"/>
      <c r="DI9" s="3362"/>
      <c r="DJ9" s="3362"/>
      <c r="DK9" s="3362"/>
      <c r="DL9" s="3362"/>
      <c r="DM9" s="3362"/>
      <c r="DN9" s="3362"/>
      <c r="DO9" s="3362"/>
      <c r="DP9" s="3362"/>
      <c r="DQ9" s="3362"/>
      <c r="DR9" s="3362"/>
      <c r="DS9" s="3362"/>
      <c r="DT9" s="3362"/>
      <c r="DU9" s="3362"/>
      <c r="DV9" s="3362"/>
      <c r="DW9" s="3362"/>
      <c r="DX9" s="3362"/>
      <c r="DY9" s="3362"/>
      <c r="DZ9" s="3362"/>
      <c r="EA9" s="3362"/>
      <c r="EB9" s="3362"/>
      <c r="EC9" s="3362"/>
      <c r="ED9" s="3362"/>
      <c r="EE9" s="3362"/>
      <c r="EF9" s="3362"/>
      <c r="EG9" s="3362"/>
      <c r="EH9" s="3362"/>
      <c r="EI9" s="3362"/>
      <c r="EJ9" s="3362"/>
      <c r="EK9" s="3362"/>
      <c r="EL9" s="3362"/>
      <c r="EM9" s="3362"/>
      <c r="EN9" s="3362"/>
      <c r="EO9" s="3362"/>
      <c r="EP9" s="3362"/>
      <c r="EQ9" s="3362"/>
      <c r="ER9" s="3362"/>
      <c r="ES9" s="3362"/>
      <c r="ET9" s="3362"/>
      <c r="EU9" s="3362"/>
      <c r="EV9" s="3362"/>
      <c r="EW9" s="3362"/>
      <c r="EX9" s="3362"/>
      <c r="EY9" s="3362"/>
      <c r="EZ9" s="3362"/>
      <c r="FA9" s="3362"/>
      <c r="FB9" s="3362"/>
      <c r="FC9" s="3362"/>
      <c r="FD9" s="3362"/>
      <c r="FE9" s="3362"/>
      <c r="FF9" s="3362"/>
      <c r="FG9" s="3362"/>
      <c r="FH9" s="3362"/>
      <c r="FI9" s="3362"/>
      <c r="FJ9" s="3362"/>
      <c r="FK9" s="3362"/>
      <c r="FL9" s="3362"/>
      <c r="FM9" s="3362"/>
      <c r="FN9" s="3362"/>
      <c r="FO9" s="3362"/>
      <c r="FP9" s="3362"/>
      <c r="FQ9" s="3362"/>
      <c r="FR9" s="3362"/>
      <c r="FS9" s="3362"/>
      <c r="FT9" s="3362"/>
      <c r="FU9" s="3362"/>
      <c r="FV9" s="3362"/>
      <c r="FW9" s="3362"/>
      <c r="FX9" s="3362"/>
      <c r="FY9" s="3362"/>
      <c r="FZ9" s="3362"/>
      <c r="GA9" s="3362"/>
      <c r="GB9" s="3362"/>
      <c r="GC9" s="3362"/>
      <c r="GD9" s="3362"/>
      <c r="GE9" s="3362"/>
      <c r="GF9" s="3362"/>
      <c r="GG9" s="3362"/>
      <c r="GH9" s="3362"/>
      <c r="GI9" s="3362"/>
      <c r="GJ9" s="3362"/>
      <c r="GK9" s="3362"/>
      <c r="GL9" s="3362"/>
      <c r="GM9" s="3362"/>
      <c r="GN9" s="3362"/>
      <c r="GO9" s="3362"/>
      <c r="GP9" s="3362"/>
      <c r="GQ9" s="3362"/>
      <c r="GR9" s="3362"/>
      <c r="GS9" s="3362"/>
      <c r="GT9" s="3362"/>
      <c r="GU9" s="3362"/>
      <c r="GV9" s="3362"/>
      <c r="GW9" s="3362"/>
      <c r="GX9" s="3362"/>
      <c r="GY9" s="3362"/>
      <c r="GZ9" s="3362"/>
      <c r="HA9" s="3362"/>
      <c r="HB9" s="3362"/>
      <c r="HC9" s="3362"/>
      <c r="HD9" s="3362"/>
      <c r="HE9" s="3362"/>
      <c r="HF9" s="3362"/>
      <c r="HG9" s="3362"/>
      <c r="HH9" s="3362"/>
      <c r="HI9" s="3362"/>
      <c r="HJ9" s="3362"/>
      <c r="HK9" s="3362"/>
      <c r="HL9" s="3362"/>
      <c r="HM9" s="3362"/>
      <c r="HN9" s="3362"/>
      <c r="HO9" s="3362"/>
      <c r="HP9" s="3362"/>
      <c r="HQ9" s="3362"/>
      <c r="HR9" s="3362"/>
      <c r="HS9" s="3362"/>
      <c r="HT9" s="3362"/>
      <c r="HU9" s="3362"/>
      <c r="HV9" s="3362"/>
      <c r="HW9" s="3362"/>
      <c r="HX9" s="3362"/>
      <c r="HY9" s="3362"/>
      <c r="HZ9" s="3362" t="s">
        <v>1119</v>
      </c>
      <c r="IA9" s="2595" t="s">
        <v>835</v>
      </c>
      <c r="IB9" s="2595" t="s">
        <v>836</v>
      </c>
      <c r="IC9" s="2595" t="s">
        <v>837</v>
      </c>
      <c r="ID9" s="2595" t="s">
        <v>838</v>
      </c>
      <c r="IE9" s="3362" t="s">
        <v>1120</v>
      </c>
      <c r="IF9" s="3362" t="s">
        <v>1120</v>
      </c>
      <c r="IG9" s="3362" t="s">
        <v>1120</v>
      </c>
      <c r="IH9" s="3362" t="s">
        <v>1120</v>
      </c>
      <c r="II9" s="3362" t="s">
        <v>1120</v>
      </c>
      <c r="IJ9" s="3362" t="s">
        <v>1121</v>
      </c>
      <c r="IK9" s="3362" t="s">
        <v>1121</v>
      </c>
      <c r="IL9" s="3362" t="s">
        <v>1121</v>
      </c>
      <c r="IM9" s="3362" t="s">
        <v>1121</v>
      </c>
      <c r="IN9" s="3362" t="s">
        <v>1121</v>
      </c>
      <c r="IO9" s="2595" t="s">
        <v>792</v>
      </c>
      <c r="IP9" s="2595" t="s">
        <v>835</v>
      </c>
      <c r="IQ9" s="2595" t="s">
        <v>836</v>
      </c>
      <c r="IR9" s="2595" t="s">
        <v>837</v>
      </c>
      <c r="IS9" s="2595" t="s">
        <v>838</v>
      </c>
      <c r="IT9" s="2595" t="s">
        <v>792</v>
      </c>
      <c r="IU9" s="2595" t="s">
        <v>835</v>
      </c>
      <c r="IV9" s="2595" t="s">
        <v>836</v>
      </c>
      <c r="IW9" s="2595" t="s">
        <v>837</v>
      </c>
      <c r="IX9" s="2595" t="s">
        <v>838</v>
      </c>
      <c r="IY9" s="3362" t="s">
        <v>1122</v>
      </c>
      <c r="IZ9" s="3362" t="s">
        <v>1122</v>
      </c>
      <c r="JA9" s="3362" t="s">
        <v>1122</v>
      </c>
      <c r="JB9" s="3362" t="s">
        <v>1122</v>
      </c>
      <c r="JC9" s="3362" t="s">
        <v>1122</v>
      </c>
      <c r="JD9" s="3362" t="s">
        <v>1123</v>
      </c>
      <c r="JE9" s="3362" t="s">
        <v>1123</v>
      </c>
      <c r="JF9" s="3362" t="s">
        <v>1123</v>
      </c>
      <c r="JG9" s="3362" t="s">
        <v>1123</v>
      </c>
      <c r="JH9" s="3362" t="s">
        <v>1123</v>
      </c>
      <c r="JI9" s="3362" t="s">
        <v>1124</v>
      </c>
      <c r="JJ9" s="3362" t="s">
        <v>1124</v>
      </c>
      <c r="JK9" s="3362" t="s">
        <v>1124</v>
      </c>
      <c r="JL9" s="3362" t="s">
        <v>1124</v>
      </c>
      <c r="JM9" s="3362" t="s">
        <v>1124</v>
      </c>
      <c r="JN9" s="3362" t="s">
        <v>1125</v>
      </c>
      <c r="JO9" s="3362" t="s">
        <v>1125</v>
      </c>
      <c r="JP9" s="3362" t="s">
        <v>1125</v>
      </c>
      <c r="JQ9" s="3362" t="s">
        <v>1125</v>
      </c>
      <c r="JR9" s="3362" t="s">
        <v>1125</v>
      </c>
      <c r="JS9" s="3362" t="s">
        <v>1126</v>
      </c>
      <c r="JT9" s="3362" t="s">
        <v>1126</v>
      </c>
      <c r="JU9" s="3362" t="s">
        <v>1126</v>
      </c>
      <c r="JV9" s="3362" t="s">
        <v>1126</v>
      </c>
      <c r="JW9" s="3362" t="s">
        <v>1126</v>
      </c>
      <c r="JX9" s="3362" t="s">
        <v>1127</v>
      </c>
      <c r="JY9" s="3362" t="s">
        <v>1127</v>
      </c>
      <c r="JZ9" s="3362" t="s">
        <v>1127</v>
      </c>
      <c r="KA9" s="3362" t="s">
        <v>1127</v>
      </c>
      <c r="KB9" s="3362" t="s">
        <v>1127</v>
      </c>
      <c r="KC9" s="3362" t="s">
        <v>1128</v>
      </c>
      <c r="KD9" s="3362" t="s">
        <v>1128</v>
      </c>
      <c r="KE9" s="3362" t="s">
        <v>1128</v>
      </c>
      <c r="KF9" s="3362" t="s">
        <v>1128</v>
      </c>
      <c r="KG9" s="3362" t="s">
        <v>1128</v>
      </c>
      <c r="KH9" s="3362" t="s">
        <v>1129</v>
      </c>
      <c r="KI9" s="3368" t="s">
        <v>1130</v>
      </c>
      <c r="KJ9" s="3368" t="s">
        <v>1130</v>
      </c>
      <c r="KK9" s="3368" t="s">
        <v>1130</v>
      </c>
      <c r="KL9" s="3368" t="s">
        <v>1130</v>
      </c>
      <c r="KM9" s="3368" t="s">
        <v>1131</v>
      </c>
      <c r="KN9" s="3368" t="s">
        <v>1131</v>
      </c>
      <c r="KO9" s="3368" t="s">
        <v>1131</v>
      </c>
      <c r="KP9" s="3368" t="s">
        <v>1131</v>
      </c>
      <c r="KQ9" s="3368" t="s">
        <v>1131</v>
      </c>
      <c r="KR9" s="3368" t="s">
        <v>1132</v>
      </c>
      <c r="KS9" s="3368" t="s">
        <v>1132</v>
      </c>
      <c r="KT9" s="3368" t="s">
        <v>1132</v>
      </c>
      <c r="KU9" s="3368" t="s">
        <v>1132</v>
      </c>
      <c r="KV9" s="3368" t="s">
        <v>1132</v>
      </c>
      <c r="KW9" s="3368" t="s">
        <v>1133</v>
      </c>
      <c r="KX9" s="3368" t="s">
        <v>1133</v>
      </c>
      <c r="KY9" s="3368" t="s">
        <v>1133</v>
      </c>
      <c r="KZ9" s="3368" t="s">
        <v>1133</v>
      </c>
      <c r="LA9" s="3368" t="s">
        <v>1133</v>
      </c>
      <c r="LB9" s="3368" t="s">
        <v>1134</v>
      </c>
      <c r="LC9" s="3368" t="s">
        <v>1134</v>
      </c>
      <c r="LD9" s="3368" t="s">
        <v>1134</v>
      </c>
      <c r="LE9" s="3368" t="s">
        <v>1134</v>
      </c>
      <c r="LF9" s="3368" t="s">
        <v>1134</v>
      </c>
      <c r="LG9" s="3368"/>
      <c r="LH9" s="3368"/>
      <c r="LI9" s="3368"/>
      <c r="LJ9" s="3368"/>
      <c r="LK9" s="3368"/>
      <c r="LL9" s="3368"/>
      <c r="LM9" s="3368"/>
      <c r="LN9" s="3368"/>
      <c r="LO9" s="3368"/>
      <c r="LP9" s="3368"/>
      <c r="LQ9" s="3368"/>
      <c r="LR9" s="3368"/>
      <c r="LS9" s="3368"/>
      <c r="LT9" s="3368"/>
      <c r="LU9" s="3368"/>
      <c r="LV9" s="3368"/>
      <c r="LW9" s="3368"/>
      <c r="LX9" s="3368"/>
      <c r="LY9" s="3368"/>
      <c r="LZ9" s="3368"/>
      <c r="MA9" s="3368"/>
      <c r="MB9" s="3368"/>
      <c r="MC9" s="3368"/>
      <c r="MD9" s="3368"/>
      <c r="ME9" s="3368"/>
      <c r="MF9" s="3368"/>
      <c r="MG9" s="3368"/>
      <c r="MH9" s="3368"/>
      <c r="MI9" s="3368"/>
      <c r="MJ9" s="3368"/>
      <c r="MK9" s="3369"/>
      <c r="ML9" s="3369"/>
      <c r="MM9" s="3369"/>
      <c r="MN9" s="3369"/>
      <c r="MO9" s="3369"/>
      <c r="MP9" s="3368"/>
      <c r="MQ9" s="3368"/>
      <c r="MR9" s="3368"/>
      <c r="MS9" s="3368"/>
      <c r="MT9" s="3368"/>
      <c r="MU9" s="40"/>
      <c r="MV9" s="40"/>
      <c r="MW9" s="40"/>
      <c r="MX9" s="40"/>
      <c r="MY9" s="40"/>
      <c r="MZ9" s="40"/>
      <c r="NA9" s="40"/>
      <c r="NB9" s="40"/>
      <c r="NC9" s="40"/>
      <c r="ND9" s="40"/>
      <c r="NE9" s="40"/>
      <c r="NF9" s="40"/>
      <c r="NG9" s="40"/>
      <c r="NH9" s="40"/>
      <c r="NI9" s="40"/>
      <c r="NJ9" s="40"/>
      <c r="NK9" s="40"/>
      <c r="NL9" s="40"/>
      <c r="NM9" s="40"/>
      <c r="NN9" s="40"/>
      <c r="NO9" s="254"/>
      <c r="NP9" s="1316"/>
      <c r="NQ9" s="2083">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425"/>
      <c r="B10" s="923" t="s">
        <v>1135</v>
      </c>
      <c r="C10" s="517" t="s">
        <v>816</v>
      </c>
      <c r="D10" s="517" t="s">
        <v>817</v>
      </c>
      <c r="E10" s="517" t="s">
        <v>1136</v>
      </c>
      <c r="F10" s="517" t="s">
        <v>1137</v>
      </c>
      <c r="G10" s="3430"/>
      <c r="H10" s="517" t="s">
        <v>1138</v>
      </c>
      <c r="I10" s="3430"/>
      <c r="J10" s="3435"/>
      <c r="K10" s="252" t="s">
        <v>1139</v>
      </c>
      <c r="L10" s="517" t="s">
        <v>1140</v>
      </c>
      <c r="M10" s="517" t="s">
        <v>299</v>
      </c>
      <c r="N10" s="517" t="s">
        <v>1108</v>
      </c>
      <c r="O10" s="517" t="s">
        <v>1141</v>
      </c>
      <c r="P10" s="3439"/>
      <c r="Q10" s="3424"/>
      <c r="R10" s="517" t="s">
        <v>1142</v>
      </c>
      <c r="S10" s="517" t="s">
        <v>1143</v>
      </c>
      <c r="T10" s="6" t="s">
        <v>814</v>
      </c>
      <c r="W10" s="6"/>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3362"/>
      <c r="AS10" s="3362"/>
      <c r="AT10" s="3362"/>
      <c r="AU10" s="3362"/>
      <c r="AV10" s="3362"/>
      <c r="AW10" s="3362"/>
      <c r="AX10" s="3362"/>
      <c r="AY10" s="3362"/>
      <c r="AZ10" s="3362"/>
      <c r="BA10" s="3362"/>
      <c r="BB10" s="3362"/>
      <c r="BC10" s="3362"/>
      <c r="BD10" s="3362"/>
      <c r="BE10" s="3362"/>
      <c r="BF10" s="3362"/>
      <c r="BG10" s="3362"/>
      <c r="BH10" s="3362"/>
      <c r="BI10" s="3362"/>
      <c r="BJ10" s="3362"/>
      <c r="BK10" s="3362"/>
      <c r="BL10" s="3362"/>
      <c r="BM10" s="3362"/>
      <c r="BN10" s="3362"/>
      <c r="BO10" s="3362"/>
      <c r="BP10" s="3362"/>
      <c r="BQ10" s="3362"/>
      <c r="BR10" s="3362"/>
      <c r="BS10" s="3362"/>
      <c r="BT10" s="3362"/>
      <c r="BU10" s="3362"/>
      <c r="BV10" s="3362"/>
      <c r="BW10" s="3362"/>
      <c r="BX10" s="3362"/>
      <c r="BY10" s="3362"/>
      <c r="BZ10" s="3362"/>
      <c r="CA10" s="3362"/>
      <c r="CB10" s="3362"/>
      <c r="CC10" s="3362"/>
      <c r="CD10" s="3362"/>
      <c r="CE10" s="3362"/>
      <c r="CF10" s="3362"/>
      <c r="CG10" s="3362"/>
      <c r="CH10" s="3362"/>
      <c r="CI10" s="3362"/>
      <c r="CJ10" s="3362"/>
      <c r="CK10" s="3362"/>
      <c r="CL10" s="3362"/>
      <c r="CM10" s="3362"/>
      <c r="CN10" s="3362"/>
      <c r="CO10" s="3362"/>
      <c r="CP10" s="3362"/>
      <c r="CQ10" s="3362"/>
      <c r="CR10" s="3362"/>
      <c r="CS10" s="3362"/>
      <c r="CT10" s="3362"/>
      <c r="CU10" s="3362"/>
      <c r="CV10" s="3362"/>
      <c r="CW10" s="3362"/>
      <c r="CX10" s="3362"/>
      <c r="CY10" s="3362"/>
      <c r="CZ10" s="3362"/>
      <c r="DA10" s="3362"/>
      <c r="DB10" s="3362"/>
      <c r="DC10" s="3362"/>
      <c r="DD10" s="3362"/>
      <c r="DE10" s="3362"/>
      <c r="DF10" s="3362"/>
      <c r="DG10" s="3362"/>
      <c r="DH10" s="3362"/>
      <c r="DI10" s="3362"/>
      <c r="DJ10" s="3362"/>
      <c r="DK10" s="3362"/>
      <c r="DL10" s="3362"/>
      <c r="DM10" s="3362"/>
      <c r="DN10" s="3362"/>
      <c r="DO10" s="3362"/>
      <c r="DP10" s="3362"/>
      <c r="DQ10" s="3362"/>
      <c r="DR10" s="3362"/>
      <c r="DS10" s="3362"/>
      <c r="DT10" s="3362"/>
      <c r="DU10" s="3362"/>
      <c r="DV10" s="3362"/>
      <c r="DW10" s="3362"/>
      <c r="DX10" s="3362"/>
      <c r="DY10" s="3362"/>
      <c r="DZ10" s="3362"/>
      <c r="EA10" s="3362"/>
      <c r="EB10" s="3362"/>
      <c r="EC10" s="3362"/>
      <c r="ED10" s="3362"/>
      <c r="EE10" s="3362"/>
      <c r="EF10" s="3362"/>
      <c r="EG10" s="3362"/>
      <c r="EH10" s="3362"/>
      <c r="EI10" s="3362"/>
      <c r="EJ10" s="3362"/>
      <c r="EK10" s="3362"/>
      <c r="EL10" s="3362"/>
      <c r="EM10" s="3362"/>
      <c r="EN10" s="3362"/>
      <c r="EO10" s="3362"/>
      <c r="EP10" s="3362"/>
      <c r="EQ10" s="3362"/>
      <c r="ER10" s="3362"/>
      <c r="ES10" s="3362"/>
      <c r="ET10" s="3362"/>
      <c r="EU10" s="3362"/>
      <c r="EV10" s="3362"/>
      <c r="EW10" s="3362"/>
      <c r="EX10" s="3362"/>
      <c r="EY10" s="3362"/>
      <c r="EZ10" s="3362"/>
      <c r="FA10" s="3362"/>
      <c r="FB10" s="3362"/>
      <c r="FC10" s="3362"/>
      <c r="FD10" s="3362"/>
      <c r="FE10" s="3362"/>
      <c r="FF10" s="3362"/>
      <c r="FG10" s="3362"/>
      <c r="FH10" s="3362"/>
      <c r="FI10" s="3362"/>
      <c r="FJ10" s="3362"/>
      <c r="FK10" s="3362"/>
      <c r="FL10" s="3362"/>
      <c r="FM10" s="3362"/>
      <c r="FN10" s="3362"/>
      <c r="FO10" s="3362"/>
      <c r="FP10" s="3362"/>
      <c r="FQ10" s="3362"/>
      <c r="FR10" s="3362"/>
      <c r="FS10" s="3362"/>
      <c r="FT10" s="3362"/>
      <c r="FU10" s="3362"/>
      <c r="FV10" s="3362"/>
      <c r="FW10" s="3362"/>
      <c r="FX10" s="3362"/>
      <c r="FY10" s="3362"/>
      <c r="FZ10" s="3362"/>
      <c r="GA10" s="3362"/>
      <c r="GB10" s="3362"/>
      <c r="GC10" s="3362"/>
      <c r="GD10" s="3362"/>
      <c r="GE10" s="3362"/>
      <c r="GF10" s="3362"/>
      <c r="GG10" s="3362"/>
      <c r="GH10" s="3362"/>
      <c r="GI10" s="3362"/>
      <c r="GJ10" s="3362"/>
      <c r="GK10" s="3362"/>
      <c r="GL10" s="3362"/>
      <c r="GM10" s="3362"/>
      <c r="GN10" s="3362"/>
      <c r="GO10" s="3362"/>
      <c r="GP10" s="3362"/>
      <c r="GQ10" s="3362"/>
      <c r="GR10" s="3362"/>
      <c r="GS10" s="3362"/>
      <c r="GT10" s="3362"/>
      <c r="GU10" s="3362"/>
      <c r="GV10" s="3362"/>
      <c r="GW10" s="3362"/>
      <c r="GX10" s="3362"/>
      <c r="GY10" s="3362"/>
      <c r="GZ10" s="3362"/>
      <c r="HA10" s="3362"/>
      <c r="HB10" s="3362"/>
      <c r="HC10" s="3362"/>
      <c r="HD10" s="3362"/>
      <c r="HE10" s="3362"/>
      <c r="HF10" s="3362"/>
      <c r="HG10" s="3362"/>
      <c r="HH10" s="3362"/>
      <c r="HI10" s="3362"/>
      <c r="HJ10" s="3362"/>
      <c r="HK10" s="3362"/>
      <c r="HL10" s="3362"/>
      <c r="HM10" s="3362"/>
      <c r="HN10" s="3362"/>
      <c r="HO10" s="3362"/>
      <c r="HP10" s="3362"/>
      <c r="HQ10" s="3362"/>
      <c r="HR10" s="3362"/>
      <c r="HS10" s="3362"/>
      <c r="HT10" s="3362"/>
      <c r="HU10" s="3362"/>
      <c r="HV10" s="3362"/>
      <c r="HW10" s="3362"/>
      <c r="HX10" s="3362"/>
      <c r="HY10" s="3362"/>
      <c r="HZ10" s="3362"/>
      <c r="IA10" s="2595" t="s">
        <v>1144</v>
      </c>
      <c r="IB10" s="2595" t="s">
        <v>1144</v>
      </c>
      <c r="IC10" s="2595" t="s">
        <v>1144</v>
      </c>
      <c r="ID10" s="2595" t="s">
        <v>1144</v>
      </c>
      <c r="IE10" s="3362"/>
      <c r="IF10" s="3362"/>
      <c r="IG10" s="3362"/>
      <c r="IH10" s="3362"/>
      <c r="II10" s="3362"/>
      <c r="IJ10" s="3362"/>
      <c r="IK10" s="3362"/>
      <c r="IL10" s="3362"/>
      <c r="IM10" s="3362"/>
      <c r="IN10" s="3362"/>
      <c r="IO10" s="2595" t="s">
        <v>1145</v>
      </c>
      <c r="IP10" s="2595" t="s">
        <v>1145</v>
      </c>
      <c r="IQ10" s="2595" t="s">
        <v>1145</v>
      </c>
      <c r="IR10" s="2595" t="s">
        <v>1145</v>
      </c>
      <c r="IS10" s="2595" t="s">
        <v>1145</v>
      </c>
      <c r="IT10" s="2595" t="s">
        <v>1146</v>
      </c>
      <c r="IU10" s="2595" t="s">
        <v>1146</v>
      </c>
      <c r="IV10" s="2595" t="s">
        <v>1146</v>
      </c>
      <c r="IW10" s="2595" t="s">
        <v>1146</v>
      </c>
      <c r="IX10" s="2595" t="s">
        <v>1146</v>
      </c>
      <c r="IY10" s="3362"/>
      <c r="IZ10" s="3362"/>
      <c r="JA10" s="3362"/>
      <c r="JB10" s="3362"/>
      <c r="JC10" s="3362"/>
      <c r="JD10" s="3362"/>
      <c r="JE10" s="3362"/>
      <c r="JF10" s="3362"/>
      <c r="JG10" s="3362"/>
      <c r="JH10" s="3362"/>
      <c r="JI10" s="3362"/>
      <c r="JJ10" s="3362"/>
      <c r="JK10" s="3362"/>
      <c r="JL10" s="3362"/>
      <c r="JM10" s="3362"/>
      <c r="JN10" s="3362"/>
      <c r="JO10" s="3362"/>
      <c r="JP10" s="3362"/>
      <c r="JQ10" s="3362"/>
      <c r="JR10" s="3362"/>
      <c r="JS10" s="3362"/>
      <c r="JT10" s="3362"/>
      <c r="JU10" s="3362"/>
      <c r="JV10" s="3362"/>
      <c r="JW10" s="3362"/>
      <c r="JX10" s="3362"/>
      <c r="JY10" s="3362"/>
      <c r="JZ10" s="3362"/>
      <c r="KA10" s="3362"/>
      <c r="KB10" s="3362"/>
      <c r="KC10" s="3362"/>
      <c r="KD10" s="3362"/>
      <c r="KE10" s="3362"/>
      <c r="KF10" s="3362"/>
      <c r="KG10" s="3362"/>
      <c r="KH10" s="3362"/>
      <c r="KI10" s="3368"/>
      <c r="KJ10" s="3368"/>
      <c r="KK10" s="3368"/>
      <c r="KL10" s="3368"/>
      <c r="KM10" s="3368"/>
      <c r="KN10" s="3368"/>
      <c r="KO10" s="3368"/>
      <c r="KP10" s="3368"/>
      <c r="KQ10" s="3368"/>
      <c r="KR10" s="3368"/>
      <c r="KS10" s="3368"/>
      <c r="KT10" s="3368"/>
      <c r="KU10" s="3368"/>
      <c r="KV10" s="3368"/>
      <c r="KW10" s="3368"/>
      <c r="KX10" s="3368"/>
      <c r="KY10" s="3368"/>
      <c r="KZ10" s="3368"/>
      <c r="LA10" s="3368"/>
      <c r="LB10" s="3368"/>
      <c r="LC10" s="3368"/>
      <c r="LD10" s="3368"/>
      <c r="LE10" s="3368"/>
      <c r="LF10" s="3368"/>
      <c r="LG10" s="3368"/>
      <c r="LH10" s="3368"/>
      <c r="LI10" s="3368"/>
      <c r="LJ10" s="3368"/>
      <c r="LK10" s="3368"/>
      <c r="LL10" s="3368"/>
      <c r="LM10" s="3368"/>
      <c r="LN10" s="3368"/>
      <c r="LO10" s="3368"/>
      <c r="LP10" s="3368"/>
      <c r="LQ10" s="3368"/>
      <c r="LR10" s="3368"/>
      <c r="LS10" s="3368"/>
      <c r="LT10" s="3368"/>
      <c r="LU10" s="3368"/>
      <c r="LV10" s="3368"/>
      <c r="LW10" s="3368"/>
      <c r="LX10" s="3368"/>
      <c r="LY10" s="3368"/>
      <c r="LZ10" s="3368"/>
      <c r="MA10" s="3368"/>
      <c r="MB10" s="3368"/>
      <c r="MC10" s="3368"/>
      <c r="MD10" s="3368"/>
      <c r="ME10" s="3368"/>
      <c r="MF10" s="3368"/>
      <c r="MG10" s="3368"/>
      <c r="MH10" s="3368"/>
      <c r="MI10" s="3368"/>
      <c r="MJ10" s="3368"/>
      <c r="MK10" s="3369"/>
      <c r="ML10" s="3369"/>
      <c r="MM10" s="3369"/>
      <c r="MN10" s="3369"/>
      <c r="MO10" s="3369"/>
      <c r="MP10" s="3368"/>
      <c r="MQ10" s="3368"/>
      <c r="MR10" s="3368"/>
      <c r="MS10" s="3368"/>
      <c r="MT10" s="3368"/>
      <c r="MU10" s="40"/>
      <c r="MV10" s="40"/>
      <c r="MW10" s="40"/>
      <c r="MX10" s="40"/>
      <c r="MY10" s="40"/>
      <c r="MZ10" s="40"/>
      <c r="NA10" s="40"/>
      <c r="NB10" s="40"/>
      <c r="NC10" s="40"/>
      <c r="ND10" s="40"/>
      <c r="NE10" s="40"/>
      <c r="NF10" s="40"/>
      <c r="NG10" s="40"/>
      <c r="NH10" s="40"/>
      <c r="NI10" s="40"/>
      <c r="NJ10" s="40"/>
      <c r="NK10" s="40"/>
      <c r="NL10" s="40"/>
      <c r="NM10" s="40"/>
      <c r="NN10" s="40"/>
      <c r="NO10" s="254"/>
      <c r="NP10" s="1316"/>
      <c r="NQ10" s="2082">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 customHeight="1">
      <c r="A11" s="53" t="str">
        <f t="shared" ref="A11:A48" si="0">IF(AND(E11&gt;0,OR(B11="",C11="",D11="",F11="",G11="", H11="",I11="",N11="",O11="",P11="",Q11="")),1,"")</f>
        <v/>
      </c>
      <c r="B11" s="2695" t="s">
        <v>1147</v>
      </c>
      <c r="C11" s="2696"/>
      <c r="D11" s="2697"/>
      <c r="E11" s="1057"/>
      <c r="F11" s="1057"/>
      <c r="G11" s="1057"/>
      <c r="H11" s="1057"/>
      <c r="I11" s="1057"/>
      <c r="J11" s="2698"/>
      <c r="K11" s="2699"/>
      <c r="L11" s="2700">
        <f t="shared" ref="L11:L48" si="1">MAX(0,H11-I11-J11)</f>
        <v>0</v>
      </c>
      <c r="M11" s="2700">
        <f t="shared" ref="M11:M48" si="2">MAX(0,E11*L11)</f>
        <v>0</v>
      </c>
      <c r="N11" s="2701"/>
      <c r="O11" s="2702"/>
      <c r="P11" s="2701"/>
      <c r="Q11" s="2703"/>
      <c r="R11" s="558"/>
      <c r="S11" s="2704"/>
      <c r="T11" s="3365"/>
      <c r="U11" s="3366"/>
      <c r="V11" s="3366"/>
      <c r="W11" s="3367"/>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456" t="str">
        <f t="shared" ref="HZ11:HZ48" si="213">IF(AND($C11="Efficiency", NOT(OR($O11="SF Detached",$O11="Mfd Home",$O11="Semi-Detached",$O11="Row House/TH"))),$E11,"")</f>
        <v/>
      </c>
      <c r="IA11" s="1456" t="str">
        <f t="shared" ref="IA11:IA48" si="214">IF(AND($C11=1, NOT(OR($O11="SF Detached",$O11="Mfd Home",$O11="Semi-Detached",$O11="Row House/TH"))),$E11,"")</f>
        <v/>
      </c>
      <c r="IB11" s="1456" t="str">
        <f t="shared" ref="IB11:IB48" si="215">IF(AND($C11=2, NOT(OR($O11="SF Detached",$O11="Mfd Home",$O11="Semi-Detached",$O11="Row House/TH"))),$E11,"")</f>
        <v/>
      </c>
      <c r="IC11" s="1456" t="str">
        <f t="shared" ref="IC11:IC48" si="216">IF(AND($C11=3, NOT(OR($O11="SF Detached",$O11="Mfd Home",$O11="Semi-Detached",$O11="Row House/TH"))),$E11,"")</f>
        <v/>
      </c>
      <c r="ID11" s="1456" t="str">
        <f t="shared" ref="ID11:ID48" si="217">IF(AND($C11=4, NOT(OR($O11="SF Detached",$O11="Mfd Home",$O11="Semi-Detached",$O11="Row House/TH"))),$E11,"")</f>
        <v/>
      </c>
      <c r="IE11" s="1456" t="str">
        <f t="shared" ref="IE11:IE48" si="218">IF(AND($C11="Efficiency", $O11="SF Detached",NOT($Q11="Yes")),$E11,"")</f>
        <v/>
      </c>
      <c r="IF11" s="1456" t="str">
        <f t="shared" ref="IF11:IF48" si="219">IF(AND($C11=1, $O11="SF Detached",NOT($Q11="Yes")),$E11,"")</f>
        <v/>
      </c>
      <c r="IG11" s="1456" t="str">
        <f t="shared" ref="IG11:IG48" si="220">IF(AND($C11=2, $O11="SF Detached",NOT($Q11="Yes")),$E11,"")</f>
        <v/>
      </c>
      <c r="IH11" s="1456" t="str">
        <f t="shared" ref="IH11:IH48" si="221">IF(AND($C11=3, $O11="SF Detached",NOT($Q11="Yes")),$E11,"")</f>
        <v/>
      </c>
      <c r="II11" s="1456" t="str">
        <f t="shared" ref="II11:II48" si="222">IF(AND($C11=4, $O11="SF Detached",NOT($Q11="Yes")),$E11,"")</f>
        <v/>
      </c>
      <c r="IJ11" s="1456" t="str">
        <f t="shared" ref="IJ11:IJ48" si="223">IF(AND($C11="Efficiency", $O11="SF Detached",$Q11="Yes"),$E11,"")</f>
        <v/>
      </c>
      <c r="IK11" s="1456" t="str">
        <f t="shared" ref="IK11:IK48" si="224">IF(AND($C11=1, $O11="SF Detached",$Q11="Yes"),$E11,"")</f>
        <v/>
      </c>
      <c r="IL11" s="1456" t="str">
        <f t="shared" ref="IL11:IL48" si="225">IF(AND($C11=2, $O11="SF Detached",$Q11="Yes"),$E11,"")</f>
        <v/>
      </c>
      <c r="IM11" s="1456" t="str">
        <f t="shared" ref="IM11:IM48" si="226">IF(AND($C11=3, $O11="SF Detached",$Q11="Yes"),$E11,"")</f>
        <v/>
      </c>
      <c r="IN11" s="1456" t="str">
        <f t="shared" ref="IN11:IN48" si="227">IF(AND($C11=4, $O11="SF Detached",$Q11="Yes"),$E11,"")</f>
        <v/>
      </c>
      <c r="IO11" s="1456" t="str">
        <f t="shared" ref="IO11:IO48" si="228">IF(AND($C11="Efficiency", $O11="Mfd Home",NOT($Q11="Yes")),$E11,"")</f>
        <v/>
      </c>
      <c r="IP11" s="1456" t="str">
        <f t="shared" ref="IP11:IP48" si="229">IF(AND($C11=1, $O11="Mfd Home",NOT($Q11="Yes")),$E11,"")</f>
        <v/>
      </c>
      <c r="IQ11" s="1456" t="str">
        <f t="shared" ref="IQ11:IQ48" si="230">IF(AND($C11=2, $O11="Mfd Home",NOT($Q11="Yes")),$E11,"")</f>
        <v/>
      </c>
      <c r="IR11" s="1456" t="str">
        <f t="shared" ref="IR11:IR48" si="231">IF(AND($C11=3, $O11="Mfd Home",NOT($Q11="Yes")),$E11,"")</f>
        <v/>
      </c>
      <c r="IS11" s="1456" t="str">
        <f t="shared" ref="IS11:IS48" si="232">IF(AND($C11=4, $O11="Mfd Home",NOT($Q11="Yes")),$E11,"")</f>
        <v/>
      </c>
      <c r="IT11" s="1456" t="str">
        <f t="shared" ref="IT11:IT48" si="233">IF(AND($C11="Efficiency", $O11="Mfd Home",$Q11="Yes"),$E11,"")</f>
        <v/>
      </c>
      <c r="IU11" s="1456" t="str">
        <f t="shared" ref="IU11:IU48" si="234">IF(AND($C11=1, $O11="Mfd Home",$Q11="Yes"),$E11,"")</f>
        <v/>
      </c>
      <c r="IV11" s="1456" t="str">
        <f t="shared" ref="IV11:IV48" si="235">IF(AND($C11=2, $O11="Mfd Home",$Q11="Yes"),$E11,"")</f>
        <v/>
      </c>
      <c r="IW11" s="1456" t="str">
        <f t="shared" ref="IW11:IW48" si="236">IF(AND($C11=3, $O11="Mfd Home",$Q11="Yes"),$E11,"")</f>
        <v/>
      </c>
      <c r="IX11" s="1456" t="str">
        <f t="shared" ref="IX11:IX48" si="237">IF(AND($C11=4, $O11="Mfd Home",$Q11="Yes"),$E11,"")</f>
        <v/>
      </c>
      <c r="IY11" s="1456" t="str">
        <f t="shared" ref="IY11:IY48" si="238">IF(AND($C11="Efficiency", $O11="Semi-Detached",NOT($Q11="Yes")),$E11,"")</f>
        <v/>
      </c>
      <c r="IZ11" s="1456" t="str">
        <f t="shared" ref="IZ11:IZ48" si="239">IF(AND($C11=1, $O11="Semi-Detached",NOT($Q11="Yes")),$E11,"")</f>
        <v/>
      </c>
      <c r="JA11" s="1456" t="str">
        <f t="shared" ref="JA11:JA48" si="240">IF(AND($C11=2, $O11="Semi-Detached",NOT($Q11="Yes")),$E11,"")</f>
        <v/>
      </c>
      <c r="JB11" s="1456" t="str">
        <f t="shared" ref="JB11:JB48" si="241">IF(AND($C11=3, $O11="Semi-Detached",NOT($Q11="Yes")),$E11,"")</f>
        <v/>
      </c>
      <c r="JC11" s="1456" t="str">
        <f t="shared" ref="JC11:JC48" si="242">IF(AND($C11=4, $O11="Semi-Detached",NOT($Q11="Yes")),$E11,"")</f>
        <v/>
      </c>
      <c r="JD11" s="1456" t="str">
        <f t="shared" ref="JD11:JD48" si="243">IF(AND($C11="Efficiency", $O11="Semi-Detached",$Q11="Yes"),$E11,"")</f>
        <v/>
      </c>
      <c r="JE11" s="1456" t="str">
        <f t="shared" ref="JE11:JE48" si="244">IF(AND($C11=1, $O11="Semi-Detached",$Q11="Yes"),$E11,"")</f>
        <v/>
      </c>
      <c r="JF11" s="1456" t="str">
        <f t="shared" ref="JF11:JF48" si="245">IF(AND($C11=2, $O11="Semi-Detached",$Q11="Yes"),$E11,"")</f>
        <v/>
      </c>
      <c r="JG11" s="1456" t="str">
        <f t="shared" ref="JG11:JG48" si="246">IF(AND($C11=3, $O11="Semi-Detached",$Q11="Yes"),$E11,"")</f>
        <v/>
      </c>
      <c r="JH11" s="1456" t="str">
        <f t="shared" ref="JH11:JH48" si="247">IF(AND($C11=4, $O11="Semi-Detached",$Q11="Yes"),$E11,"")</f>
        <v/>
      </c>
      <c r="JI11" s="1456" t="str">
        <f t="shared" ref="JI11:JI48" si="248">IF(AND($C11="Efficiency", $O11="Row House/TH",NOT($Q11="Yes")),$E11,"")</f>
        <v/>
      </c>
      <c r="JJ11" s="1456" t="str">
        <f t="shared" ref="JJ11:JJ48" si="249">IF(AND($C11=1, $O11="Row House/TH",NOT($Q11="Yes")),$E11,"")</f>
        <v/>
      </c>
      <c r="JK11" s="1456" t="str">
        <f t="shared" ref="JK11:JK48" si="250">IF(AND($C11=2, $O11="Row House/TH",NOT($Q11="Yes")),$E11,"")</f>
        <v/>
      </c>
      <c r="JL11" s="1456" t="str">
        <f t="shared" ref="JL11:JL48" si="251">IF(AND($C11=3, $O11="Row House/TH",NOT($Q11="Yes")),$E11,"")</f>
        <v/>
      </c>
      <c r="JM11" s="1456" t="str">
        <f t="shared" ref="JM11:JM48" si="252">IF(AND($C11=4, $O11="Row House/TH",NOT($Q11="Yes")),$E11,"")</f>
        <v/>
      </c>
      <c r="JN11" s="1456" t="str">
        <f t="shared" ref="JN11:JN48" si="253">IF(AND($C11="Efficiency", $O11="Row House/TH",$Q11="Yes"),$E11,"")</f>
        <v/>
      </c>
      <c r="JO11" s="1456" t="str">
        <f t="shared" ref="JO11:JO48" si="254">IF(AND($C11=1, $O11="Row House/TH",$Q11="Yes"),$E11,"")</f>
        <v/>
      </c>
      <c r="JP11" s="1456" t="str">
        <f t="shared" ref="JP11:JP48" si="255">IF(AND($C11=2, $O11="Row House/TH",$Q11="Yes"),$E11,"")</f>
        <v/>
      </c>
      <c r="JQ11" s="1456" t="str">
        <f t="shared" ref="JQ11:JQ48" si="256">IF(AND($C11=3, $O11="Row House/TH",$Q11="Yes"),$E11,"")</f>
        <v/>
      </c>
      <c r="JR11" s="1456" t="str">
        <f t="shared" ref="JR11:JR48" si="257">IF(AND($C11=4, $O11="Row House/TH",$Q11="Yes"),$E11,"")</f>
        <v/>
      </c>
      <c r="JS11" s="1456" t="str">
        <f t="shared" ref="JS11:JS48" si="258">IF(AND($C11="Efficiency", $O11="Low-Rise Apt",NOT($Q11="Yes")),$E11,"")</f>
        <v/>
      </c>
      <c r="JT11" s="1456" t="str">
        <f t="shared" ref="JT11:JT48" si="259">IF(AND($C11=1, $O11="Low-Rise Apt",NOT($Q11="Yes")),$E11,"")</f>
        <v/>
      </c>
      <c r="JU11" s="1456" t="str">
        <f t="shared" ref="JU11:JU48" si="260">IF(AND($C11=2, $O11="Low-Rise Apt",NOT($Q11="Yes")),$E11,"")</f>
        <v/>
      </c>
      <c r="JV11" s="1456" t="str">
        <f t="shared" ref="JV11:JV48" si="261">IF(AND($C11=3, $O11="Low-Rise Apt",NOT($Q11="Yes")),$E11,"")</f>
        <v/>
      </c>
      <c r="JW11" s="1456" t="str">
        <f t="shared" ref="JW11:JW48" si="262">IF(AND($C11=4, $O11="Low-Rise Apt",NOT($Q11="Yes")),$E11,"")</f>
        <v/>
      </c>
      <c r="JX11" s="1456" t="str">
        <f t="shared" ref="JX11:JX48" si="263">IF(AND($C11="Efficiency", $O11="Low-Rise Elevator",NOT($Q11="Yes")),$E11,"")</f>
        <v/>
      </c>
      <c r="JY11" s="1456" t="str">
        <f t="shared" ref="JY11:JY48" si="264">IF(AND($C11=1, $O11="Low-Rise Elevator",NOT($Q11="Yes")),$E11,"")</f>
        <v/>
      </c>
      <c r="JZ11" s="1456" t="str">
        <f t="shared" ref="JZ11:JZ48" si="265">IF(AND($C11=2, $O11="Low-Rise Elevator",NOT($Q11="Yes")),$E11,"")</f>
        <v/>
      </c>
      <c r="KA11" s="1456" t="str">
        <f t="shared" ref="KA11:KA48" si="266">IF(AND($C11=3, $O11="Low-Rise Elevator",NOT($Q11="Yes")),$E11,"")</f>
        <v/>
      </c>
      <c r="KB11" s="1456" t="str">
        <f t="shared" ref="KB11:KB48" si="267">IF(AND($C11=4, $O11="Low-Rise Elevator",NOT($Q11="Yes")),$E11,"")</f>
        <v/>
      </c>
      <c r="KC11" s="1456" t="str">
        <f t="shared" ref="KC11:KC48" si="268">IF(AND($C11="Efficiency", $O11="Low-Rise Apt",$Q11="Yes"),$E11,"")</f>
        <v/>
      </c>
      <c r="KD11" s="1456" t="str">
        <f t="shared" ref="KD11:KD48" si="269">IF(AND($C11=1, $O11="Low-Rise Apt",$Q11="Yes"),$E11,"")</f>
        <v/>
      </c>
      <c r="KE11" s="1456" t="str">
        <f t="shared" ref="KE11:KE48" si="270">IF(AND($C11=2, $O11="Low-Rise Apt",$Q11="Yes"),$E11,"")</f>
        <v/>
      </c>
      <c r="KF11" s="1456" t="str">
        <f t="shared" ref="KF11:KF48" si="271">IF(AND($C11=3, $O11="Low-Rise Apt",$Q11="Yes"),$E11,"")</f>
        <v/>
      </c>
      <c r="KG11" s="1456" t="str">
        <f t="shared" ref="KG11:KG48" si="272">IF(AND($C11=4, $O11="Low-Rise Apt",$Q11="Yes"),$E11,"")</f>
        <v/>
      </c>
      <c r="KH11" s="1456" t="str">
        <f t="shared" ref="KH11:KH48" si="273">IF(AND($C11="Efficiency", $O11="Low-Rise Elevator",$Q11="Yes"),$E11,"")</f>
        <v/>
      </c>
      <c r="KI11" s="1456" t="str">
        <f t="shared" ref="KI11:KI48" si="274">IF(AND($C11=1, $O11="Low-Rise Elevator",$Q11="Yes"),$E11,"")</f>
        <v/>
      </c>
      <c r="KJ11" s="1456" t="str">
        <f t="shared" ref="KJ11:KJ48" si="275">IF(AND($C11=2, $O11="Low-Rise Elevator",$Q11="Yes"),$E11,"")</f>
        <v/>
      </c>
      <c r="KK11" s="1456" t="str">
        <f t="shared" ref="KK11:KK48" si="276">IF(AND($C11=3, $O11="Low-Rise Elevator",$Q11="Yes"),$E11,"")</f>
        <v/>
      </c>
      <c r="KL11" s="1456" t="str">
        <f t="shared" ref="KL11:KL48" si="277">IF(AND($C11=4, $O11="Low-Rise Elevator",$Q11="Yes"),$E11,"")</f>
        <v/>
      </c>
      <c r="KM11" s="1456" t="str">
        <f t="shared" ref="KM11:KM48" si="278">IF(AND($C11="Efficiency", $O11="High-Rise Apt",NOT($Q11="Yes")),$E11,"")</f>
        <v/>
      </c>
      <c r="KN11" s="1456" t="str">
        <f t="shared" ref="KN11:KN48" si="279">IF(AND($C11=1, $O11="High-Rise Apt",NOT($Q11="Yes")),$E11,"")</f>
        <v/>
      </c>
      <c r="KO11" s="1456" t="str">
        <f t="shared" ref="KO11:KO48" si="280">IF(AND($C11=2, $O11="High-Rise Apt",NOT($Q11="Yes")),$E11,"")</f>
        <v/>
      </c>
      <c r="KP11" s="1456" t="str">
        <f t="shared" ref="KP11:KP48" si="281">IF(AND($C11=3, $O11="High-Rise Apt",NOT($Q11="Yes")),$E11,"")</f>
        <v/>
      </c>
      <c r="KQ11" s="1456" t="str">
        <f t="shared" ref="KQ11:KQ48" si="282">IF(AND($C11=4, $O11="High-Rise Apt",NOT($Q11="Yes")),$E11,"")</f>
        <v/>
      </c>
      <c r="KR11" s="1456" t="str">
        <f t="shared" ref="KR11:KR48" si="283">IF(AND($C11="Efficiency", $O11="High-Rise Elevator",NOT($Q11="Yes")),$E11,"")</f>
        <v/>
      </c>
      <c r="KS11" s="1456" t="str">
        <f t="shared" ref="KS11:KS48" si="284">IF(AND($C11=1, $O11="High-Rise Elevator",NOT($Q11="Yes")),$E11,"")</f>
        <v/>
      </c>
      <c r="KT11" s="1456" t="str">
        <f t="shared" ref="KT11:KT48" si="285">IF(AND($C11=2, $O11="High-Rise Elevator",NOT($Q11="Yes")),$E11,"")</f>
        <v/>
      </c>
      <c r="KU11" s="1456" t="str">
        <f t="shared" ref="KU11:KU48" si="286">IF(AND($C11=3, $O11="High-Rise Elevator",NOT($Q11="Yes")),$E11,"")</f>
        <v/>
      </c>
      <c r="KV11" s="1456" t="str">
        <f t="shared" ref="KV11:KV48" si="287">IF(AND($C11=4, $O11="High-Rise Elevator",NOT($Q11="Yes")),$E11,"")</f>
        <v/>
      </c>
      <c r="KW11" s="1456" t="str">
        <f t="shared" ref="KW11:KW48" si="288">IF(AND($C11="Efficiency", $O11="High-Rise Apt",$Q11="Yes"),$E11,"")</f>
        <v/>
      </c>
      <c r="KX11" s="1456" t="str">
        <f t="shared" ref="KX11:KX48" si="289">IF(AND($C11=1, $O11="High-Rise Apt",$Q11="Yes"),$E11,"")</f>
        <v/>
      </c>
      <c r="KY11" s="1456" t="str">
        <f t="shared" ref="KY11:KY48" si="290">IF(AND($C11=2, $O11="High-Rise Apt",$Q11="Yes"),$E11,"")</f>
        <v/>
      </c>
      <c r="KZ11" s="1456" t="str">
        <f t="shared" ref="KZ11:KZ48" si="291">IF(AND($C11=3, $O11="High-Rise Apt",$Q11="Yes"),$E11,"")</f>
        <v/>
      </c>
      <c r="LA11" s="1456" t="str">
        <f t="shared" ref="LA11:LA48" si="292">IF(AND($C11=4, $O11="High-Rise Apt",$Q11="Yes"),$E11,"")</f>
        <v/>
      </c>
      <c r="LB11" s="1456" t="str">
        <f t="shared" ref="LB11:LB48" si="293">IF(AND($C11="Efficiency", $O11="High-Rise Elevator",$Q11="Yes"),$E11,"")</f>
        <v/>
      </c>
      <c r="LC11" s="1456" t="str">
        <f t="shared" ref="LC11:LC48" si="294">IF(AND($C11=1, $O11="High-Rise Elevator",$Q11="Yes"),$E11,"")</f>
        <v/>
      </c>
      <c r="LD11" s="1456" t="str">
        <f t="shared" ref="LD11:LD48" si="295">IF(AND($C11=2, $O11="High-Rise Elevator",$Q11="Yes"),$E11,"")</f>
        <v/>
      </c>
      <c r="LE11" s="1456" t="str">
        <f t="shared" ref="LE11:LE48" si="296">IF(AND($C11=3, $O11="High-Rise Elevator",$Q11="Yes"),$E11,"")</f>
        <v/>
      </c>
      <c r="LF11" s="1456" t="str">
        <f t="shared" ref="LF11:LF48" si="297">IF(AND($C11=4, $O11="High-Rise Elevator",$Q11="Yes"),$E11,"")</f>
        <v/>
      </c>
      <c r="LG11" s="1446" t="str">
        <f t="shared" ref="LG11:LG48" si="298">IF(AND($B11="NSP 120% AMI",$C11="Efficiency", NOT($N11="Common Space")),$E11,"")</f>
        <v/>
      </c>
      <c r="LH11" s="1446" t="str">
        <f t="shared" ref="LH11:LH48" si="299">IF(AND($B11="NSP 120% AMI",$C11=1,NOT($N11="Common Space")),$E11,"")</f>
        <v/>
      </c>
      <c r="LI11" s="1446" t="str">
        <f t="shared" ref="LI11:LI48" si="300">IF(AND($B11="NSP 120% AMI",$C11=2,NOT($N11="Common Space")),$E11,"")</f>
        <v/>
      </c>
      <c r="LJ11" s="1446" t="str">
        <f t="shared" ref="LJ11:LJ48" si="301">IF(AND($B11="NSP 120% AMI",$C11=3,NOT($N11="Common Space")),$E11,"")</f>
        <v/>
      </c>
      <c r="LK11" s="1446"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318">
        <f t="shared" ref="MF11:MF48" si="323">IF(AND($C11="Efficiency",$E11&gt;0,OR($O11="Low-Rise Apt",$O11="Low-Rise Elevator",$O11="High-Rise Apt",$O11="High-Rise Elevator",$O11="Row House/TH"),OR($P11="Acquisition/Rehab",$P11="Rehabilitation"),NOT($Q11="Yes")),$E11,0)</f>
        <v>0</v>
      </c>
      <c r="MG11" s="1318">
        <f t="shared" ref="MG11:MG48" si="324">IF(AND($C11=1,$E11&gt;0,OR($O11="Low-Rise Apt",$O11="Low-Rise Elevator",$O11="High-Rise Apt",$O11="High-Rise Elevator",$O11="Row House/TH"),OR($P11="Acquisition/Rehab",$P11="Rehabilitation"),NOT($Q11="Yes")),$E11,0)</f>
        <v>0</v>
      </c>
      <c r="MH11" s="1318">
        <f t="shared" ref="MH11:MH48" si="325">IF(AND($C11=2,$E11&gt;0,OR($O11="Low-Rise Apt",$O11="Low-Rise Elevator",$O11="High-Rise Apt",$O11="High-Rise Elevator",$O11="Row House/TH"),OR($P11="Acquisition/Rehab",$P11="Rehabilitation"),NOT($Q11="Yes")),$E11,0)</f>
        <v>0</v>
      </c>
      <c r="MI11" s="1318">
        <f t="shared" ref="MI11:MI48" si="326">IF(AND($C11=3,$E11&gt;0,OR($O11="Low-Rise Apt",$O11="Low-Rise Elevator",$O11="High-Rise Apt",$O11="High-Rise Elevator",$O11="Row House/TH"),OR($P11="Acquisition/Rehab",$P11="Rehabilitation"),NOT($Q11="Yes")),$E11,0)</f>
        <v>0</v>
      </c>
      <c r="MJ11" s="1318">
        <f t="shared" ref="MJ11:MJ48" si="327">IF(AND($C11=4,$E11&gt;0,OR($O11="Low-Rise Apt",$O11="Low-Rise Elevator",$O11="High-Rise Apt",$O11="High-Rise Elevator",$O11="Row House/TH"),OR($P11="Acquisition/Rehab",$P11="Rehabilitation"),NOT($Q11="Yes")),$E11,0)</f>
        <v>0</v>
      </c>
      <c r="MK11" s="1318">
        <f>IF(AND($C11="Efficiency",$E11&gt;0,OR($O11="Low-Rise Apt",$O11="Low-Rise Elevator",$O11="High-Rise Apt",$O11="High-Rise Elevator",$O11="Row House/TH"),$P11="New Construction"),$E11,0)</f>
        <v>0</v>
      </c>
      <c r="ML11" s="1318">
        <f>IF(AND($C11=1,$E11&gt;0,OR($O11="Low-Rise Apt",$O11="Low-Rise Elevator",$O11="High-Rise Apt",$O11="High-Rise Elevator",$O11="Row House/TH"),$P11="New Construction"),$E11,0)</f>
        <v>0</v>
      </c>
      <c r="MM11" s="1318">
        <f>IF(AND($C11=2,$E11&gt;0,OR($O11="Low-Rise Apt",$O11="Low-Rise Elevator",$O11="High-Rise Apt",$O11="High-Rise Elevator",$O11="Row House/TH"),$P11="New Construction"),$E11,0)</f>
        <v>0</v>
      </c>
      <c r="MN11" s="1318">
        <f>IF(AND($C11=3,$E11&gt;0,OR($O11="Low-Rise Apt",$O11="Low-Rise Elevator",$O11="High-Rise Apt",$O11="High-Rise Elevator",$O11="Row House/TH"),$P11="New Construction"),$E11,0)</f>
        <v>0</v>
      </c>
      <c r="MO11" s="1318">
        <f>IF(AND($C11=4,$E11&gt;0,OR($O11="Low-Rise Apt",$O11="Low-Rise Elevator",$O11="High-Rise Apt",$O11="High-Rise Elevator",$O11="Row House/TH"),$P11="New Construction"),$E11,0)</f>
        <v>0</v>
      </c>
      <c r="MP11" s="1318">
        <f t="shared" ref="MP11:MP48" si="328">IF(AND($C11="Efficiency",$E11&gt;0,OR($O11="SF Detached",$O11="Semi-Detached",$O11="Mfd Home"),NOT($Q11="Yes")),$E11,0)</f>
        <v>0</v>
      </c>
      <c r="MQ11" s="1318">
        <f t="shared" ref="MQ11:MQ48" si="329">IF(AND($C11=1,$E11&gt;0,OR($O11="SF Detached",$O11="Semi-Detached",$O11="Mfd Home"),NOT($Q11="Yes")),$E11,0)</f>
        <v>0</v>
      </c>
      <c r="MR11" s="1318">
        <f t="shared" ref="MR11:MR48" si="330">IF(AND($C11=2,$E11&gt;0,OR($O11="SF Detached",$O11="Semi-Detached",$O11="Mfd Home"),NOT($Q11="Yes")),$E11,0)</f>
        <v>0</v>
      </c>
      <c r="MS11" s="1318">
        <f t="shared" ref="MS11:MS48" si="331">IF(AND($C11=3,$E11&gt;0,OR($O11="SF Detached",$O11="Semi-Detached",$O11="Mfd Home"),NOT($Q11="Yes")),$E11,0)</f>
        <v>0</v>
      </c>
      <c r="MT11" s="1318">
        <f t="shared" ref="MT11:MT48" si="332">IF(AND($C11=4,$E11&gt;0,OR($O11="SF Detached",$O11="Semi-Detached",$O11="Mfd Home"),NOT($Q11="Yes")),$E11,0)</f>
        <v>0</v>
      </c>
      <c r="NP11" s="1292" t="s">
        <v>1148</v>
      </c>
      <c r="NQ11" s="2080">
        <v>11</v>
      </c>
    </row>
    <row r="12" spans="1:493" ht="13.9" customHeight="1">
      <c r="A12" s="53" t="str">
        <f t="shared" si="0"/>
        <v/>
      </c>
      <c r="B12" s="787" t="s">
        <v>1147</v>
      </c>
      <c r="C12" s="85"/>
      <c r="D12" s="1320"/>
      <c r="E12" s="86"/>
      <c r="F12" s="86"/>
      <c r="G12" s="86"/>
      <c r="H12" s="86"/>
      <c r="I12" s="86"/>
      <c r="J12" s="1058"/>
      <c r="K12" s="486"/>
      <c r="L12" s="339">
        <f t="shared" si="1"/>
        <v>0</v>
      </c>
      <c r="M12" s="339">
        <f t="shared" si="2"/>
        <v>0</v>
      </c>
      <c r="N12" s="523"/>
      <c r="O12" s="1256"/>
      <c r="P12" s="523"/>
      <c r="Q12" s="87"/>
      <c r="R12" s="559"/>
      <c r="S12" s="560"/>
      <c r="T12" s="3359"/>
      <c r="U12" s="3360"/>
      <c r="V12" s="3360"/>
      <c r="W12" s="3361"/>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456" t="str">
        <f t="shared" si="213"/>
        <v/>
      </c>
      <c r="IA12" s="1456" t="str">
        <f t="shared" si="214"/>
        <v/>
      </c>
      <c r="IB12" s="1456" t="str">
        <f t="shared" si="215"/>
        <v/>
      </c>
      <c r="IC12" s="1456" t="str">
        <f t="shared" si="216"/>
        <v/>
      </c>
      <c r="ID12" s="1456" t="str">
        <f t="shared" si="217"/>
        <v/>
      </c>
      <c r="IE12" s="1456" t="str">
        <f t="shared" si="218"/>
        <v/>
      </c>
      <c r="IF12" s="1456" t="str">
        <f t="shared" si="219"/>
        <v/>
      </c>
      <c r="IG12" s="1456" t="str">
        <f t="shared" si="220"/>
        <v/>
      </c>
      <c r="IH12" s="1456" t="str">
        <f t="shared" si="221"/>
        <v/>
      </c>
      <c r="II12" s="1456" t="str">
        <f t="shared" si="222"/>
        <v/>
      </c>
      <c r="IJ12" s="1456" t="str">
        <f t="shared" si="223"/>
        <v/>
      </c>
      <c r="IK12" s="1456" t="str">
        <f t="shared" si="224"/>
        <v/>
      </c>
      <c r="IL12" s="1456" t="str">
        <f t="shared" si="225"/>
        <v/>
      </c>
      <c r="IM12" s="1456" t="str">
        <f t="shared" si="226"/>
        <v/>
      </c>
      <c r="IN12" s="1456" t="str">
        <f t="shared" si="227"/>
        <v/>
      </c>
      <c r="IO12" s="1456" t="str">
        <f t="shared" si="228"/>
        <v/>
      </c>
      <c r="IP12" s="1456" t="str">
        <f t="shared" si="229"/>
        <v/>
      </c>
      <c r="IQ12" s="1456" t="str">
        <f t="shared" si="230"/>
        <v/>
      </c>
      <c r="IR12" s="1456" t="str">
        <f t="shared" si="231"/>
        <v/>
      </c>
      <c r="IS12" s="1456" t="str">
        <f t="shared" si="232"/>
        <v/>
      </c>
      <c r="IT12" s="1456" t="str">
        <f t="shared" si="233"/>
        <v/>
      </c>
      <c r="IU12" s="1456" t="str">
        <f t="shared" si="234"/>
        <v/>
      </c>
      <c r="IV12" s="1456" t="str">
        <f t="shared" si="235"/>
        <v/>
      </c>
      <c r="IW12" s="1456" t="str">
        <f t="shared" si="236"/>
        <v/>
      </c>
      <c r="IX12" s="1456" t="str">
        <f t="shared" si="237"/>
        <v/>
      </c>
      <c r="IY12" s="1456" t="str">
        <f t="shared" si="238"/>
        <v/>
      </c>
      <c r="IZ12" s="1456" t="str">
        <f t="shared" si="239"/>
        <v/>
      </c>
      <c r="JA12" s="1456" t="str">
        <f t="shared" si="240"/>
        <v/>
      </c>
      <c r="JB12" s="1456" t="str">
        <f t="shared" si="241"/>
        <v/>
      </c>
      <c r="JC12" s="1456" t="str">
        <f t="shared" si="242"/>
        <v/>
      </c>
      <c r="JD12" s="1456" t="str">
        <f t="shared" si="243"/>
        <v/>
      </c>
      <c r="JE12" s="1456" t="str">
        <f t="shared" si="244"/>
        <v/>
      </c>
      <c r="JF12" s="1456" t="str">
        <f t="shared" si="245"/>
        <v/>
      </c>
      <c r="JG12" s="1456" t="str">
        <f t="shared" si="246"/>
        <v/>
      </c>
      <c r="JH12" s="1456" t="str">
        <f t="shared" si="247"/>
        <v/>
      </c>
      <c r="JI12" s="1456" t="str">
        <f t="shared" si="248"/>
        <v/>
      </c>
      <c r="JJ12" s="1456" t="str">
        <f t="shared" si="249"/>
        <v/>
      </c>
      <c r="JK12" s="1456" t="str">
        <f t="shared" si="250"/>
        <v/>
      </c>
      <c r="JL12" s="1456" t="str">
        <f t="shared" si="251"/>
        <v/>
      </c>
      <c r="JM12" s="1456" t="str">
        <f t="shared" si="252"/>
        <v/>
      </c>
      <c r="JN12" s="1456" t="str">
        <f t="shared" si="253"/>
        <v/>
      </c>
      <c r="JO12" s="1456" t="str">
        <f t="shared" si="254"/>
        <v/>
      </c>
      <c r="JP12" s="1456" t="str">
        <f t="shared" si="255"/>
        <v/>
      </c>
      <c r="JQ12" s="1456" t="str">
        <f t="shared" si="256"/>
        <v/>
      </c>
      <c r="JR12" s="1456" t="str">
        <f t="shared" si="257"/>
        <v/>
      </c>
      <c r="JS12" s="1456" t="str">
        <f t="shared" si="258"/>
        <v/>
      </c>
      <c r="JT12" s="1456" t="str">
        <f t="shared" si="259"/>
        <v/>
      </c>
      <c r="JU12" s="1456" t="str">
        <f t="shared" si="260"/>
        <v/>
      </c>
      <c r="JV12" s="1456" t="str">
        <f t="shared" si="261"/>
        <v/>
      </c>
      <c r="JW12" s="1456" t="str">
        <f t="shared" si="262"/>
        <v/>
      </c>
      <c r="JX12" s="1456" t="str">
        <f t="shared" si="263"/>
        <v/>
      </c>
      <c r="JY12" s="1456" t="str">
        <f t="shared" si="264"/>
        <v/>
      </c>
      <c r="JZ12" s="1456" t="str">
        <f t="shared" si="265"/>
        <v/>
      </c>
      <c r="KA12" s="1456" t="str">
        <f t="shared" si="266"/>
        <v/>
      </c>
      <c r="KB12" s="1456" t="str">
        <f t="shared" si="267"/>
        <v/>
      </c>
      <c r="KC12" s="1456" t="str">
        <f t="shared" si="268"/>
        <v/>
      </c>
      <c r="KD12" s="1456" t="str">
        <f t="shared" si="269"/>
        <v/>
      </c>
      <c r="KE12" s="1456" t="str">
        <f t="shared" si="270"/>
        <v/>
      </c>
      <c r="KF12" s="1456" t="str">
        <f t="shared" si="271"/>
        <v/>
      </c>
      <c r="KG12" s="1456" t="str">
        <f t="shared" si="272"/>
        <v/>
      </c>
      <c r="KH12" s="1456" t="str">
        <f t="shared" si="273"/>
        <v/>
      </c>
      <c r="KI12" s="1456" t="str">
        <f t="shared" si="274"/>
        <v/>
      </c>
      <c r="KJ12" s="1456" t="str">
        <f t="shared" si="275"/>
        <v/>
      </c>
      <c r="KK12" s="1456" t="str">
        <f t="shared" si="276"/>
        <v/>
      </c>
      <c r="KL12" s="1456" t="str">
        <f t="shared" si="277"/>
        <v/>
      </c>
      <c r="KM12" s="1456" t="str">
        <f t="shared" si="278"/>
        <v/>
      </c>
      <c r="KN12" s="1456" t="str">
        <f t="shared" si="279"/>
        <v/>
      </c>
      <c r="KO12" s="1456" t="str">
        <f t="shared" si="280"/>
        <v/>
      </c>
      <c r="KP12" s="1456" t="str">
        <f t="shared" si="281"/>
        <v/>
      </c>
      <c r="KQ12" s="1456" t="str">
        <f t="shared" si="282"/>
        <v/>
      </c>
      <c r="KR12" s="1456" t="str">
        <f t="shared" si="283"/>
        <v/>
      </c>
      <c r="KS12" s="1456" t="str">
        <f t="shared" si="284"/>
        <v/>
      </c>
      <c r="KT12" s="1456" t="str">
        <f t="shared" si="285"/>
        <v/>
      </c>
      <c r="KU12" s="1456" t="str">
        <f t="shared" si="286"/>
        <v/>
      </c>
      <c r="KV12" s="1456" t="str">
        <f t="shared" si="287"/>
        <v/>
      </c>
      <c r="KW12" s="1456" t="str">
        <f t="shared" si="288"/>
        <v/>
      </c>
      <c r="KX12" s="1456" t="str">
        <f t="shared" si="289"/>
        <v/>
      </c>
      <c r="KY12" s="1456" t="str">
        <f t="shared" si="290"/>
        <v/>
      </c>
      <c r="KZ12" s="1456" t="str">
        <f t="shared" si="291"/>
        <v/>
      </c>
      <c r="LA12" s="1456" t="str">
        <f t="shared" si="292"/>
        <v/>
      </c>
      <c r="LB12" s="1456" t="str">
        <f t="shared" si="293"/>
        <v/>
      </c>
      <c r="LC12" s="1456" t="str">
        <f t="shared" si="294"/>
        <v/>
      </c>
      <c r="LD12" s="1456" t="str">
        <f t="shared" si="295"/>
        <v/>
      </c>
      <c r="LE12" s="1456" t="str">
        <f t="shared" si="296"/>
        <v/>
      </c>
      <c r="LF12" s="1456" t="str">
        <f t="shared" si="297"/>
        <v/>
      </c>
      <c r="LG12" s="1446" t="str">
        <f t="shared" si="298"/>
        <v/>
      </c>
      <c r="LH12" s="1446" t="str">
        <f t="shared" si="299"/>
        <v/>
      </c>
      <c r="LI12" s="1446" t="str">
        <f t="shared" si="300"/>
        <v/>
      </c>
      <c r="LJ12" s="1446" t="str">
        <f t="shared" si="301"/>
        <v/>
      </c>
      <c r="LK12" s="1446"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318">
        <f t="shared" si="323"/>
        <v>0</v>
      </c>
      <c r="MG12" s="1318">
        <f t="shared" si="324"/>
        <v>0</v>
      </c>
      <c r="MH12" s="1318">
        <f t="shared" si="325"/>
        <v>0</v>
      </c>
      <c r="MI12" s="1318">
        <f t="shared" si="326"/>
        <v>0</v>
      </c>
      <c r="MJ12" s="1318">
        <f t="shared" si="327"/>
        <v>0</v>
      </c>
      <c r="MK12" s="1318">
        <f t="shared" ref="MK12:MK48" si="333">IF(AND($C12="Efficiency",$E12&gt;0,OR($O12="Low-Rise Apt",$O12="Low-Rise Elevator",$O12="High-Rise Apt",$O12="High-Rise Elevator",$O12="Row House/TH"),$P12="New Construction"),$E12,0)</f>
        <v>0</v>
      </c>
      <c r="ML12" s="1318">
        <f t="shared" ref="ML12:ML48" si="334">IF(AND($C12=1,$E12&gt;0,OR($O12="Low-Rise Apt",$O12="Low-Rise Elevator",$O12="High-Rise Apt",$O12="High-Rise Elevator",$O12="Row House/TH"),$P12="New Construction"),$E12,0)</f>
        <v>0</v>
      </c>
      <c r="MM12" s="1318">
        <f t="shared" ref="MM12:MM48" si="335">IF(AND($C12=2,$E12&gt;0,OR($O12="Low-Rise Apt",$O12="Low-Rise Elevator",$O12="High-Rise Apt",$O12="High-Rise Elevator",$O12="Row House/TH"),$P12="New Construction"),$E12,0)</f>
        <v>0</v>
      </c>
      <c r="MN12" s="1318">
        <f t="shared" ref="MN12:MN48" si="336">IF(AND($C12=3,$E12&gt;0,OR($O12="Low-Rise Apt",$O12="Low-Rise Elevator",$O12="High-Rise Apt",$O12="High-Rise Elevator",$O12="Row House/TH"),$P12="New Construction"),$E12,0)</f>
        <v>0</v>
      </c>
      <c r="MO12" s="1318">
        <f t="shared" ref="MO12:MO48" si="337">IF(AND($C12=4,$E12&gt;0,OR($O12="Low-Rise Apt",$O12="Low-Rise Elevator",$O12="High-Rise Apt",$O12="High-Rise Elevator",$O12="Row House/TH"),$P12="New Construction"),$E12,0)</f>
        <v>0</v>
      </c>
      <c r="MP12" s="1318">
        <f t="shared" si="328"/>
        <v>0</v>
      </c>
      <c r="MQ12" s="1318">
        <f t="shared" si="329"/>
        <v>0</v>
      </c>
      <c r="MR12" s="1318">
        <f t="shared" si="330"/>
        <v>0</v>
      </c>
      <c r="MS12" s="1318">
        <f t="shared" si="331"/>
        <v>0</v>
      </c>
      <c r="MT12" s="1318">
        <f t="shared" si="332"/>
        <v>0</v>
      </c>
      <c r="NP12" s="1292" t="s">
        <v>1149</v>
      </c>
      <c r="NQ12" s="2082">
        <v>12</v>
      </c>
    </row>
    <row r="13" spans="1:493" ht="13.9" customHeight="1">
      <c r="A13" s="53" t="str">
        <f t="shared" si="0"/>
        <v/>
      </c>
      <c r="B13" s="787" t="s">
        <v>1150</v>
      </c>
      <c r="C13" s="85"/>
      <c r="D13" s="1320"/>
      <c r="E13" s="86"/>
      <c r="F13" s="86"/>
      <c r="G13" s="86"/>
      <c r="H13" s="86"/>
      <c r="I13" s="86"/>
      <c r="J13" s="1058"/>
      <c r="K13" s="486"/>
      <c r="L13" s="339">
        <f t="shared" si="1"/>
        <v>0</v>
      </c>
      <c r="M13" s="339">
        <f t="shared" si="2"/>
        <v>0</v>
      </c>
      <c r="N13" s="523"/>
      <c r="O13" s="1256"/>
      <c r="P13" s="523"/>
      <c r="Q13" s="87"/>
      <c r="R13" s="559"/>
      <c r="S13" s="560"/>
      <c r="T13" s="3359"/>
      <c r="U13" s="3360"/>
      <c r="V13" s="3360"/>
      <c r="W13" s="3361"/>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456" t="str">
        <f t="shared" si="213"/>
        <v/>
      </c>
      <c r="IA13" s="1456" t="str">
        <f t="shared" si="214"/>
        <v/>
      </c>
      <c r="IB13" s="1456" t="str">
        <f t="shared" si="215"/>
        <v/>
      </c>
      <c r="IC13" s="1456" t="str">
        <f t="shared" si="216"/>
        <v/>
      </c>
      <c r="ID13" s="1456" t="str">
        <f t="shared" si="217"/>
        <v/>
      </c>
      <c r="IE13" s="1456" t="str">
        <f t="shared" si="218"/>
        <v/>
      </c>
      <c r="IF13" s="1456" t="str">
        <f t="shared" si="219"/>
        <v/>
      </c>
      <c r="IG13" s="1456" t="str">
        <f t="shared" si="220"/>
        <v/>
      </c>
      <c r="IH13" s="1456" t="str">
        <f t="shared" si="221"/>
        <v/>
      </c>
      <c r="II13" s="1456" t="str">
        <f t="shared" si="222"/>
        <v/>
      </c>
      <c r="IJ13" s="1456" t="str">
        <f t="shared" si="223"/>
        <v/>
      </c>
      <c r="IK13" s="1456" t="str">
        <f t="shared" si="224"/>
        <v/>
      </c>
      <c r="IL13" s="1456" t="str">
        <f t="shared" si="225"/>
        <v/>
      </c>
      <c r="IM13" s="1456" t="str">
        <f t="shared" si="226"/>
        <v/>
      </c>
      <c r="IN13" s="1456" t="str">
        <f t="shared" si="227"/>
        <v/>
      </c>
      <c r="IO13" s="1456" t="str">
        <f t="shared" si="228"/>
        <v/>
      </c>
      <c r="IP13" s="1456" t="str">
        <f t="shared" si="229"/>
        <v/>
      </c>
      <c r="IQ13" s="1456" t="str">
        <f t="shared" si="230"/>
        <v/>
      </c>
      <c r="IR13" s="1456" t="str">
        <f t="shared" si="231"/>
        <v/>
      </c>
      <c r="IS13" s="1456" t="str">
        <f t="shared" si="232"/>
        <v/>
      </c>
      <c r="IT13" s="1456" t="str">
        <f t="shared" si="233"/>
        <v/>
      </c>
      <c r="IU13" s="1456" t="str">
        <f t="shared" si="234"/>
        <v/>
      </c>
      <c r="IV13" s="1456" t="str">
        <f t="shared" si="235"/>
        <v/>
      </c>
      <c r="IW13" s="1456" t="str">
        <f t="shared" si="236"/>
        <v/>
      </c>
      <c r="IX13" s="1456" t="str">
        <f t="shared" si="237"/>
        <v/>
      </c>
      <c r="IY13" s="1456" t="str">
        <f t="shared" si="238"/>
        <v/>
      </c>
      <c r="IZ13" s="1456" t="str">
        <f t="shared" si="239"/>
        <v/>
      </c>
      <c r="JA13" s="1456" t="str">
        <f t="shared" si="240"/>
        <v/>
      </c>
      <c r="JB13" s="1456" t="str">
        <f t="shared" si="241"/>
        <v/>
      </c>
      <c r="JC13" s="1456" t="str">
        <f t="shared" si="242"/>
        <v/>
      </c>
      <c r="JD13" s="1456" t="str">
        <f t="shared" si="243"/>
        <v/>
      </c>
      <c r="JE13" s="1456" t="str">
        <f t="shared" si="244"/>
        <v/>
      </c>
      <c r="JF13" s="1456" t="str">
        <f t="shared" si="245"/>
        <v/>
      </c>
      <c r="JG13" s="1456" t="str">
        <f t="shared" si="246"/>
        <v/>
      </c>
      <c r="JH13" s="1456" t="str">
        <f t="shared" si="247"/>
        <v/>
      </c>
      <c r="JI13" s="1456" t="str">
        <f t="shared" si="248"/>
        <v/>
      </c>
      <c r="JJ13" s="1456" t="str">
        <f t="shared" si="249"/>
        <v/>
      </c>
      <c r="JK13" s="1456" t="str">
        <f t="shared" si="250"/>
        <v/>
      </c>
      <c r="JL13" s="1456" t="str">
        <f t="shared" si="251"/>
        <v/>
      </c>
      <c r="JM13" s="1456" t="str">
        <f t="shared" si="252"/>
        <v/>
      </c>
      <c r="JN13" s="1456" t="str">
        <f t="shared" si="253"/>
        <v/>
      </c>
      <c r="JO13" s="1456" t="str">
        <f t="shared" si="254"/>
        <v/>
      </c>
      <c r="JP13" s="1456" t="str">
        <f t="shared" si="255"/>
        <v/>
      </c>
      <c r="JQ13" s="1456" t="str">
        <f t="shared" si="256"/>
        <v/>
      </c>
      <c r="JR13" s="1456" t="str">
        <f t="shared" si="257"/>
        <v/>
      </c>
      <c r="JS13" s="1456" t="str">
        <f t="shared" si="258"/>
        <v/>
      </c>
      <c r="JT13" s="1456" t="str">
        <f t="shared" si="259"/>
        <v/>
      </c>
      <c r="JU13" s="1456" t="str">
        <f t="shared" si="260"/>
        <v/>
      </c>
      <c r="JV13" s="1456" t="str">
        <f t="shared" si="261"/>
        <v/>
      </c>
      <c r="JW13" s="1456" t="str">
        <f t="shared" si="262"/>
        <v/>
      </c>
      <c r="JX13" s="1456" t="str">
        <f t="shared" si="263"/>
        <v/>
      </c>
      <c r="JY13" s="1456" t="str">
        <f t="shared" si="264"/>
        <v/>
      </c>
      <c r="JZ13" s="1456" t="str">
        <f t="shared" si="265"/>
        <v/>
      </c>
      <c r="KA13" s="1456" t="str">
        <f t="shared" si="266"/>
        <v/>
      </c>
      <c r="KB13" s="1456" t="str">
        <f t="shared" si="267"/>
        <v/>
      </c>
      <c r="KC13" s="1456" t="str">
        <f t="shared" si="268"/>
        <v/>
      </c>
      <c r="KD13" s="1456" t="str">
        <f t="shared" si="269"/>
        <v/>
      </c>
      <c r="KE13" s="1456" t="str">
        <f t="shared" si="270"/>
        <v/>
      </c>
      <c r="KF13" s="1456" t="str">
        <f t="shared" si="271"/>
        <v/>
      </c>
      <c r="KG13" s="1456" t="str">
        <f t="shared" si="272"/>
        <v/>
      </c>
      <c r="KH13" s="1456" t="str">
        <f t="shared" si="273"/>
        <v/>
      </c>
      <c r="KI13" s="1456" t="str">
        <f t="shared" si="274"/>
        <v/>
      </c>
      <c r="KJ13" s="1456" t="str">
        <f t="shared" si="275"/>
        <v/>
      </c>
      <c r="KK13" s="1456" t="str">
        <f t="shared" si="276"/>
        <v/>
      </c>
      <c r="KL13" s="1456" t="str">
        <f t="shared" si="277"/>
        <v/>
      </c>
      <c r="KM13" s="1456" t="str">
        <f t="shared" si="278"/>
        <v/>
      </c>
      <c r="KN13" s="1456" t="str">
        <f t="shared" si="279"/>
        <v/>
      </c>
      <c r="KO13" s="1456" t="str">
        <f t="shared" si="280"/>
        <v/>
      </c>
      <c r="KP13" s="1456" t="str">
        <f t="shared" si="281"/>
        <v/>
      </c>
      <c r="KQ13" s="1456" t="str">
        <f t="shared" si="282"/>
        <v/>
      </c>
      <c r="KR13" s="1456" t="str">
        <f t="shared" si="283"/>
        <v/>
      </c>
      <c r="KS13" s="1456" t="str">
        <f t="shared" si="284"/>
        <v/>
      </c>
      <c r="KT13" s="1456" t="str">
        <f t="shared" si="285"/>
        <v/>
      </c>
      <c r="KU13" s="1456" t="str">
        <f t="shared" si="286"/>
        <v/>
      </c>
      <c r="KV13" s="1456" t="str">
        <f t="shared" si="287"/>
        <v/>
      </c>
      <c r="KW13" s="1456" t="str">
        <f t="shared" si="288"/>
        <v/>
      </c>
      <c r="KX13" s="1456" t="str">
        <f t="shared" si="289"/>
        <v/>
      </c>
      <c r="KY13" s="1456" t="str">
        <f t="shared" si="290"/>
        <v/>
      </c>
      <c r="KZ13" s="1456" t="str">
        <f t="shared" si="291"/>
        <v/>
      </c>
      <c r="LA13" s="1456" t="str">
        <f t="shared" si="292"/>
        <v/>
      </c>
      <c r="LB13" s="1456" t="str">
        <f t="shared" si="293"/>
        <v/>
      </c>
      <c r="LC13" s="1456" t="str">
        <f t="shared" si="294"/>
        <v/>
      </c>
      <c r="LD13" s="1456" t="str">
        <f t="shared" si="295"/>
        <v/>
      </c>
      <c r="LE13" s="1456" t="str">
        <f t="shared" si="296"/>
        <v/>
      </c>
      <c r="LF13" s="1456" t="str">
        <f t="shared" si="297"/>
        <v/>
      </c>
      <c r="LG13" s="1446" t="str">
        <f t="shared" si="298"/>
        <v/>
      </c>
      <c r="LH13" s="1446" t="str">
        <f t="shared" si="299"/>
        <v/>
      </c>
      <c r="LI13" s="1446" t="str">
        <f t="shared" si="300"/>
        <v/>
      </c>
      <c r="LJ13" s="1446" t="str">
        <f t="shared" si="301"/>
        <v/>
      </c>
      <c r="LK13" s="1446"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318">
        <f t="shared" si="323"/>
        <v>0</v>
      </c>
      <c r="MG13" s="1318">
        <f t="shared" si="324"/>
        <v>0</v>
      </c>
      <c r="MH13" s="1318">
        <f t="shared" si="325"/>
        <v>0</v>
      </c>
      <c r="MI13" s="1318">
        <f t="shared" si="326"/>
        <v>0</v>
      </c>
      <c r="MJ13" s="1318">
        <f t="shared" si="327"/>
        <v>0</v>
      </c>
      <c r="MK13" s="1318">
        <f t="shared" si="333"/>
        <v>0</v>
      </c>
      <c r="ML13" s="1318">
        <f t="shared" si="334"/>
        <v>0</v>
      </c>
      <c r="MM13" s="1318">
        <f t="shared" si="335"/>
        <v>0</v>
      </c>
      <c r="MN13" s="1318">
        <f t="shared" si="336"/>
        <v>0</v>
      </c>
      <c r="MO13" s="1318">
        <f t="shared" si="337"/>
        <v>0</v>
      </c>
      <c r="MP13" s="1318">
        <f t="shared" si="328"/>
        <v>0</v>
      </c>
      <c r="MQ13" s="1318">
        <f t="shared" si="329"/>
        <v>0</v>
      </c>
      <c r="MR13" s="1318">
        <f t="shared" si="330"/>
        <v>0</v>
      </c>
      <c r="MS13" s="1318">
        <f t="shared" si="331"/>
        <v>0</v>
      </c>
      <c r="MT13" s="1318">
        <f t="shared" si="332"/>
        <v>0</v>
      </c>
      <c r="NP13" s="1292" t="s">
        <v>1151</v>
      </c>
      <c r="NQ13" s="2082">
        <v>13</v>
      </c>
    </row>
    <row r="14" spans="1:493" ht="13.9" customHeight="1">
      <c r="A14" s="53" t="str">
        <f t="shared" si="0"/>
        <v/>
      </c>
      <c r="B14" s="787" t="s">
        <v>1150</v>
      </c>
      <c r="C14" s="85"/>
      <c r="D14" s="1320"/>
      <c r="E14" s="86"/>
      <c r="F14" s="86"/>
      <c r="G14" s="86"/>
      <c r="H14" s="86"/>
      <c r="I14" s="86"/>
      <c r="J14" s="1058"/>
      <c r="K14" s="486"/>
      <c r="L14" s="339">
        <f t="shared" si="1"/>
        <v>0</v>
      </c>
      <c r="M14" s="339">
        <f t="shared" si="2"/>
        <v>0</v>
      </c>
      <c r="N14" s="523"/>
      <c r="O14" s="1256"/>
      <c r="P14" s="523"/>
      <c r="Q14" s="87"/>
      <c r="R14" s="559"/>
      <c r="S14" s="560"/>
      <c r="T14" s="3359"/>
      <c r="U14" s="3360"/>
      <c r="V14" s="3360"/>
      <c r="W14" s="3361"/>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456" t="str">
        <f t="shared" si="213"/>
        <v/>
      </c>
      <c r="IA14" s="1456" t="str">
        <f t="shared" si="214"/>
        <v/>
      </c>
      <c r="IB14" s="1456" t="str">
        <f t="shared" si="215"/>
        <v/>
      </c>
      <c r="IC14" s="1456" t="str">
        <f t="shared" si="216"/>
        <v/>
      </c>
      <c r="ID14" s="1456" t="str">
        <f t="shared" si="217"/>
        <v/>
      </c>
      <c r="IE14" s="1456" t="str">
        <f t="shared" si="218"/>
        <v/>
      </c>
      <c r="IF14" s="1456" t="str">
        <f t="shared" si="219"/>
        <v/>
      </c>
      <c r="IG14" s="1456" t="str">
        <f t="shared" si="220"/>
        <v/>
      </c>
      <c r="IH14" s="1456" t="str">
        <f t="shared" si="221"/>
        <v/>
      </c>
      <c r="II14" s="1456" t="str">
        <f t="shared" si="222"/>
        <v/>
      </c>
      <c r="IJ14" s="1456" t="str">
        <f t="shared" si="223"/>
        <v/>
      </c>
      <c r="IK14" s="1456" t="str">
        <f t="shared" si="224"/>
        <v/>
      </c>
      <c r="IL14" s="1456" t="str">
        <f t="shared" si="225"/>
        <v/>
      </c>
      <c r="IM14" s="1456" t="str">
        <f t="shared" si="226"/>
        <v/>
      </c>
      <c r="IN14" s="1456" t="str">
        <f t="shared" si="227"/>
        <v/>
      </c>
      <c r="IO14" s="1456" t="str">
        <f t="shared" si="228"/>
        <v/>
      </c>
      <c r="IP14" s="1456" t="str">
        <f t="shared" si="229"/>
        <v/>
      </c>
      <c r="IQ14" s="1456" t="str">
        <f t="shared" si="230"/>
        <v/>
      </c>
      <c r="IR14" s="1456" t="str">
        <f t="shared" si="231"/>
        <v/>
      </c>
      <c r="IS14" s="1456" t="str">
        <f t="shared" si="232"/>
        <v/>
      </c>
      <c r="IT14" s="1456" t="str">
        <f t="shared" si="233"/>
        <v/>
      </c>
      <c r="IU14" s="1456" t="str">
        <f t="shared" si="234"/>
        <v/>
      </c>
      <c r="IV14" s="1456" t="str">
        <f t="shared" si="235"/>
        <v/>
      </c>
      <c r="IW14" s="1456" t="str">
        <f t="shared" si="236"/>
        <v/>
      </c>
      <c r="IX14" s="1456" t="str">
        <f t="shared" si="237"/>
        <v/>
      </c>
      <c r="IY14" s="1456" t="str">
        <f t="shared" si="238"/>
        <v/>
      </c>
      <c r="IZ14" s="1456" t="str">
        <f t="shared" si="239"/>
        <v/>
      </c>
      <c r="JA14" s="1456" t="str">
        <f t="shared" si="240"/>
        <v/>
      </c>
      <c r="JB14" s="1456" t="str">
        <f t="shared" si="241"/>
        <v/>
      </c>
      <c r="JC14" s="1456" t="str">
        <f t="shared" si="242"/>
        <v/>
      </c>
      <c r="JD14" s="1456" t="str">
        <f t="shared" si="243"/>
        <v/>
      </c>
      <c r="JE14" s="1456" t="str">
        <f t="shared" si="244"/>
        <v/>
      </c>
      <c r="JF14" s="1456" t="str">
        <f t="shared" si="245"/>
        <v/>
      </c>
      <c r="JG14" s="1456" t="str">
        <f t="shared" si="246"/>
        <v/>
      </c>
      <c r="JH14" s="1456" t="str">
        <f t="shared" si="247"/>
        <v/>
      </c>
      <c r="JI14" s="1456" t="str">
        <f t="shared" si="248"/>
        <v/>
      </c>
      <c r="JJ14" s="1456" t="str">
        <f t="shared" si="249"/>
        <v/>
      </c>
      <c r="JK14" s="1456" t="str">
        <f t="shared" si="250"/>
        <v/>
      </c>
      <c r="JL14" s="1456" t="str">
        <f t="shared" si="251"/>
        <v/>
      </c>
      <c r="JM14" s="1456" t="str">
        <f t="shared" si="252"/>
        <v/>
      </c>
      <c r="JN14" s="1456" t="str">
        <f t="shared" si="253"/>
        <v/>
      </c>
      <c r="JO14" s="1456" t="str">
        <f t="shared" si="254"/>
        <v/>
      </c>
      <c r="JP14" s="1456" t="str">
        <f t="shared" si="255"/>
        <v/>
      </c>
      <c r="JQ14" s="1456" t="str">
        <f t="shared" si="256"/>
        <v/>
      </c>
      <c r="JR14" s="1456" t="str">
        <f t="shared" si="257"/>
        <v/>
      </c>
      <c r="JS14" s="1456" t="str">
        <f t="shared" si="258"/>
        <v/>
      </c>
      <c r="JT14" s="1456" t="str">
        <f t="shared" si="259"/>
        <v/>
      </c>
      <c r="JU14" s="1456" t="str">
        <f t="shared" si="260"/>
        <v/>
      </c>
      <c r="JV14" s="1456" t="str">
        <f t="shared" si="261"/>
        <v/>
      </c>
      <c r="JW14" s="1456" t="str">
        <f t="shared" si="262"/>
        <v/>
      </c>
      <c r="JX14" s="1456" t="str">
        <f t="shared" si="263"/>
        <v/>
      </c>
      <c r="JY14" s="1456" t="str">
        <f t="shared" si="264"/>
        <v/>
      </c>
      <c r="JZ14" s="1456" t="str">
        <f t="shared" si="265"/>
        <v/>
      </c>
      <c r="KA14" s="1456" t="str">
        <f t="shared" si="266"/>
        <v/>
      </c>
      <c r="KB14" s="1456" t="str">
        <f t="shared" si="267"/>
        <v/>
      </c>
      <c r="KC14" s="1456" t="str">
        <f t="shared" si="268"/>
        <v/>
      </c>
      <c r="KD14" s="1456" t="str">
        <f t="shared" si="269"/>
        <v/>
      </c>
      <c r="KE14" s="1456" t="str">
        <f t="shared" si="270"/>
        <v/>
      </c>
      <c r="KF14" s="1456" t="str">
        <f t="shared" si="271"/>
        <v/>
      </c>
      <c r="KG14" s="1456" t="str">
        <f t="shared" si="272"/>
        <v/>
      </c>
      <c r="KH14" s="1456" t="str">
        <f t="shared" si="273"/>
        <v/>
      </c>
      <c r="KI14" s="1456" t="str">
        <f t="shared" si="274"/>
        <v/>
      </c>
      <c r="KJ14" s="1456" t="str">
        <f t="shared" si="275"/>
        <v/>
      </c>
      <c r="KK14" s="1456" t="str">
        <f t="shared" si="276"/>
        <v/>
      </c>
      <c r="KL14" s="1456" t="str">
        <f t="shared" si="277"/>
        <v/>
      </c>
      <c r="KM14" s="1456" t="str">
        <f t="shared" si="278"/>
        <v/>
      </c>
      <c r="KN14" s="1456" t="str">
        <f t="shared" si="279"/>
        <v/>
      </c>
      <c r="KO14" s="1456" t="str">
        <f t="shared" si="280"/>
        <v/>
      </c>
      <c r="KP14" s="1456" t="str">
        <f t="shared" si="281"/>
        <v/>
      </c>
      <c r="KQ14" s="1456" t="str">
        <f t="shared" si="282"/>
        <v/>
      </c>
      <c r="KR14" s="1456" t="str">
        <f t="shared" si="283"/>
        <v/>
      </c>
      <c r="KS14" s="1456" t="str">
        <f t="shared" si="284"/>
        <v/>
      </c>
      <c r="KT14" s="1456" t="str">
        <f t="shared" si="285"/>
        <v/>
      </c>
      <c r="KU14" s="1456" t="str">
        <f t="shared" si="286"/>
        <v/>
      </c>
      <c r="KV14" s="1456" t="str">
        <f t="shared" si="287"/>
        <v/>
      </c>
      <c r="KW14" s="1456" t="str">
        <f t="shared" si="288"/>
        <v/>
      </c>
      <c r="KX14" s="1456" t="str">
        <f t="shared" si="289"/>
        <v/>
      </c>
      <c r="KY14" s="1456" t="str">
        <f t="shared" si="290"/>
        <v/>
      </c>
      <c r="KZ14" s="1456" t="str">
        <f t="shared" si="291"/>
        <v/>
      </c>
      <c r="LA14" s="1456" t="str">
        <f t="shared" si="292"/>
        <v/>
      </c>
      <c r="LB14" s="1456" t="str">
        <f t="shared" si="293"/>
        <v/>
      </c>
      <c r="LC14" s="1456" t="str">
        <f t="shared" si="294"/>
        <v/>
      </c>
      <c r="LD14" s="1456" t="str">
        <f t="shared" si="295"/>
        <v/>
      </c>
      <c r="LE14" s="1456" t="str">
        <f t="shared" si="296"/>
        <v/>
      </c>
      <c r="LF14" s="1456" t="str">
        <f t="shared" si="297"/>
        <v/>
      </c>
      <c r="LG14" s="1446" t="str">
        <f t="shared" si="298"/>
        <v/>
      </c>
      <c r="LH14" s="1446" t="str">
        <f t="shared" si="299"/>
        <v/>
      </c>
      <c r="LI14" s="1446" t="str">
        <f t="shared" si="300"/>
        <v/>
      </c>
      <c r="LJ14" s="1446" t="str">
        <f t="shared" si="301"/>
        <v/>
      </c>
      <c r="LK14" s="1446"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318">
        <f t="shared" si="323"/>
        <v>0</v>
      </c>
      <c r="MG14" s="1318">
        <f t="shared" si="324"/>
        <v>0</v>
      </c>
      <c r="MH14" s="1318">
        <f t="shared" si="325"/>
        <v>0</v>
      </c>
      <c r="MI14" s="1318">
        <f t="shared" si="326"/>
        <v>0</v>
      </c>
      <c r="MJ14" s="1318">
        <f t="shared" si="327"/>
        <v>0</v>
      </c>
      <c r="MK14" s="1318">
        <f t="shared" si="333"/>
        <v>0</v>
      </c>
      <c r="ML14" s="1318">
        <f t="shared" si="334"/>
        <v>0</v>
      </c>
      <c r="MM14" s="1318">
        <f t="shared" si="335"/>
        <v>0</v>
      </c>
      <c r="MN14" s="1318">
        <f t="shared" si="336"/>
        <v>0</v>
      </c>
      <c r="MO14" s="1318">
        <f t="shared" si="337"/>
        <v>0</v>
      </c>
      <c r="MP14" s="1318">
        <f t="shared" si="328"/>
        <v>0</v>
      </c>
      <c r="MQ14" s="1318">
        <f t="shared" si="329"/>
        <v>0</v>
      </c>
      <c r="MR14" s="1318">
        <f t="shared" si="330"/>
        <v>0</v>
      </c>
      <c r="MS14" s="1318">
        <f t="shared" si="331"/>
        <v>0</v>
      </c>
      <c r="MT14" s="1318">
        <f t="shared" si="332"/>
        <v>0</v>
      </c>
      <c r="NP14" s="1292" t="s">
        <v>1152</v>
      </c>
      <c r="NQ14" s="2080">
        <v>14</v>
      </c>
    </row>
    <row r="15" spans="1:493" ht="13.9" customHeight="1">
      <c r="A15" s="53" t="str">
        <f t="shared" si="0"/>
        <v/>
      </c>
      <c r="B15" s="787" t="s">
        <v>1150</v>
      </c>
      <c r="C15" s="85"/>
      <c r="D15" s="1320"/>
      <c r="E15" s="86"/>
      <c r="F15" s="86"/>
      <c r="G15" s="86"/>
      <c r="H15" s="86"/>
      <c r="I15" s="86"/>
      <c r="J15" s="1058"/>
      <c r="K15" s="486"/>
      <c r="L15" s="339">
        <f t="shared" si="1"/>
        <v>0</v>
      </c>
      <c r="M15" s="339">
        <f t="shared" si="2"/>
        <v>0</v>
      </c>
      <c r="N15" s="523"/>
      <c r="O15" s="1256"/>
      <c r="P15" s="523"/>
      <c r="Q15" s="87"/>
      <c r="R15" s="559"/>
      <c r="S15" s="560"/>
      <c r="T15" s="3359"/>
      <c r="U15" s="3360"/>
      <c r="V15" s="3360"/>
      <c r="W15" s="3361"/>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456" t="str">
        <f t="shared" si="213"/>
        <v/>
      </c>
      <c r="IA15" s="1456" t="str">
        <f t="shared" si="214"/>
        <v/>
      </c>
      <c r="IB15" s="1456" t="str">
        <f t="shared" si="215"/>
        <v/>
      </c>
      <c r="IC15" s="1456" t="str">
        <f t="shared" si="216"/>
        <v/>
      </c>
      <c r="ID15" s="1456" t="str">
        <f t="shared" si="217"/>
        <v/>
      </c>
      <c r="IE15" s="1456" t="str">
        <f t="shared" si="218"/>
        <v/>
      </c>
      <c r="IF15" s="1456" t="str">
        <f t="shared" si="219"/>
        <v/>
      </c>
      <c r="IG15" s="1456" t="str">
        <f t="shared" si="220"/>
        <v/>
      </c>
      <c r="IH15" s="1456" t="str">
        <f t="shared" si="221"/>
        <v/>
      </c>
      <c r="II15" s="1456" t="str">
        <f t="shared" si="222"/>
        <v/>
      </c>
      <c r="IJ15" s="1456" t="str">
        <f t="shared" si="223"/>
        <v/>
      </c>
      <c r="IK15" s="1456" t="str">
        <f t="shared" si="224"/>
        <v/>
      </c>
      <c r="IL15" s="1456" t="str">
        <f t="shared" si="225"/>
        <v/>
      </c>
      <c r="IM15" s="1456" t="str">
        <f t="shared" si="226"/>
        <v/>
      </c>
      <c r="IN15" s="1456" t="str">
        <f t="shared" si="227"/>
        <v/>
      </c>
      <c r="IO15" s="1456" t="str">
        <f t="shared" si="228"/>
        <v/>
      </c>
      <c r="IP15" s="1456" t="str">
        <f t="shared" si="229"/>
        <v/>
      </c>
      <c r="IQ15" s="1456" t="str">
        <f t="shared" si="230"/>
        <v/>
      </c>
      <c r="IR15" s="1456" t="str">
        <f t="shared" si="231"/>
        <v/>
      </c>
      <c r="IS15" s="1456" t="str">
        <f t="shared" si="232"/>
        <v/>
      </c>
      <c r="IT15" s="1456" t="str">
        <f t="shared" si="233"/>
        <v/>
      </c>
      <c r="IU15" s="1456" t="str">
        <f t="shared" si="234"/>
        <v/>
      </c>
      <c r="IV15" s="1456" t="str">
        <f t="shared" si="235"/>
        <v/>
      </c>
      <c r="IW15" s="1456" t="str">
        <f t="shared" si="236"/>
        <v/>
      </c>
      <c r="IX15" s="1456" t="str">
        <f t="shared" si="237"/>
        <v/>
      </c>
      <c r="IY15" s="1456" t="str">
        <f t="shared" si="238"/>
        <v/>
      </c>
      <c r="IZ15" s="1456" t="str">
        <f t="shared" si="239"/>
        <v/>
      </c>
      <c r="JA15" s="1456" t="str">
        <f t="shared" si="240"/>
        <v/>
      </c>
      <c r="JB15" s="1456" t="str">
        <f t="shared" si="241"/>
        <v/>
      </c>
      <c r="JC15" s="1456" t="str">
        <f t="shared" si="242"/>
        <v/>
      </c>
      <c r="JD15" s="1456" t="str">
        <f t="shared" si="243"/>
        <v/>
      </c>
      <c r="JE15" s="1456" t="str">
        <f t="shared" si="244"/>
        <v/>
      </c>
      <c r="JF15" s="1456" t="str">
        <f t="shared" si="245"/>
        <v/>
      </c>
      <c r="JG15" s="1456" t="str">
        <f t="shared" si="246"/>
        <v/>
      </c>
      <c r="JH15" s="1456" t="str">
        <f t="shared" si="247"/>
        <v/>
      </c>
      <c r="JI15" s="1456" t="str">
        <f t="shared" si="248"/>
        <v/>
      </c>
      <c r="JJ15" s="1456" t="str">
        <f t="shared" si="249"/>
        <v/>
      </c>
      <c r="JK15" s="1456" t="str">
        <f t="shared" si="250"/>
        <v/>
      </c>
      <c r="JL15" s="1456" t="str">
        <f t="shared" si="251"/>
        <v/>
      </c>
      <c r="JM15" s="1456" t="str">
        <f t="shared" si="252"/>
        <v/>
      </c>
      <c r="JN15" s="1456" t="str">
        <f t="shared" si="253"/>
        <v/>
      </c>
      <c r="JO15" s="1456" t="str">
        <f t="shared" si="254"/>
        <v/>
      </c>
      <c r="JP15" s="1456" t="str">
        <f t="shared" si="255"/>
        <v/>
      </c>
      <c r="JQ15" s="1456" t="str">
        <f t="shared" si="256"/>
        <v/>
      </c>
      <c r="JR15" s="1456" t="str">
        <f t="shared" si="257"/>
        <v/>
      </c>
      <c r="JS15" s="1456" t="str">
        <f t="shared" si="258"/>
        <v/>
      </c>
      <c r="JT15" s="1456" t="str">
        <f t="shared" si="259"/>
        <v/>
      </c>
      <c r="JU15" s="1456" t="str">
        <f t="shared" si="260"/>
        <v/>
      </c>
      <c r="JV15" s="1456" t="str">
        <f t="shared" si="261"/>
        <v/>
      </c>
      <c r="JW15" s="1456" t="str">
        <f t="shared" si="262"/>
        <v/>
      </c>
      <c r="JX15" s="1456" t="str">
        <f t="shared" si="263"/>
        <v/>
      </c>
      <c r="JY15" s="1456" t="str">
        <f t="shared" si="264"/>
        <v/>
      </c>
      <c r="JZ15" s="1456" t="str">
        <f t="shared" si="265"/>
        <v/>
      </c>
      <c r="KA15" s="1456" t="str">
        <f t="shared" si="266"/>
        <v/>
      </c>
      <c r="KB15" s="1456" t="str">
        <f t="shared" si="267"/>
        <v/>
      </c>
      <c r="KC15" s="1456" t="str">
        <f t="shared" si="268"/>
        <v/>
      </c>
      <c r="KD15" s="1456" t="str">
        <f t="shared" si="269"/>
        <v/>
      </c>
      <c r="KE15" s="1456" t="str">
        <f t="shared" si="270"/>
        <v/>
      </c>
      <c r="KF15" s="1456" t="str">
        <f t="shared" si="271"/>
        <v/>
      </c>
      <c r="KG15" s="1456" t="str">
        <f t="shared" si="272"/>
        <v/>
      </c>
      <c r="KH15" s="1456" t="str">
        <f t="shared" si="273"/>
        <v/>
      </c>
      <c r="KI15" s="1456" t="str">
        <f t="shared" si="274"/>
        <v/>
      </c>
      <c r="KJ15" s="1456" t="str">
        <f t="shared" si="275"/>
        <v/>
      </c>
      <c r="KK15" s="1456" t="str">
        <f t="shared" si="276"/>
        <v/>
      </c>
      <c r="KL15" s="1456" t="str">
        <f t="shared" si="277"/>
        <v/>
      </c>
      <c r="KM15" s="1456" t="str">
        <f t="shared" si="278"/>
        <v/>
      </c>
      <c r="KN15" s="1456" t="str">
        <f t="shared" si="279"/>
        <v/>
      </c>
      <c r="KO15" s="1456" t="str">
        <f t="shared" si="280"/>
        <v/>
      </c>
      <c r="KP15" s="1456" t="str">
        <f t="shared" si="281"/>
        <v/>
      </c>
      <c r="KQ15" s="1456" t="str">
        <f t="shared" si="282"/>
        <v/>
      </c>
      <c r="KR15" s="1456" t="str">
        <f t="shared" si="283"/>
        <v/>
      </c>
      <c r="KS15" s="1456" t="str">
        <f t="shared" si="284"/>
        <v/>
      </c>
      <c r="KT15" s="1456" t="str">
        <f t="shared" si="285"/>
        <v/>
      </c>
      <c r="KU15" s="1456" t="str">
        <f t="shared" si="286"/>
        <v/>
      </c>
      <c r="KV15" s="1456" t="str">
        <f t="shared" si="287"/>
        <v/>
      </c>
      <c r="KW15" s="1456" t="str">
        <f t="shared" si="288"/>
        <v/>
      </c>
      <c r="KX15" s="1456" t="str">
        <f t="shared" si="289"/>
        <v/>
      </c>
      <c r="KY15" s="1456" t="str">
        <f t="shared" si="290"/>
        <v/>
      </c>
      <c r="KZ15" s="1456" t="str">
        <f t="shared" si="291"/>
        <v/>
      </c>
      <c r="LA15" s="1456" t="str">
        <f t="shared" si="292"/>
        <v/>
      </c>
      <c r="LB15" s="1456" t="str">
        <f t="shared" si="293"/>
        <v/>
      </c>
      <c r="LC15" s="1456" t="str">
        <f t="shared" si="294"/>
        <v/>
      </c>
      <c r="LD15" s="1456" t="str">
        <f t="shared" si="295"/>
        <v/>
      </c>
      <c r="LE15" s="1456" t="str">
        <f t="shared" si="296"/>
        <v/>
      </c>
      <c r="LF15" s="1456" t="str">
        <f t="shared" si="297"/>
        <v/>
      </c>
      <c r="LG15" s="1446" t="str">
        <f t="shared" si="298"/>
        <v/>
      </c>
      <c r="LH15" s="1446" t="str">
        <f t="shared" si="299"/>
        <v/>
      </c>
      <c r="LI15" s="1446" t="str">
        <f t="shared" si="300"/>
        <v/>
      </c>
      <c r="LJ15" s="1446" t="str">
        <f t="shared" si="301"/>
        <v/>
      </c>
      <c r="LK15" s="1446"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318">
        <f t="shared" si="323"/>
        <v>0</v>
      </c>
      <c r="MG15" s="1318">
        <f t="shared" si="324"/>
        <v>0</v>
      </c>
      <c r="MH15" s="1318">
        <f t="shared" si="325"/>
        <v>0</v>
      </c>
      <c r="MI15" s="1318">
        <f t="shared" si="326"/>
        <v>0</v>
      </c>
      <c r="MJ15" s="1318">
        <f t="shared" si="327"/>
        <v>0</v>
      </c>
      <c r="MK15" s="1318">
        <f t="shared" si="333"/>
        <v>0</v>
      </c>
      <c r="ML15" s="1318">
        <f t="shared" si="334"/>
        <v>0</v>
      </c>
      <c r="MM15" s="1318">
        <f t="shared" si="335"/>
        <v>0</v>
      </c>
      <c r="MN15" s="1318">
        <f t="shared" si="336"/>
        <v>0</v>
      </c>
      <c r="MO15" s="1318">
        <f t="shared" si="337"/>
        <v>0</v>
      </c>
      <c r="MP15" s="1318">
        <f t="shared" si="328"/>
        <v>0</v>
      </c>
      <c r="MQ15" s="1318">
        <f t="shared" si="329"/>
        <v>0</v>
      </c>
      <c r="MR15" s="1318">
        <f t="shared" si="330"/>
        <v>0</v>
      </c>
      <c r="MS15" s="1318">
        <f t="shared" si="331"/>
        <v>0</v>
      </c>
      <c r="MT15" s="1318">
        <f t="shared" si="332"/>
        <v>0</v>
      </c>
      <c r="NP15" s="1292" t="s">
        <v>1153</v>
      </c>
      <c r="NQ15" s="2082">
        <v>15</v>
      </c>
    </row>
    <row r="16" spans="1:493" ht="13.9" customHeight="1">
      <c r="A16" s="53" t="str">
        <f t="shared" si="0"/>
        <v/>
      </c>
      <c r="B16" s="787" t="s">
        <v>1150</v>
      </c>
      <c r="C16" s="85">
        <v>1</v>
      </c>
      <c r="D16" s="1320">
        <v>1</v>
      </c>
      <c r="E16" s="86">
        <v>4</v>
      </c>
      <c r="F16" s="86">
        <v>653</v>
      </c>
      <c r="G16" s="86" t="s">
        <v>445</v>
      </c>
      <c r="H16" s="86">
        <v>1050</v>
      </c>
      <c r="I16" s="86">
        <v>0</v>
      </c>
      <c r="J16" s="1058">
        <v>0</v>
      </c>
      <c r="K16" s="486"/>
      <c r="L16" s="339">
        <f t="shared" si="1"/>
        <v>1050</v>
      </c>
      <c r="M16" s="339">
        <f t="shared" si="2"/>
        <v>4200</v>
      </c>
      <c r="N16" s="523" t="s">
        <v>56</v>
      </c>
      <c r="O16" s="1256" t="s">
        <v>1154</v>
      </c>
      <c r="P16" s="523" t="s">
        <v>1155</v>
      </c>
      <c r="Q16" s="87" t="s">
        <v>56</v>
      </c>
      <c r="R16" s="559"/>
      <c r="S16" s="560"/>
      <c r="T16" s="3359"/>
      <c r="U16" s="3360"/>
      <c r="V16" s="3360"/>
      <c r="W16" s="3361"/>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f t="shared" si="39"/>
        <v>4</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f t="shared" si="154"/>
        <v>2612</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f t="shared" si="174"/>
        <v>4</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456" t="str">
        <f t="shared" si="213"/>
        <v/>
      </c>
      <c r="IA16" s="1456">
        <f t="shared" si="214"/>
        <v>4</v>
      </c>
      <c r="IB16" s="1456" t="str">
        <f t="shared" si="215"/>
        <v/>
      </c>
      <c r="IC16" s="1456" t="str">
        <f t="shared" si="216"/>
        <v/>
      </c>
      <c r="ID16" s="1456" t="str">
        <f t="shared" si="217"/>
        <v/>
      </c>
      <c r="IE16" s="1456" t="str">
        <f t="shared" si="218"/>
        <v/>
      </c>
      <c r="IF16" s="1456" t="str">
        <f t="shared" si="219"/>
        <v/>
      </c>
      <c r="IG16" s="1456" t="str">
        <f t="shared" si="220"/>
        <v/>
      </c>
      <c r="IH16" s="1456" t="str">
        <f t="shared" si="221"/>
        <v/>
      </c>
      <c r="II16" s="1456" t="str">
        <f t="shared" si="222"/>
        <v/>
      </c>
      <c r="IJ16" s="1456" t="str">
        <f t="shared" si="223"/>
        <v/>
      </c>
      <c r="IK16" s="1456" t="str">
        <f t="shared" si="224"/>
        <v/>
      </c>
      <c r="IL16" s="1456" t="str">
        <f t="shared" si="225"/>
        <v/>
      </c>
      <c r="IM16" s="1456" t="str">
        <f t="shared" si="226"/>
        <v/>
      </c>
      <c r="IN16" s="1456" t="str">
        <f t="shared" si="227"/>
        <v/>
      </c>
      <c r="IO16" s="1456" t="str">
        <f t="shared" si="228"/>
        <v/>
      </c>
      <c r="IP16" s="1456" t="str">
        <f t="shared" si="229"/>
        <v/>
      </c>
      <c r="IQ16" s="1456" t="str">
        <f t="shared" si="230"/>
        <v/>
      </c>
      <c r="IR16" s="1456" t="str">
        <f t="shared" si="231"/>
        <v/>
      </c>
      <c r="IS16" s="1456" t="str">
        <f t="shared" si="232"/>
        <v/>
      </c>
      <c r="IT16" s="1456" t="str">
        <f t="shared" si="233"/>
        <v/>
      </c>
      <c r="IU16" s="1456" t="str">
        <f t="shared" si="234"/>
        <v/>
      </c>
      <c r="IV16" s="1456" t="str">
        <f t="shared" si="235"/>
        <v/>
      </c>
      <c r="IW16" s="1456" t="str">
        <f t="shared" si="236"/>
        <v/>
      </c>
      <c r="IX16" s="1456" t="str">
        <f t="shared" si="237"/>
        <v/>
      </c>
      <c r="IY16" s="1456" t="str">
        <f t="shared" si="238"/>
        <v/>
      </c>
      <c r="IZ16" s="1456" t="str">
        <f t="shared" si="239"/>
        <v/>
      </c>
      <c r="JA16" s="1456" t="str">
        <f t="shared" si="240"/>
        <v/>
      </c>
      <c r="JB16" s="1456" t="str">
        <f t="shared" si="241"/>
        <v/>
      </c>
      <c r="JC16" s="1456" t="str">
        <f t="shared" si="242"/>
        <v/>
      </c>
      <c r="JD16" s="1456" t="str">
        <f t="shared" si="243"/>
        <v/>
      </c>
      <c r="JE16" s="1456" t="str">
        <f t="shared" si="244"/>
        <v/>
      </c>
      <c r="JF16" s="1456" t="str">
        <f t="shared" si="245"/>
        <v/>
      </c>
      <c r="JG16" s="1456" t="str">
        <f t="shared" si="246"/>
        <v/>
      </c>
      <c r="JH16" s="1456" t="str">
        <f t="shared" si="247"/>
        <v/>
      </c>
      <c r="JI16" s="1456" t="str">
        <f t="shared" si="248"/>
        <v/>
      </c>
      <c r="JJ16" s="1456" t="str">
        <f t="shared" si="249"/>
        <v/>
      </c>
      <c r="JK16" s="1456" t="str">
        <f t="shared" si="250"/>
        <v/>
      </c>
      <c r="JL16" s="1456" t="str">
        <f t="shared" si="251"/>
        <v/>
      </c>
      <c r="JM16" s="1456" t="str">
        <f t="shared" si="252"/>
        <v/>
      </c>
      <c r="JN16" s="1456" t="str">
        <f t="shared" si="253"/>
        <v/>
      </c>
      <c r="JO16" s="1456" t="str">
        <f t="shared" si="254"/>
        <v/>
      </c>
      <c r="JP16" s="1456" t="str">
        <f t="shared" si="255"/>
        <v/>
      </c>
      <c r="JQ16" s="1456" t="str">
        <f t="shared" si="256"/>
        <v/>
      </c>
      <c r="JR16" s="1456" t="str">
        <f t="shared" si="257"/>
        <v/>
      </c>
      <c r="JS16" s="1456" t="str">
        <f t="shared" si="258"/>
        <v/>
      </c>
      <c r="JT16" s="1456" t="str">
        <f t="shared" si="259"/>
        <v/>
      </c>
      <c r="JU16" s="1456" t="str">
        <f t="shared" si="260"/>
        <v/>
      </c>
      <c r="JV16" s="1456" t="str">
        <f t="shared" si="261"/>
        <v/>
      </c>
      <c r="JW16" s="1456" t="str">
        <f t="shared" si="262"/>
        <v/>
      </c>
      <c r="JX16" s="1456" t="str">
        <f t="shared" si="263"/>
        <v/>
      </c>
      <c r="JY16" s="1456">
        <f t="shared" si="264"/>
        <v>4</v>
      </c>
      <c r="JZ16" s="1456" t="str">
        <f t="shared" si="265"/>
        <v/>
      </c>
      <c r="KA16" s="1456" t="str">
        <f t="shared" si="266"/>
        <v/>
      </c>
      <c r="KB16" s="1456" t="str">
        <f t="shared" si="267"/>
        <v/>
      </c>
      <c r="KC16" s="1456" t="str">
        <f t="shared" si="268"/>
        <v/>
      </c>
      <c r="KD16" s="1456" t="str">
        <f t="shared" si="269"/>
        <v/>
      </c>
      <c r="KE16" s="1456" t="str">
        <f t="shared" si="270"/>
        <v/>
      </c>
      <c r="KF16" s="1456" t="str">
        <f t="shared" si="271"/>
        <v/>
      </c>
      <c r="KG16" s="1456" t="str">
        <f t="shared" si="272"/>
        <v/>
      </c>
      <c r="KH16" s="1456" t="str">
        <f t="shared" si="273"/>
        <v/>
      </c>
      <c r="KI16" s="1456" t="str">
        <f t="shared" si="274"/>
        <v/>
      </c>
      <c r="KJ16" s="1456" t="str">
        <f t="shared" si="275"/>
        <v/>
      </c>
      <c r="KK16" s="1456" t="str">
        <f t="shared" si="276"/>
        <v/>
      </c>
      <c r="KL16" s="1456" t="str">
        <f t="shared" si="277"/>
        <v/>
      </c>
      <c r="KM16" s="1456" t="str">
        <f t="shared" si="278"/>
        <v/>
      </c>
      <c r="KN16" s="1456" t="str">
        <f t="shared" si="279"/>
        <v/>
      </c>
      <c r="KO16" s="1456" t="str">
        <f t="shared" si="280"/>
        <v/>
      </c>
      <c r="KP16" s="1456" t="str">
        <f t="shared" si="281"/>
        <v/>
      </c>
      <c r="KQ16" s="1456" t="str">
        <f t="shared" si="282"/>
        <v/>
      </c>
      <c r="KR16" s="1456" t="str">
        <f t="shared" si="283"/>
        <v/>
      </c>
      <c r="KS16" s="1456" t="str">
        <f t="shared" si="284"/>
        <v/>
      </c>
      <c r="KT16" s="1456" t="str">
        <f t="shared" si="285"/>
        <v/>
      </c>
      <c r="KU16" s="1456" t="str">
        <f t="shared" si="286"/>
        <v/>
      </c>
      <c r="KV16" s="1456" t="str">
        <f t="shared" si="287"/>
        <v/>
      </c>
      <c r="KW16" s="1456" t="str">
        <f t="shared" si="288"/>
        <v/>
      </c>
      <c r="KX16" s="1456" t="str">
        <f t="shared" si="289"/>
        <v/>
      </c>
      <c r="KY16" s="1456" t="str">
        <f t="shared" si="290"/>
        <v/>
      </c>
      <c r="KZ16" s="1456" t="str">
        <f t="shared" si="291"/>
        <v/>
      </c>
      <c r="LA16" s="1456" t="str">
        <f t="shared" si="292"/>
        <v/>
      </c>
      <c r="LB16" s="1456" t="str">
        <f t="shared" si="293"/>
        <v/>
      </c>
      <c r="LC16" s="1456" t="str">
        <f t="shared" si="294"/>
        <v/>
      </c>
      <c r="LD16" s="1456" t="str">
        <f t="shared" si="295"/>
        <v/>
      </c>
      <c r="LE16" s="1456" t="str">
        <f t="shared" si="296"/>
        <v/>
      </c>
      <c r="LF16" s="1456" t="str">
        <f t="shared" si="297"/>
        <v/>
      </c>
      <c r="LG16" s="1446" t="str">
        <f t="shared" si="298"/>
        <v/>
      </c>
      <c r="LH16" s="1446" t="str">
        <f t="shared" si="299"/>
        <v/>
      </c>
      <c r="LI16" s="1446" t="str">
        <f t="shared" si="300"/>
        <v/>
      </c>
      <c r="LJ16" s="1446" t="str">
        <f t="shared" si="301"/>
        <v/>
      </c>
      <c r="LK16" s="1446"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318">
        <f t="shared" si="323"/>
        <v>0</v>
      </c>
      <c r="MG16" s="1318">
        <f t="shared" si="324"/>
        <v>0</v>
      </c>
      <c r="MH16" s="1318">
        <f t="shared" si="325"/>
        <v>0</v>
      </c>
      <c r="MI16" s="1318">
        <f t="shared" si="326"/>
        <v>0</v>
      </c>
      <c r="MJ16" s="1318">
        <f t="shared" si="327"/>
        <v>0</v>
      </c>
      <c r="MK16" s="1318">
        <f t="shared" si="333"/>
        <v>0</v>
      </c>
      <c r="ML16" s="1318">
        <f t="shared" si="334"/>
        <v>4</v>
      </c>
      <c r="MM16" s="1318">
        <f t="shared" si="335"/>
        <v>0</v>
      </c>
      <c r="MN16" s="1318">
        <f t="shared" si="336"/>
        <v>0</v>
      </c>
      <c r="MO16" s="1318">
        <f t="shared" si="337"/>
        <v>0</v>
      </c>
      <c r="MP16" s="1318">
        <f t="shared" si="328"/>
        <v>0</v>
      </c>
      <c r="MQ16" s="1318">
        <f t="shared" si="329"/>
        <v>0</v>
      </c>
      <c r="MR16" s="1318">
        <f t="shared" si="330"/>
        <v>0</v>
      </c>
      <c r="MS16" s="1318">
        <f t="shared" si="331"/>
        <v>0</v>
      </c>
      <c r="MT16" s="1318">
        <f t="shared" si="332"/>
        <v>0</v>
      </c>
      <c r="NP16" s="1292" t="s">
        <v>1156</v>
      </c>
      <c r="NQ16" s="2082">
        <v>16</v>
      </c>
    </row>
    <row r="17" spans="1:381" ht="13.9" customHeight="1" thickBot="1">
      <c r="A17" s="53" t="str">
        <f t="shared" si="0"/>
        <v/>
      </c>
      <c r="B17" s="788" t="s">
        <v>1150</v>
      </c>
      <c r="C17" s="791">
        <v>2</v>
      </c>
      <c r="D17" s="1321">
        <v>2</v>
      </c>
      <c r="E17" s="792">
        <v>2</v>
      </c>
      <c r="F17" s="792">
        <v>963</v>
      </c>
      <c r="G17" s="792" t="s">
        <v>445</v>
      </c>
      <c r="H17" s="792">
        <v>1250</v>
      </c>
      <c r="I17" s="792">
        <v>0</v>
      </c>
      <c r="J17" s="1059">
        <v>0</v>
      </c>
      <c r="K17" s="807"/>
      <c r="L17" s="808">
        <f t="shared" si="1"/>
        <v>1250</v>
      </c>
      <c r="M17" s="808">
        <f t="shared" si="2"/>
        <v>2500</v>
      </c>
      <c r="N17" s="809" t="s">
        <v>56</v>
      </c>
      <c r="O17" s="1257" t="s">
        <v>1154</v>
      </c>
      <c r="P17" s="809" t="s">
        <v>1155</v>
      </c>
      <c r="Q17" s="810" t="s">
        <v>56</v>
      </c>
      <c r="R17" s="559"/>
      <c r="S17" s="560"/>
      <c r="T17" s="3359"/>
      <c r="U17" s="3360"/>
      <c r="V17" s="3360"/>
      <c r="W17" s="3361"/>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f t="shared" si="40"/>
        <v>2</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f t="shared" si="155"/>
        <v>1926</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f t="shared" si="175"/>
        <v>2</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456" t="str">
        <f t="shared" si="213"/>
        <v/>
      </c>
      <c r="IA17" s="1456" t="str">
        <f t="shared" si="214"/>
        <v/>
      </c>
      <c r="IB17" s="1456">
        <f t="shared" si="215"/>
        <v>2</v>
      </c>
      <c r="IC17" s="1456" t="str">
        <f t="shared" si="216"/>
        <v/>
      </c>
      <c r="ID17" s="1456" t="str">
        <f t="shared" si="217"/>
        <v/>
      </c>
      <c r="IE17" s="1456" t="str">
        <f t="shared" si="218"/>
        <v/>
      </c>
      <c r="IF17" s="1456" t="str">
        <f t="shared" si="219"/>
        <v/>
      </c>
      <c r="IG17" s="1456" t="str">
        <f t="shared" si="220"/>
        <v/>
      </c>
      <c r="IH17" s="1456" t="str">
        <f t="shared" si="221"/>
        <v/>
      </c>
      <c r="II17" s="1456" t="str">
        <f t="shared" si="222"/>
        <v/>
      </c>
      <c r="IJ17" s="1456" t="str">
        <f t="shared" si="223"/>
        <v/>
      </c>
      <c r="IK17" s="1456" t="str">
        <f t="shared" si="224"/>
        <v/>
      </c>
      <c r="IL17" s="1456" t="str">
        <f t="shared" si="225"/>
        <v/>
      </c>
      <c r="IM17" s="1456" t="str">
        <f t="shared" si="226"/>
        <v/>
      </c>
      <c r="IN17" s="1456" t="str">
        <f t="shared" si="227"/>
        <v/>
      </c>
      <c r="IO17" s="1456" t="str">
        <f t="shared" si="228"/>
        <v/>
      </c>
      <c r="IP17" s="1456" t="str">
        <f t="shared" si="229"/>
        <v/>
      </c>
      <c r="IQ17" s="1456" t="str">
        <f t="shared" si="230"/>
        <v/>
      </c>
      <c r="IR17" s="1456" t="str">
        <f t="shared" si="231"/>
        <v/>
      </c>
      <c r="IS17" s="1456" t="str">
        <f t="shared" si="232"/>
        <v/>
      </c>
      <c r="IT17" s="1456" t="str">
        <f t="shared" si="233"/>
        <v/>
      </c>
      <c r="IU17" s="1456" t="str">
        <f t="shared" si="234"/>
        <v/>
      </c>
      <c r="IV17" s="1456" t="str">
        <f t="shared" si="235"/>
        <v/>
      </c>
      <c r="IW17" s="1456" t="str">
        <f t="shared" si="236"/>
        <v/>
      </c>
      <c r="IX17" s="1456" t="str">
        <f t="shared" si="237"/>
        <v/>
      </c>
      <c r="IY17" s="1456" t="str">
        <f t="shared" si="238"/>
        <v/>
      </c>
      <c r="IZ17" s="1456" t="str">
        <f t="shared" si="239"/>
        <v/>
      </c>
      <c r="JA17" s="1456" t="str">
        <f t="shared" si="240"/>
        <v/>
      </c>
      <c r="JB17" s="1456" t="str">
        <f t="shared" si="241"/>
        <v/>
      </c>
      <c r="JC17" s="1456" t="str">
        <f t="shared" si="242"/>
        <v/>
      </c>
      <c r="JD17" s="1456" t="str">
        <f t="shared" si="243"/>
        <v/>
      </c>
      <c r="JE17" s="1456" t="str">
        <f t="shared" si="244"/>
        <v/>
      </c>
      <c r="JF17" s="1456" t="str">
        <f t="shared" si="245"/>
        <v/>
      </c>
      <c r="JG17" s="1456" t="str">
        <f t="shared" si="246"/>
        <v/>
      </c>
      <c r="JH17" s="1456" t="str">
        <f t="shared" si="247"/>
        <v/>
      </c>
      <c r="JI17" s="1456" t="str">
        <f t="shared" si="248"/>
        <v/>
      </c>
      <c r="JJ17" s="1456" t="str">
        <f t="shared" si="249"/>
        <v/>
      </c>
      <c r="JK17" s="1456" t="str">
        <f t="shared" si="250"/>
        <v/>
      </c>
      <c r="JL17" s="1456" t="str">
        <f t="shared" si="251"/>
        <v/>
      </c>
      <c r="JM17" s="1456" t="str">
        <f t="shared" si="252"/>
        <v/>
      </c>
      <c r="JN17" s="1456" t="str">
        <f t="shared" si="253"/>
        <v/>
      </c>
      <c r="JO17" s="1456" t="str">
        <f t="shared" si="254"/>
        <v/>
      </c>
      <c r="JP17" s="1456" t="str">
        <f t="shared" si="255"/>
        <v/>
      </c>
      <c r="JQ17" s="1456" t="str">
        <f t="shared" si="256"/>
        <v/>
      </c>
      <c r="JR17" s="1456" t="str">
        <f t="shared" si="257"/>
        <v/>
      </c>
      <c r="JS17" s="1456" t="str">
        <f t="shared" si="258"/>
        <v/>
      </c>
      <c r="JT17" s="1456" t="str">
        <f t="shared" si="259"/>
        <v/>
      </c>
      <c r="JU17" s="1456" t="str">
        <f t="shared" si="260"/>
        <v/>
      </c>
      <c r="JV17" s="1456" t="str">
        <f t="shared" si="261"/>
        <v/>
      </c>
      <c r="JW17" s="1456" t="str">
        <f t="shared" si="262"/>
        <v/>
      </c>
      <c r="JX17" s="1456" t="str">
        <f t="shared" si="263"/>
        <v/>
      </c>
      <c r="JY17" s="1456" t="str">
        <f t="shared" si="264"/>
        <v/>
      </c>
      <c r="JZ17" s="1456">
        <f t="shared" si="265"/>
        <v>2</v>
      </c>
      <c r="KA17" s="1456" t="str">
        <f t="shared" si="266"/>
        <v/>
      </c>
      <c r="KB17" s="1456" t="str">
        <f t="shared" si="267"/>
        <v/>
      </c>
      <c r="KC17" s="1456" t="str">
        <f t="shared" si="268"/>
        <v/>
      </c>
      <c r="KD17" s="1456" t="str">
        <f t="shared" si="269"/>
        <v/>
      </c>
      <c r="KE17" s="1456" t="str">
        <f t="shared" si="270"/>
        <v/>
      </c>
      <c r="KF17" s="1456" t="str">
        <f t="shared" si="271"/>
        <v/>
      </c>
      <c r="KG17" s="1456" t="str">
        <f t="shared" si="272"/>
        <v/>
      </c>
      <c r="KH17" s="1456" t="str">
        <f t="shared" si="273"/>
        <v/>
      </c>
      <c r="KI17" s="1456" t="str">
        <f t="shared" si="274"/>
        <v/>
      </c>
      <c r="KJ17" s="1456" t="str">
        <f t="shared" si="275"/>
        <v/>
      </c>
      <c r="KK17" s="1456" t="str">
        <f t="shared" si="276"/>
        <v/>
      </c>
      <c r="KL17" s="1456" t="str">
        <f t="shared" si="277"/>
        <v/>
      </c>
      <c r="KM17" s="1456" t="str">
        <f t="shared" si="278"/>
        <v/>
      </c>
      <c r="KN17" s="1456" t="str">
        <f t="shared" si="279"/>
        <v/>
      </c>
      <c r="KO17" s="1456" t="str">
        <f t="shared" si="280"/>
        <v/>
      </c>
      <c r="KP17" s="1456" t="str">
        <f t="shared" si="281"/>
        <v/>
      </c>
      <c r="KQ17" s="1456" t="str">
        <f t="shared" si="282"/>
        <v/>
      </c>
      <c r="KR17" s="1456" t="str">
        <f t="shared" si="283"/>
        <v/>
      </c>
      <c r="KS17" s="1456" t="str">
        <f t="shared" si="284"/>
        <v/>
      </c>
      <c r="KT17" s="1456" t="str">
        <f t="shared" si="285"/>
        <v/>
      </c>
      <c r="KU17" s="1456" t="str">
        <f t="shared" si="286"/>
        <v/>
      </c>
      <c r="KV17" s="1456" t="str">
        <f t="shared" si="287"/>
        <v/>
      </c>
      <c r="KW17" s="1456" t="str">
        <f t="shared" si="288"/>
        <v/>
      </c>
      <c r="KX17" s="1456" t="str">
        <f t="shared" si="289"/>
        <v/>
      </c>
      <c r="KY17" s="1456" t="str">
        <f t="shared" si="290"/>
        <v/>
      </c>
      <c r="KZ17" s="1456" t="str">
        <f t="shared" si="291"/>
        <v/>
      </c>
      <c r="LA17" s="1456" t="str">
        <f t="shared" si="292"/>
        <v/>
      </c>
      <c r="LB17" s="1456" t="str">
        <f t="shared" si="293"/>
        <v/>
      </c>
      <c r="LC17" s="1456" t="str">
        <f t="shared" si="294"/>
        <v/>
      </c>
      <c r="LD17" s="1456" t="str">
        <f t="shared" si="295"/>
        <v/>
      </c>
      <c r="LE17" s="1456" t="str">
        <f t="shared" si="296"/>
        <v/>
      </c>
      <c r="LF17" s="1456" t="str">
        <f t="shared" si="297"/>
        <v/>
      </c>
      <c r="LG17" s="1446" t="str">
        <f t="shared" si="298"/>
        <v/>
      </c>
      <c r="LH17" s="1446" t="str">
        <f t="shared" si="299"/>
        <v/>
      </c>
      <c r="LI17" s="1446" t="str">
        <f t="shared" si="300"/>
        <v/>
      </c>
      <c r="LJ17" s="1446" t="str">
        <f t="shared" si="301"/>
        <v/>
      </c>
      <c r="LK17" s="1446"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318">
        <f t="shared" si="323"/>
        <v>0</v>
      </c>
      <c r="MG17" s="1318">
        <f t="shared" si="324"/>
        <v>0</v>
      </c>
      <c r="MH17" s="1318">
        <f t="shared" si="325"/>
        <v>0</v>
      </c>
      <c r="MI17" s="1318">
        <f t="shared" si="326"/>
        <v>0</v>
      </c>
      <c r="MJ17" s="1318">
        <f t="shared" si="327"/>
        <v>0</v>
      </c>
      <c r="MK17" s="1318">
        <f t="shared" si="333"/>
        <v>0</v>
      </c>
      <c r="ML17" s="1318">
        <f t="shared" si="334"/>
        <v>0</v>
      </c>
      <c r="MM17" s="1318">
        <f t="shared" si="335"/>
        <v>2</v>
      </c>
      <c r="MN17" s="1318">
        <f t="shared" si="336"/>
        <v>0</v>
      </c>
      <c r="MO17" s="1318">
        <f t="shared" si="337"/>
        <v>0</v>
      </c>
      <c r="MP17" s="1318">
        <f t="shared" si="328"/>
        <v>0</v>
      </c>
      <c r="MQ17" s="1318">
        <f t="shared" si="329"/>
        <v>0</v>
      </c>
      <c r="MR17" s="1318">
        <f t="shared" si="330"/>
        <v>0</v>
      </c>
      <c r="MS17" s="1318">
        <f t="shared" si="331"/>
        <v>0</v>
      </c>
      <c r="MT17" s="1318">
        <f t="shared" si="332"/>
        <v>0</v>
      </c>
      <c r="NP17" s="1292" t="s">
        <v>1157</v>
      </c>
      <c r="NQ17" s="2082">
        <v>17</v>
      </c>
    </row>
    <row r="18" spans="1:381" ht="13.9" customHeight="1">
      <c r="A18" s="53" t="str">
        <f t="shared" si="0"/>
        <v/>
      </c>
      <c r="B18" s="818">
        <v>30</v>
      </c>
      <c r="C18" s="789">
        <v>1</v>
      </c>
      <c r="D18" s="1322">
        <v>1</v>
      </c>
      <c r="E18" s="790">
        <v>6</v>
      </c>
      <c r="F18" s="790">
        <v>653</v>
      </c>
      <c r="G18" s="790">
        <v>604</v>
      </c>
      <c r="H18" s="790">
        <v>1441</v>
      </c>
      <c r="I18" s="790">
        <v>0</v>
      </c>
      <c r="J18" s="802">
        <v>90</v>
      </c>
      <c r="K18" s="803" t="s">
        <v>1158</v>
      </c>
      <c r="L18" s="804">
        <f t="shared" si="1"/>
        <v>1351</v>
      </c>
      <c r="M18" s="804">
        <f t="shared" si="2"/>
        <v>8106</v>
      </c>
      <c r="N18" s="805" t="s">
        <v>56</v>
      </c>
      <c r="O18" s="1258" t="s">
        <v>1154</v>
      </c>
      <c r="P18" s="805" t="s">
        <v>1155</v>
      </c>
      <c r="Q18" s="806" t="s">
        <v>56</v>
      </c>
      <c r="R18" s="559"/>
      <c r="S18" s="560"/>
      <c r="T18" s="3359"/>
      <c r="U18" s="3360"/>
      <c r="V18" s="3360"/>
      <c r="W18" s="3361"/>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f t="shared" si="29"/>
        <v>6</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f t="shared" si="49"/>
        <v>6</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f t="shared" si="144"/>
        <v>3918</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f t="shared" si="159"/>
        <v>3918</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6</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456" t="str">
        <f t="shared" si="213"/>
        <v/>
      </c>
      <c r="IA18" s="1456">
        <f t="shared" si="214"/>
        <v>6</v>
      </c>
      <c r="IB18" s="1456" t="str">
        <f t="shared" si="215"/>
        <v/>
      </c>
      <c r="IC18" s="1456" t="str">
        <f t="shared" si="216"/>
        <v/>
      </c>
      <c r="ID18" s="1456" t="str">
        <f t="shared" si="217"/>
        <v/>
      </c>
      <c r="IE18" s="1456" t="str">
        <f t="shared" si="218"/>
        <v/>
      </c>
      <c r="IF18" s="1456" t="str">
        <f t="shared" si="219"/>
        <v/>
      </c>
      <c r="IG18" s="1456" t="str">
        <f t="shared" si="220"/>
        <v/>
      </c>
      <c r="IH18" s="1456" t="str">
        <f t="shared" si="221"/>
        <v/>
      </c>
      <c r="II18" s="1456" t="str">
        <f t="shared" si="222"/>
        <v/>
      </c>
      <c r="IJ18" s="1456" t="str">
        <f t="shared" si="223"/>
        <v/>
      </c>
      <c r="IK18" s="1456" t="str">
        <f t="shared" si="224"/>
        <v/>
      </c>
      <c r="IL18" s="1456" t="str">
        <f t="shared" si="225"/>
        <v/>
      </c>
      <c r="IM18" s="1456" t="str">
        <f t="shared" si="226"/>
        <v/>
      </c>
      <c r="IN18" s="1456" t="str">
        <f t="shared" si="227"/>
        <v/>
      </c>
      <c r="IO18" s="1456" t="str">
        <f t="shared" si="228"/>
        <v/>
      </c>
      <c r="IP18" s="1456" t="str">
        <f t="shared" si="229"/>
        <v/>
      </c>
      <c r="IQ18" s="1456" t="str">
        <f t="shared" si="230"/>
        <v/>
      </c>
      <c r="IR18" s="1456" t="str">
        <f t="shared" si="231"/>
        <v/>
      </c>
      <c r="IS18" s="1456" t="str">
        <f t="shared" si="232"/>
        <v/>
      </c>
      <c r="IT18" s="1456" t="str">
        <f t="shared" si="233"/>
        <v/>
      </c>
      <c r="IU18" s="1456" t="str">
        <f t="shared" si="234"/>
        <v/>
      </c>
      <c r="IV18" s="1456" t="str">
        <f t="shared" si="235"/>
        <v/>
      </c>
      <c r="IW18" s="1456" t="str">
        <f t="shared" si="236"/>
        <v/>
      </c>
      <c r="IX18" s="1456" t="str">
        <f t="shared" si="237"/>
        <v/>
      </c>
      <c r="IY18" s="1456" t="str">
        <f t="shared" si="238"/>
        <v/>
      </c>
      <c r="IZ18" s="1456" t="str">
        <f t="shared" si="239"/>
        <v/>
      </c>
      <c r="JA18" s="1456" t="str">
        <f t="shared" si="240"/>
        <v/>
      </c>
      <c r="JB18" s="1456" t="str">
        <f t="shared" si="241"/>
        <v/>
      </c>
      <c r="JC18" s="1456" t="str">
        <f t="shared" si="242"/>
        <v/>
      </c>
      <c r="JD18" s="1456" t="str">
        <f t="shared" si="243"/>
        <v/>
      </c>
      <c r="JE18" s="1456" t="str">
        <f t="shared" si="244"/>
        <v/>
      </c>
      <c r="JF18" s="1456" t="str">
        <f t="shared" si="245"/>
        <v/>
      </c>
      <c r="JG18" s="1456" t="str">
        <f t="shared" si="246"/>
        <v/>
      </c>
      <c r="JH18" s="1456" t="str">
        <f t="shared" si="247"/>
        <v/>
      </c>
      <c r="JI18" s="1456" t="str">
        <f t="shared" si="248"/>
        <v/>
      </c>
      <c r="JJ18" s="1456" t="str">
        <f t="shared" si="249"/>
        <v/>
      </c>
      <c r="JK18" s="1456" t="str">
        <f t="shared" si="250"/>
        <v/>
      </c>
      <c r="JL18" s="1456" t="str">
        <f t="shared" si="251"/>
        <v/>
      </c>
      <c r="JM18" s="1456" t="str">
        <f t="shared" si="252"/>
        <v/>
      </c>
      <c r="JN18" s="1456" t="str">
        <f t="shared" si="253"/>
        <v/>
      </c>
      <c r="JO18" s="1456" t="str">
        <f t="shared" si="254"/>
        <v/>
      </c>
      <c r="JP18" s="1456" t="str">
        <f t="shared" si="255"/>
        <v/>
      </c>
      <c r="JQ18" s="1456" t="str">
        <f t="shared" si="256"/>
        <v/>
      </c>
      <c r="JR18" s="1456" t="str">
        <f t="shared" si="257"/>
        <v/>
      </c>
      <c r="JS18" s="1456" t="str">
        <f t="shared" si="258"/>
        <v/>
      </c>
      <c r="JT18" s="1456" t="str">
        <f t="shared" si="259"/>
        <v/>
      </c>
      <c r="JU18" s="1456" t="str">
        <f t="shared" si="260"/>
        <v/>
      </c>
      <c r="JV18" s="1456" t="str">
        <f t="shared" si="261"/>
        <v/>
      </c>
      <c r="JW18" s="1456" t="str">
        <f t="shared" si="262"/>
        <v/>
      </c>
      <c r="JX18" s="1456" t="str">
        <f t="shared" si="263"/>
        <v/>
      </c>
      <c r="JY18" s="1456">
        <f t="shared" si="264"/>
        <v>6</v>
      </c>
      <c r="JZ18" s="1456" t="str">
        <f t="shared" si="265"/>
        <v/>
      </c>
      <c r="KA18" s="1456" t="str">
        <f t="shared" si="266"/>
        <v/>
      </c>
      <c r="KB18" s="1456" t="str">
        <f t="shared" si="267"/>
        <v/>
      </c>
      <c r="KC18" s="1456" t="str">
        <f t="shared" si="268"/>
        <v/>
      </c>
      <c r="KD18" s="1456" t="str">
        <f t="shared" si="269"/>
        <v/>
      </c>
      <c r="KE18" s="1456" t="str">
        <f t="shared" si="270"/>
        <v/>
      </c>
      <c r="KF18" s="1456" t="str">
        <f t="shared" si="271"/>
        <v/>
      </c>
      <c r="KG18" s="1456" t="str">
        <f t="shared" si="272"/>
        <v/>
      </c>
      <c r="KH18" s="1456" t="str">
        <f t="shared" si="273"/>
        <v/>
      </c>
      <c r="KI18" s="1456" t="str">
        <f t="shared" si="274"/>
        <v/>
      </c>
      <c r="KJ18" s="1456" t="str">
        <f t="shared" si="275"/>
        <v/>
      </c>
      <c r="KK18" s="1456" t="str">
        <f t="shared" si="276"/>
        <v/>
      </c>
      <c r="KL18" s="1456" t="str">
        <f t="shared" si="277"/>
        <v/>
      </c>
      <c r="KM18" s="1456" t="str">
        <f t="shared" si="278"/>
        <v/>
      </c>
      <c r="KN18" s="1456" t="str">
        <f t="shared" si="279"/>
        <v/>
      </c>
      <c r="KO18" s="1456" t="str">
        <f t="shared" si="280"/>
        <v/>
      </c>
      <c r="KP18" s="1456" t="str">
        <f t="shared" si="281"/>
        <v/>
      </c>
      <c r="KQ18" s="1456" t="str">
        <f t="shared" si="282"/>
        <v/>
      </c>
      <c r="KR18" s="1456" t="str">
        <f t="shared" si="283"/>
        <v/>
      </c>
      <c r="KS18" s="1456" t="str">
        <f t="shared" si="284"/>
        <v/>
      </c>
      <c r="KT18" s="1456" t="str">
        <f t="shared" si="285"/>
        <v/>
      </c>
      <c r="KU18" s="1456" t="str">
        <f t="shared" si="286"/>
        <v/>
      </c>
      <c r="KV18" s="1456" t="str">
        <f t="shared" si="287"/>
        <v/>
      </c>
      <c r="KW18" s="1456" t="str">
        <f t="shared" si="288"/>
        <v/>
      </c>
      <c r="KX18" s="1456" t="str">
        <f t="shared" si="289"/>
        <v/>
      </c>
      <c r="KY18" s="1456" t="str">
        <f t="shared" si="290"/>
        <v/>
      </c>
      <c r="KZ18" s="1456" t="str">
        <f t="shared" si="291"/>
        <v/>
      </c>
      <c r="LA18" s="1456" t="str">
        <f t="shared" si="292"/>
        <v/>
      </c>
      <c r="LB18" s="1456" t="str">
        <f t="shared" si="293"/>
        <v/>
      </c>
      <c r="LC18" s="1456" t="str">
        <f t="shared" si="294"/>
        <v/>
      </c>
      <c r="LD18" s="1456" t="str">
        <f t="shared" si="295"/>
        <v/>
      </c>
      <c r="LE18" s="1456" t="str">
        <f t="shared" si="296"/>
        <v/>
      </c>
      <c r="LF18" s="1456" t="str">
        <f t="shared" si="297"/>
        <v/>
      </c>
      <c r="LG18" s="1446" t="str">
        <f t="shared" si="298"/>
        <v/>
      </c>
      <c r="LH18" s="1446" t="str">
        <f t="shared" si="299"/>
        <v/>
      </c>
      <c r="LI18" s="1446" t="str">
        <f t="shared" si="300"/>
        <v/>
      </c>
      <c r="LJ18" s="1446" t="str">
        <f t="shared" si="301"/>
        <v/>
      </c>
      <c r="LK18" s="1446"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318">
        <f t="shared" si="323"/>
        <v>0</v>
      </c>
      <c r="MG18" s="1318">
        <f t="shared" si="324"/>
        <v>0</v>
      </c>
      <c r="MH18" s="1318">
        <f t="shared" si="325"/>
        <v>0</v>
      </c>
      <c r="MI18" s="1318">
        <f t="shared" si="326"/>
        <v>0</v>
      </c>
      <c r="MJ18" s="1318">
        <f t="shared" si="327"/>
        <v>0</v>
      </c>
      <c r="MK18" s="1318">
        <f t="shared" si="333"/>
        <v>0</v>
      </c>
      <c r="ML18" s="1318">
        <f t="shared" si="334"/>
        <v>6</v>
      </c>
      <c r="MM18" s="1318">
        <f t="shared" si="335"/>
        <v>0</v>
      </c>
      <c r="MN18" s="1318">
        <f t="shared" si="336"/>
        <v>0</v>
      </c>
      <c r="MO18" s="1318">
        <f t="shared" si="337"/>
        <v>0</v>
      </c>
      <c r="MP18" s="1318">
        <f t="shared" si="328"/>
        <v>0</v>
      </c>
      <c r="MQ18" s="1318">
        <f t="shared" si="329"/>
        <v>0</v>
      </c>
      <c r="MR18" s="1318">
        <f t="shared" si="330"/>
        <v>0</v>
      </c>
      <c r="MS18" s="1318">
        <f t="shared" si="331"/>
        <v>0</v>
      </c>
      <c r="MT18" s="1318">
        <f t="shared" si="332"/>
        <v>0</v>
      </c>
      <c r="NP18" s="1292" t="s">
        <v>1159</v>
      </c>
      <c r="NQ18" s="2082">
        <v>18</v>
      </c>
    </row>
    <row r="19" spans="1:381" ht="13.9" customHeight="1">
      <c r="A19" s="53" t="str">
        <f t="shared" si="0"/>
        <v/>
      </c>
      <c r="B19" s="819">
        <v>50</v>
      </c>
      <c r="C19" s="85">
        <v>1</v>
      </c>
      <c r="D19" s="1320">
        <v>1</v>
      </c>
      <c r="E19" s="86">
        <v>17</v>
      </c>
      <c r="F19" s="86">
        <v>653</v>
      </c>
      <c r="G19" s="86">
        <v>1008</v>
      </c>
      <c r="H19" s="86">
        <v>1441</v>
      </c>
      <c r="I19" s="86">
        <v>0</v>
      </c>
      <c r="J19" s="570">
        <v>90</v>
      </c>
      <c r="K19" s="486" t="s">
        <v>1158</v>
      </c>
      <c r="L19" s="339">
        <f t="shared" si="1"/>
        <v>1351</v>
      </c>
      <c r="M19" s="339">
        <f t="shared" si="2"/>
        <v>22967</v>
      </c>
      <c r="N19" s="523" t="s">
        <v>56</v>
      </c>
      <c r="O19" s="1256" t="s">
        <v>1154</v>
      </c>
      <c r="P19" s="523" t="s">
        <v>1155</v>
      </c>
      <c r="Q19" s="87" t="s">
        <v>56</v>
      </c>
      <c r="R19" s="559"/>
      <c r="S19" s="560"/>
      <c r="T19" s="3359"/>
      <c r="U19" s="3360"/>
      <c r="V19" s="3360"/>
      <c r="W19" s="3361"/>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f t="shared" si="19"/>
        <v>17</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f t="shared" si="59"/>
        <v>17</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f t="shared" si="134"/>
        <v>11101</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f t="shared" si="159"/>
        <v>11101</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17</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456" t="str">
        <f t="shared" si="213"/>
        <v/>
      </c>
      <c r="IA19" s="1456">
        <f t="shared" si="214"/>
        <v>17</v>
      </c>
      <c r="IB19" s="1456" t="str">
        <f t="shared" si="215"/>
        <v/>
      </c>
      <c r="IC19" s="1456" t="str">
        <f t="shared" si="216"/>
        <v/>
      </c>
      <c r="ID19" s="1456" t="str">
        <f t="shared" si="217"/>
        <v/>
      </c>
      <c r="IE19" s="1456" t="str">
        <f t="shared" si="218"/>
        <v/>
      </c>
      <c r="IF19" s="1456" t="str">
        <f t="shared" si="219"/>
        <v/>
      </c>
      <c r="IG19" s="1456" t="str">
        <f t="shared" si="220"/>
        <v/>
      </c>
      <c r="IH19" s="1456" t="str">
        <f t="shared" si="221"/>
        <v/>
      </c>
      <c r="II19" s="1456" t="str">
        <f t="shared" si="222"/>
        <v/>
      </c>
      <c r="IJ19" s="1456" t="str">
        <f t="shared" si="223"/>
        <v/>
      </c>
      <c r="IK19" s="1456" t="str">
        <f t="shared" si="224"/>
        <v/>
      </c>
      <c r="IL19" s="1456" t="str">
        <f t="shared" si="225"/>
        <v/>
      </c>
      <c r="IM19" s="1456" t="str">
        <f t="shared" si="226"/>
        <v/>
      </c>
      <c r="IN19" s="1456" t="str">
        <f t="shared" si="227"/>
        <v/>
      </c>
      <c r="IO19" s="1456" t="str">
        <f t="shared" si="228"/>
        <v/>
      </c>
      <c r="IP19" s="1456" t="str">
        <f t="shared" si="229"/>
        <v/>
      </c>
      <c r="IQ19" s="1456" t="str">
        <f t="shared" si="230"/>
        <v/>
      </c>
      <c r="IR19" s="1456" t="str">
        <f t="shared" si="231"/>
        <v/>
      </c>
      <c r="IS19" s="1456" t="str">
        <f t="shared" si="232"/>
        <v/>
      </c>
      <c r="IT19" s="1456" t="str">
        <f t="shared" si="233"/>
        <v/>
      </c>
      <c r="IU19" s="1456" t="str">
        <f t="shared" si="234"/>
        <v/>
      </c>
      <c r="IV19" s="1456" t="str">
        <f t="shared" si="235"/>
        <v/>
      </c>
      <c r="IW19" s="1456" t="str">
        <f t="shared" si="236"/>
        <v/>
      </c>
      <c r="IX19" s="1456" t="str">
        <f t="shared" si="237"/>
        <v/>
      </c>
      <c r="IY19" s="1456" t="str">
        <f t="shared" si="238"/>
        <v/>
      </c>
      <c r="IZ19" s="1456" t="str">
        <f t="shared" si="239"/>
        <v/>
      </c>
      <c r="JA19" s="1456" t="str">
        <f t="shared" si="240"/>
        <v/>
      </c>
      <c r="JB19" s="1456" t="str">
        <f t="shared" si="241"/>
        <v/>
      </c>
      <c r="JC19" s="1456" t="str">
        <f t="shared" si="242"/>
        <v/>
      </c>
      <c r="JD19" s="1456" t="str">
        <f t="shared" si="243"/>
        <v/>
      </c>
      <c r="JE19" s="1456" t="str">
        <f t="shared" si="244"/>
        <v/>
      </c>
      <c r="JF19" s="1456" t="str">
        <f t="shared" si="245"/>
        <v/>
      </c>
      <c r="JG19" s="1456" t="str">
        <f t="shared" si="246"/>
        <v/>
      </c>
      <c r="JH19" s="1456" t="str">
        <f t="shared" si="247"/>
        <v/>
      </c>
      <c r="JI19" s="1456" t="str">
        <f t="shared" si="248"/>
        <v/>
      </c>
      <c r="JJ19" s="1456" t="str">
        <f t="shared" si="249"/>
        <v/>
      </c>
      <c r="JK19" s="1456" t="str">
        <f t="shared" si="250"/>
        <v/>
      </c>
      <c r="JL19" s="1456" t="str">
        <f t="shared" si="251"/>
        <v/>
      </c>
      <c r="JM19" s="1456" t="str">
        <f t="shared" si="252"/>
        <v/>
      </c>
      <c r="JN19" s="1456" t="str">
        <f t="shared" si="253"/>
        <v/>
      </c>
      <c r="JO19" s="1456" t="str">
        <f t="shared" si="254"/>
        <v/>
      </c>
      <c r="JP19" s="1456" t="str">
        <f t="shared" si="255"/>
        <v/>
      </c>
      <c r="JQ19" s="1456" t="str">
        <f t="shared" si="256"/>
        <v/>
      </c>
      <c r="JR19" s="1456" t="str">
        <f t="shared" si="257"/>
        <v/>
      </c>
      <c r="JS19" s="1456" t="str">
        <f t="shared" si="258"/>
        <v/>
      </c>
      <c r="JT19" s="1456" t="str">
        <f t="shared" si="259"/>
        <v/>
      </c>
      <c r="JU19" s="1456" t="str">
        <f t="shared" si="260"/>
        <v/>
      </c>
      <c r="JV19" s="1456" t="str">
        <f t="shared" si="261"/>
        <v/>
      </c>
      <c r="JW19" s="1456" t="str">
        <f t="shared" si="262"/>
        <v/>
      </c>
      <c r="JX19" s="1456" t="str">
        <f t="shared" si="263"/>
        <v/>
      </c>
      <c r="JY19" s="1456">
        <f t="shared" si="264"/>
        <v>17</v>
      </c>
      <c r="JZ19" s="1456" t="str">
        <f t="shared" si="265"/>
        <v/>
      </c>
      <c r="KA19" s="1456" t="str">
        <f t="shared" si="266"/>
        <v/>
      </c>
      <c r="KB19" s="1456" t="str">
        <f t="shared" si="267"/>
        <v/>
      </c>
      <c r="KC19" s="1456" t="str">
        <f t="shared" si="268"/>
        <v/>
      </c>
      <c r="KD19" s="1456" t="str">
        <f t="shared" si="269"/>
        <v/>
      </c>
      <c r="KE19" s="1456" t="str">
        <f t="shared" si="270"/>
        <v/>
      </c>
      <c r="KF19" s="1456" t="str">
        <f t="shared" si="271"/>
        <v/>
      </c>
      <c r="KG19" s="1456" t="str">
        <f t="shared" si="272"/>
        <v/>
      </c>
      <c r="KH19" s="1456" t="str">
        <f t="shared" si="273"/>
        <v/>
      </c>
      <c r="KI19" s="1456" t="str">
        <f t="shared" si="274"/>
        <v/>
      </c>
      <c r="KJ19" s="1456" t="str">
        <f t="shared" si="275"/>
        <v/>
      </c>
      <c r="KK19" s="1456" t="str">
        <f t="shared" si="276"/>
        <v/>
      </c>
      <c r="KL19" s="1456" t="str">
        <f t="shared" si="277"/>
        <v/>
      </c>
      <c r="KM19" s="1456" t="str">
        <f t="shared" si="278"/>
        <v/>
      </c>
      <c r="KN19" s="1456" t="str">
        <f t="shared" si="279"/>
        <v/>
      </c>
      <c r="KO19" s="1456" t="str">
        <f t="shared" si="280"/>
        <v/>
      </c>
      <c r="KP19" s="1456" t="str">
        <f t="shared" si="281"/>
        <v/>
      </c>
      <c r="KQ19" s="1456" t="str">
        <f t="shared" si="282"/>
        <v/>
      </c>
      <c r="KR19" s="1456" t="str">
        <f t="shared" si="283"/>
        <v/>
      </c>
      <c r="KS19" s="1456" t="str">
        <f t="shared" si="284"/>
        <v/>
      </c>
      <c r="KT19" s="1456" t="str">
        <f t="shared" si="285"/>
        <v/>
      </c>
      <c r="KU19" s="1456" t="str">
        <f t="shared" si="286"/>
        <v/>
      </c>
      <c r="KV19" s="1456" t="str">
        <f t="shared" si="287"/>
        <v/>
      </c>
      <c r="KW19" s="1456" t="str">
        <f t="shared" si="288"/>
        <v/>
      </c>
      <c r="KX19" s="1456" t="str">
        <f t="shared" si="289"/>
        <v/>
      </c>
      <c r="KY19" s="1456" t="str">
        <f t="shared" si="290"/>
        <v/>
      </c>
      <c r="KZ19" s="1456" t="str">
        <f t="shared" si="291"/>
        <v/>
      </c>
      <c r="LA19" s="1456" t="str">
        <f t="shared" si="292"/>
        <v/>
      </c>
      <c r="LB19" s="1456" t="str">
        <f t="shared" si="293"/>
        <v/>
      </c>
      <c r="LC19" s="1456" t="str">
        <f t="shared" si="294"/>
        <v/>
      </c>
      <c r="LD19" s="1456" t="str">
        <f t="shared" si="295"/>
        <v/>
      </c>
      <c r="LE19" s="1456" t="str">
        <f t="shared" si="296"/>
        <v/>
      </c>
      <c r="LF19" s="1456" t="str">
        <f t="shared" si="297"/>
        <v/>
      </c>
      <c r="LG19" s="1446" t="str">
        <f t="shared" si="298"/>
        <v/>
      </c>
      <c r="LH19" s="1446" t="str">
        <f t="shared" si="299"/>
        <v/>
      </c>
      <c r="LI19" s="1446" t="str">
        <f t="shared" si="300"/>
        <v/>
      </c>
      <c r="LJ19" s="1446" t="str">
        <f t="shared" si="301"/>
        <v/>
      </c>
      <c r="LK19" s="1446"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318">
        <f t="shared" si="323"/>
        <v>0</v>
      </c>
      <c r="MG19" s="1318">
        <f t="shared" si="324"/>
        <v>0</v>
      </c>
      <c r="MH19" s="1318">
        <f t="shared" si="325"/>
        <v>0</v>
      </c>
      <c r="MI19" s="1318">
        <f t="shared" si="326"/>
        <v>0</v>
      </c>
      <c r="MJ19" s="1318">
        <f t="shared" si="327"/>
        <v>0</v>
      </c>
      <c r="MK19" s="1318">
        <f t="shared" si="333"/>
        <v>0</v>
      </c>
      <c r="ML19" s="1318">
        <f t="shared" si="334"/>
        <v>17</v>
      </c>
      <c r="MM19" s="1318">
        <f t="shared" si="335"/>
        <v>0</v>
      </c>
      <c r="MN19" s="1318">
        <f t="shared" si="336"/>
        <v>0</v>
      </c>
      <c r="MO19" s="1318">
        <f t="shared" si="337"/>
        <v>0</v>
      </c>
      <c r="MP19" s="1318">
        <f t="shared" si="328"/>
        <v>0</v>
      </c>
      <c r="MQ19" s="1318">
        <f t="shared" si="329"/>
        <v>0</v>
      </c>
      <c r="MR19" s="1318">
        <f t="shared" si="330"/>
        <v>0</v>
      </c>
      <c r="MS19" s="1318">
        <f t="shared" si="331"/>
        <v>0</v>
      </c>
      <c r="MT19" s="1318">
        <f t="shared" si="332"/>
        <v>0</v>
      </c>
      <c r="NP19" s="1292" t="s">
        <v>1160</v>
      </c>
      <c r="NQ19" s="2082">
        <v>19</v>
      </c>
    </row>
    <row r="20" spans="1:381" ht="13.9" customHeight="1">
      <c r="A20" s="53" t="str">
        <f t="shared" si="0"/>
        <v/>
      </c>
      <c r="B20" s="819">
        <v>60</v>
      </c>
      <c r="C20" s="85">
        <v>1</v>
      </c>
      <c r="D20" s="1320">
        <v>1</v>
      </c>
      <c r="E20" s="86">
        <v>14</v>
      </c>
      <c r="F20" s="86">
        <v>653</v>
      </c>
      <c r="G20" s="86">
        <v>1209</v>
      </c>
      <c r="H20" s="86">
        <v>1009</v>
      </c>
      <c r="I20" s="86">
        <v>0</v>
      </c>
      <c r="J20" s="570">
        <f>IF(C20="",0,HLOOKUP(C20,'Part IV-Utility Allowances'!$I$11:$M$22,12))</f>
        <v>88</v>
      </c>
      <c r="K20" s="486"/>
      <c r="L20" s="339">
        <f t="shared" si="1"/>
        <v>921</v>
      </c>
      <c r="M20" s="339">
        <f t="shared" si="2"/>
        <v>12894</v>
      </c>
      <c r="N20" s="523" t="s">
        <v>56</v>
      </c>
      <c r="O20" s="1256" t="s">
        <v>1154</v>
      </c>
      <c r="P20" s="523" t="s">
        <v>1155</v>
      </c>
      <c r="Q20" s="87" t="s">
        <v>56</v>
      </c>
      <c r="R20" s="559"/>
      <c r="S20" s="560"/>
      <c r="T20" s="3359"/>
      <c r="U20" s="3360"/>
      <c r="V20" s="3360"/>
      <c r="W20" s="3361"/>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f t="shared" si="14"/>
        <v>14</v>
      </c>
      <c r="AJ20" s="251" t="str">
        <f t="shared" si="15"/>
        <v/>
      </c>
      <c r="AK20" s="251" t="str">
        <f t="shared" si="16"/>
        <v/>
      </c>
      <c r="AL20" s="251" t="str">
        <f t="shared" si="17"/>
        <v/>
      </c>
      <c r="AM20" s="251" t="str">
        <f t="shared" si="18"/>
        <v/>
      </c>
      <c r="AN20" s="251" t="str">
        <f t="shared" si="19"/>
        <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f t="shared" si="129"/>
        <v>9142</v>
      </c>
      <c r="EU20" s="251" t="str">
        <f t="shared" si="130"/>
        <v/>
      </c>
      <c r="EV20" s="251" t="str">
        <f t="shared" si="131"/>
        <v/>
      </c>
      <c r="EW20" s="251" t="str">
        <f t="shared" si="132"/>
        <v/>
      </c>
      <c r="EX20" s="251" t="str">
        <f t="shared" si="133"/>
        <v/>
      </c>
      <c r="EY20" s="251" t="str">
        <f t="shared" si="134"/>
        <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14</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456" t="str">
        <f t="shared" si="213"/>
        <v/>
      </c>
      <c r="IA20" s="1456">
        <f t="shared" si="214"/>
        <v>14</v>
      </c>
      <c r="IB20" s="1456" t="str">
        <f t="shared" si="215"/>
        <v/>
      </c>
      <c r="IC20" s="1456" t="str">
        <f t="shared" si="216"/>
        <v/>
      </c>
      <c r="ID20" s="1456" t="str">
        <f t="shared" si="217"/>
        <v/>
      </c>
      <c r="IE20" s="1456" t="str">
        <f t="shared" si="218"/>
        <v/>
      </c>
      <c r="IF20" s="1456" t="str">
        <f t="shared" si="219"/>
        <v/>
      </c>
      <c r="IG20" s="1456" t="str">
        <f t="shared" si="220"/>
        <v/>
      </c>
      <c r="IH20" s="1456" t="str">
        <f t="shared" si="221"/>
        <v/>
      </c>
      <c r="II20" s="1456" t="str">
        <f t="shared" si="222"/>
        <v/>
      </c>
      <c r="IJ20" s="1456" t="str">
        <f t="shared" si="223"/>
        <v/>
      </c>
      <c r="IK20" s="1456" t="str">
        <f t="shared" si="224"/>
        <v/>
      </c>
      <c r="IL20" s="1456" t="str">
        <f t="shared" si="225"/>
        <v/>
      </c>
      <c r="IM20" s="1456" t="str">
        <f t="shared" si="226"/>
        <v/>
      </c>
      <c r="IN20" s="1456" t="str">
        <f t="shared" si="227"/>
        <v/>
      </c>
      <c r="IO20" s="1456" t="str">
        <f t="shared" si="228"/>
        <v/>
      </c>
      <c r="IP20" s="1456" t="str">
        <f t="shared" si="229"/>
        <v/>
      </c>
      <c r="IQ20" s="1456" t="str">
        <f t="shared" si="230"/>
        <v/>
      </c>
      <c r="IR20" s="1456" t="str">
        <f t="shared" si="231"/>
        <v/>
      </c>
      <c r="IS20" s="1456" t="str">
        <f t="shared" si="232"/>
        <v/>
      </c>
      <c r="IT20" s="1456" t="str">
        <f t="shared" si="233"/>
        <v/>
      </c>
      <c r="IU20" s="1456" t="str">
        <f t="shared" si="234"/>
        <v/>
      </c>
      <c r="IV20" s="1456" t="str">
        <f t="shared" si="235"/>
        <v/>
      </c>
      <c r="IW20" s="1456" t="str">
        <f t="shared" si="236"/>
        <v/>
      </c>
      <c r="IX20" s="1456" t="str">
        <f t="shared" si="237"/>
        <v/>
      </c>
      <c r="IY20" s="1456" t="str">
        <f t="shared" si="238"/>
        <v/>
      </c>
      <c r="IZ20" s="1456" t="str">
        <f t="shared" si="239"/>
        <v/>
      </c>
      <c r="JA20" s="1456" t="str">
        <f t="shared" si="240"/>
        <v/>
      </c>
      <c r="JB20" s="1456" t="str">
        <f t="shared" si="241"/>
        <v/>
      </c>
      <c r="JC20" s="1456" t="str">
        <f t="shared" si="242"/>
        <v/>
      </c>
      <c r="JD20" s="1456" t="str">
        <f t="shared" si="243"/>
        <v/>
      </c>
      <c r="JE20" s="1456" t="str">
        <f t="shared" si="244"/>
        <v/>
      </c>
      <c r="JF20" s="1456" t="str">
        <f t="shared" si="245"/>
        <v/>
      </c>
      <c r="JG20" s="1456" t="str">
        <f t="shared" si="246"/>
        <v/>
      </c>
      <c r="JH20" s="1456" t="str">
        <f t="shared" si="247"/>
        <v/>
      </c>
      <c r="JI20" s="1456" t="str">
        <f t="shared" si="248"/>
        <v/>
      </c>
      <c r="JJ20" s="1456" t="str">
        <f t="shared" si="249"/>
        <v/>
      </c>
      <c r="JK20" s="1456" t="str">
        <f t="shared" si="250"/>
        <v/>
      </c>
      <c r="JL20" s="1456" t="str">
        <f t="shared" si="251"/>
        <v/>
      </c>
      <c r="JM20" s="1456" t="str">
        <f t="shared" si="252"/>
        <v/>
      </c>
      <c r="JN20" s="1456" t="str">
        <f t="shared" si="253"/>
        <v/>
      </c>
      <c r="JO20" s="1456" t="str">
        <f t="shared" si="254"/>
        <v/>
      </c>
      <c r="JP20" s="1456" t="str">
        <f t="shared" si="255"/>
        <v/>
      </c>
      <c r="JQ20" s="1456" t="str">
        <f t="shared" si="256"/>
        <v/>
      </c>
      <c r="JR20" s="1456" t="str">
        <f t="shared" si="257"/>
        <v/>
      </c>
      <c r="JS20" s="1456" t="str">
        <f t="shared" si="258"/>
        <v/>
      </c>
      <c r="JT20" s="1456" t="str">
        <f t="shared" si="259"/>
        <v/>
      </c>
      <c r="JU20" s="1456" t="str">
        <f t="shared" si="260"/>
        <v/>
      </c>
      <c r="JV20" s="1456" t="str">
        <f t="shared" si="261"/>
        <v/>
      </c>
      <c r="JW20" s="1456" t="str">
        <f t="shared" si="262"/>
        <v/>
      </c>
      <c r="JX20" s="1456" t="str">
        <f t="shared" si="263"/>
        <v/>
      </c>
      <c r="JY20" s="1456">
        <f t="shared" si="264"/>
        <v>14</v>
      </c>
      <c r="JZ20" s="1456" t="str">
        <f t="shared" si="265"/>
        <v/>
      </c>
      <c r="KA20" s="1456" t="str">
        <f t="shared" si="266"/>
        <v/>
      </c>
      <c r="KB20" s="1456" t="str">
        <f t="shared" si="267"/>
        <v/>
      </c>
      <c r="KC20" s="1456" t="str">
        <f t="shared" si="268"/>
        <v/>
      </c>
      <c r="KD20" s="1456" t="str">
        <f t="shared" si="269"/>
        <v/>
      </c>
      <c r="KE20" s="1456" t="str">
        <f t="shared" si="270"/>
        <v/>
      </c>
      <c r="KF20" s="1456" t="str">
        <f t="shared" si="271"/>
        <v/>
      </c>
      <c r="KG20" s="1456" t="str">
        <f t="shared" si="272"/>
        <v/>
      </c>
      <c r="KH20" s="1456" t="str">
        <f t="shared" si="273"/>
        <v/>
      </c>
      <c r="KI20" s="1456" t="str">
        <f t="shared" si="274"/>
        <v/>
      </c>
      <c r="KJ20" s="1456" t="str">
        <f t="shared" si="275"/>
        <v/>
      </c>
      <c r="KK20" s="1456" t="str">
        <f t="shared" si="276"/>
        <v/>
      </c>
      <c r="KL20" s="1456" t="str">
        <f t="shared" si="277"/>
        <v/>
      </c>
      <c r="KM20" s="1456" t="str">
        <f t="shared" si="278"/>
        <v/>
      </c>
      <c r="KN20" s="1456" t="str">
        <f t="shared" si="279"/>
        <v/>
      </c>
      <c r="KO20" s="1456" t="str">
        <f t="shared" si="280"/>
        <v/>
      </c>
      <c r="KP20" s="1456" t="str">
        <f t="shared" si="281"/>
        <v/>
      </c>
      <c r="KQ20" s="1456" t="str">
        <f t="shared" si="282"/>
        <v/>
      </c>
      <c r="KR20" s="1456" t="str">
        <f t="shared" si="283"/>
        <v/>
      </c>
      <c r="KS20" s="1456" t="str">
        <f t="shared" si="284"/>
        <v/>
      </c>
      <c r="KT20" s="1456" t="str">
        <f t="shared" si="285"/>
        <v/>
      </c>
      <c r="KU20" s="1456" t="str">
        <f t="shared" si="286"/>
        <v/>
      </c>
      <c r="KV20" s="1456" t="str">
        <f t="shared" si="287"/>
        <v/>
      </c>
      <c r="KW20" s="1456" t="str">
        <f t="shared" si="288"/>
        <v/>
      </c>
      <c r="KX20" s="1456" t="str">
        <f t="shared" si="289"/>
        <v/>
      </c>
      <c r="KY20" s="1456" t="str">
        <f t="shared" si="290"/>
        <v/>
      </c>
      <c r="KZ20" s="1456" t="str">
        <f t="shared" si="291"/>
        <v/>
      </c>
      <c r="LA20" s="1456" t="str">
        <f t="shared" si="292"/>
        <v/>
      </c>
      <c r="LB20" s="1456" t="str">
        <f t="shared" si="293"/>
        <v/>
      </c>
      <c r="LC20" s="1456" t="str">
        <f t="shared" si="294"/>
        <v/>
      </c>
      <c r="LD20" s="1456" t="str">
        <f t="shared" si="295"/>
        <v/>
      </c>
      <c r="LE20" s="1456" t="str">
        <f t="shared" si="296"/>
        <v/>
      </c>
      <c r="LF20" s="1456" t="str">
        <f t="shared" si="297"/>
        <v/>
      </c>
      <c r="LG20" s="1446" t="str">
        <f t="shared" si="298"/>
        <v/>
      </c>
      <c r="LH20" s="1446" t="str">
        <f t="shared" si="299"/>
        <v/>
      </c>
      <c r="LI20" s="1446" t="str">
        <f t="shared" si="300"/>
        <v/>
      </c>
      <c r="LJ20" s="1446" t="str">
        <f t="shared" si="301"/>
        <v/>
      </c>
      <c r="LK20" s="1446"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318">
        <f t="shared" si="323"/>
        <v>0</v>
      </c>
      <c r="MG20" s="1318">
        <f t="shared" si="324"/>
        <v>0</v>
      </c>
      <c r="MH20" s="1318">
        <f t="shared" si="325"/>
        <v>0</v>
      </c>
      <c r="MI20" s="1318">
        <f t="shared" si="326"/>
        <v>0</v>
      </c>
      <c r="MJ20" s="1318">
        <f t="shared" si="327"/>
        <v>0</v>
      </c>
      <c r="MK20" s="1318">
        <f t="shared" si="333"/>
        <v>0</v>
      </c>
      <c r="ML20" s="1318">
        <f t="shared" si="334"/>
        <v>14</v>
      </c>
      <c r="MM20" s="1318">
        <f t="shared" si="335"/>
        <v>0</v>
      </c>
      <c r="MN20" s="1318">
        <f t="shared" si="336"/>
        <v>0</v>
      </c>
      <c r="MO20" s="1318">
        <f t="shared" si="337"/>
        <v>0</v>
      </c>
      <c r="MP20" s="1318">
        <f t="shared" si="328"/>
        <v>0</v>
      </c>
      <c r="MQ20" s="1318">
        <f t="shared" si="329"/>
        <v>0</v>
      </c>
      <c r="MR20" s="1318">
        <f t="shared" si="330"/>
        <v>0</v>
      </c>
      <c r="MS20" s="1318">
        <f t="shared" si="331"/>
        <v>0</v>
      </c>
      <c r="MT20" s="1318">
        <f t="shared" si="332"/>
        <v>0</v>
      </c>
      <c r="NP20" s="1292" t="s">
        <v>1161</v>
      </c>
      <c r="NQ20" s="2083">
        <v>20</v>
      </c>
    </row>
    <row r="21" spans="1:381" ht="13.9" customHeight="1">
      <c r="A21" s="53" t="str">
        <f t="shared" si="0"/>
        <v/>
      </c>
      <c r="B21" s="819">
        <v>60</v>
      </c>
      <c r="C21" s="85">
        <v>2</v>
      </c>
      <c r="D21" s="1320">
        <v>2</v>
      </c>
      <c r="E21" s="86">
        <v>15</v>
      </c>
      <c r="F21" s="86">
        <v>963</v>
      </c>
      <c r="G21" s="86">
        <v>1452</v>
      </c>
      <c r="H21" s="86">
        <v>1252</v>
      </c>
      <c r="I21" s="86">
        <v>0</v>
      </c>
      <c r="J21" s="570">
        <f>IF(C21="",0,HLOOKUP(C21,'Part IV-Utility Allowances'!$I$11:$M$22,12))</f>
        <v>113</v>
      </c>
      <c r="K21" s="486"/>
      <c r="L21" s="339">
        <f t="shared" si="1"/>
        <v>1139</v>
      </c>
      <c r="M21" s="339">
        <f t="shared" si="2"/>
        <v>17085</v>
      </c>
      <c r="N21" s="523" t="s">
        <v>56</v>
      </c>
      <c r="O21" s="1256" t="s">
        <v>1154</v>
      </c>
      <c r="P21" s="523" t="s">
        <v>1155</v>
      </c>
      <c r="Q21" s="87" t="s">
        <v>56</v>
      </c>
      <c r="R21" s="559"/>
      <c r="S21" s="560"/>
      <c r="T21" s="3359"/>
      <c r="U21" s="3360"/>
      <c r="V21" s="3360"/>
      <c r="W21" s="3361"/>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f t="shared" si="15"/>
        <v>15</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f t="shared" si="130"/>
        <v>14445</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15</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456" t="str">
        <f t="shared" si="213"/>
        <v/>
      </c>
      <c r="IA21" s="1456" t="str">
        <f t="shared" si="214"/>
        <v/>
      </c>
      <c r="IB21" s="1456">
        <f t="shared" si="215"/>
        <v>15</v>
      </c>
      <c r="IC21" s="1456" t="str">
        <f t="shared" si="216"/>
        <v/>
      </c>
      <c r="ID21" s="1456" t="str">
        <f t="shared" si="217"/>
        <v/>
      </c>
      <c r="IE21" s="1456" t="str">
        <f t="shared" si="218"/>
        <v/>
      </c>
      <c r="IF21" s="1456" t="str">
        <f t="shared" si="219"/>
        <v/>
      </c>
      <c r="IG21" s="1456" t="str">
        <f t="shared" si="220"/>
        <v/>
      </c>
      <c r="IH21" s="1456" t="str">
        <f t="shared" si="221"/>
        <v/>
      </c>
      <c r="II21" s="1456" t="str">
        <f t="shared" si="222"/>
        <v/>
      </c>
      <c r="IJ21" s="1456" t="str">
        <f t="shared" si="223"/>
        <v/>
      </c>
      <c r="IK21" s="1456" t="str">
        <f t="shared" si="224"/>
        <v/>
      </c>
      <c r="IL21" s="1456" t="str">
        <f t="shared" si="225"/>
        <v/>
      </c>
      <c r="IM21" s="1456" t="str">
        <f t="shared" si="226"/>
        <v/>
      </c>
      <c r="IN21" s="1456" t="str">
        <f t="shared" si="227"/>
        <v/>
      </c>
      <c r="IO21" s="1456" t="str">
        <f t="shared" si="228"/>
        <v/>
      </c>
      <c r="IP21" s="1456" t="str">
        <f t="shared" si="229"/>
        <v/>
      </c>
      <c r="IQ21" s="1456" t="str">
        <f t="shared" si="230"/>
        <v/>
      </c>
      <c r="IR21" s="1456" t="str">
        <f t="shared" si="231"/>
        <v/>
      </c>
      <c r="IS21" s="1456" t="str">
        <f t="shared" si="232"/>
        <v/>
      </c>
      <c r="IT21" s="1456" t="str">
        <f t="shared" si="233"/>
        <v/>
      </c>
      <c r="IU21" s="1456" t="str">
        <f t="shared" si="234"/>
        <v/>
      </c>
      <c r="IV21" s="1456" t="str">
        <f t="shared" si="235"/>
        <v/>
      </c>
      <c r="IW21" s="1456" t="str">
        <f t="shared" si="236"/>
        <v/>
      </c>
      <c r="IX21" s="1456" t="str">
        <f t="shared" si="237"/>
        <v/>
      </c>
      <c r="IY21" s="1456" t="str">
        <f t="shared" si="238"/>
        <v/>
      </c>
      <c r="IZ21" s="1456" t="str">
        <f t="shared" si="239"/>
        <v/>
      </c>
      <c r="JA21" s="1456" t="str">
        <f t="shared" si="240"/>
        <v/>
      </c>
      <c r="JB21" s="1456" t="str">
        <f t="shared" si="241"/>
        <v/>
      </c>
      <c r="JC21" s="1456" t="str">
        <f t="shared" si="242"/>
        <v/>
      </c>
      <c r="JD21" s="1456" t="str">
        <f t="shared" si="243"/>
        <v/>
      </c>
      <c r="JE21" s="1456" t="str">
        <f t="shared" si="244"/>
        <v/>
      </c>
      <c r="JF21" s="1456" t="str">
        <f t="shared" si="245"/>
        <v/>
      </c>
      <c r="JG21" s="1456" t="str">
        <f t="shared" si="246"/>
        <v/>
      </c>
      <c r="JH21" s="1456" t="str">
        <f t="shared" si="247"/>
        <v/>
      </c>
      <c r="JI21" s="1456" t="str">
        <f t="shared" si="248"/>
        <v/>
      </c>
      <c r="JJ21" s="1456" t="str">
        <f t="shared" si="249"/>
        <v/>
      </c>
      <c r="JK21" s="1456" t="str">
        <f t="shared" si="250"/>
        <v/>
      </c>
      <c r="JL21" s="1456" t="str">
        <f t="shared" si="251"/>
        <v/>
      </c>
      <c r="JM21" s="1456" t="str">
        <f t="shared" si="252"/>
        <v/>
      </c>
      <c r="JN21" s="1456" t="str">
        <f t="shared" si="253"/>
        <v/>
      </c>
      <c r="JO21" s="1456" t="str">
        <f t="shared" si="254"/>
        <v/>
      </c>
      <c r="JP21" s="1456" t="str">
        <f t="shared" si="255"/>
        <v/>
      </c>
      <c r="JQ21" s="1456" t="str">
        <f t="shared" si="256"/>
        <v/>
      </c>
      <c r="JR21" s="1456" t="str">
        <f t="shared" si="257"/>
        <v/>
      </c>
      <c r="JS21" s="1456" t="str">
        <f t="shared" si="258"/>
        <v/>
      </c>
      <c r="JT21" s="1456" t="str">
        <f t="shared" si="259"/>
        <v/>
      </c>
      <c r="JU21" s="1456" t="str">
        <f t="shared" si="260"/>
        <v/>
      </c>
      <c r="JV21" s="1456" t="str">
        <f t="shared" si="261"/>
        <v/>
      </c>
      <c r="JW21" s="1456" t="str">
        <f t="shared" si="262"/>
        <v/>
      </c>
      <c r="JX21" s="1456" t="str">
        <f t="shared" si="263"/>
        <v/>
      </c>
      <c r="JY21" s="1456" t="str">
        <f t="shared" si="264"/>
        <v/>
      </c>
      <c r="JZ21" s="1456">
        <f t="shared" si="265"/>
        <v>15</v>
      </c>
      <c r="KA21" s="1456" t="str">
        <f t="shared" si="266"/>
        <v/>
      </c>
      <c r="KB21" s="1456" t="str">
        <f t="shared" si="267"/>
        <v/>
      </c>
      <c r="KC21" s="1456" t="str">
        <f t="shared" si="268"/>
        <v/>
      </c>
      <c r="KD21" s="1456" t="str">
        <f t="shared" si="269"/>
        <v/>
      </c>
      <c r="KE21" s="1456" t="str">
        <f t="shared" si="270"/>
        <v/>
      </c>
      <c r="KF21" s="1456" t="str">
        <f t="shared" si="271"/>
        <v/>
      </c>
      <c r="KG21" s="1456" t="str">
        <f t="shared" si="272"/>
        <v/>
      </c>
      <c r="KH21" s="1456" t="str">
        <f t="shared" si="273"/>
        <v/>
      </c>
      <c r="KI21" s="1456" t="str">
        <f t="shared" si="274"/>
        <v/>
      </c>
      <c r="KJ21" s="1456" t="str">
        <f t="shared" si="275"/>
        <v/>
      </c>
      <c r="KK21" s="1456" t="str">
        <f t="shared" si="276"/>
        <v/>
      </c>
      <c r="KL21" s="1456" t="str">
        <f t="shared" si="277"/>
        <v/>
      </c>
      <c r="KM21" s="1456" t="str">
        <f t="shared" si="278"/>
        <v/>
      </c>
      <c r="KN21" s="1456" t="str">
        <f t="shared" si="279"/>
        <v/>
      </c>
      <c r="KO21" s="1456" t="str">
        <f t="shared" si="280"/>
        <v/>
      </c>
      <c r="KP21" s="1456" t="str">
        <f t="shared" si="281"/>
        <v/>
      </c>
      <c r="KQ21" s="1456" t="str">
        <f t="shared" si="282"/>
        <v/>
      </c>
      <c r="KR21" s="1456" t="str">
        <f t="shared" si="283"/>
        <v/>
      </c>
      <c r="KS21" s="1456" t="str">
        <f t="shared" si="284"/>
        <v/>
      </c>
      <c r="KT21" s="1456" t="str">
        <f t="shared" si="285"/>
        <v/>
      </c>
      <c r="KU21" s="1456" t="str">
        <f t="shared" si="286"/>
        <v/>
      </c>
      <c r="KV21" s="1456" t="str">
        <f t="shared" si="287"/>
        <v/>
      </c>
      <c r="KW21" s="1456" t="str">
        <f t="shared" si="288"/>
        <v/>
      </c>
      <c r="KX21" s="1456" t="str">
        <f t="shared" si="289"/>
        <v/>
      </c>
      <c r="KY21" s="1456" t="str">
        <f t="shared" si="290"/>
        <v/>
      </c>
      <c r="KZ21" s="1456" t="str">
        <f t="shared" si="291"/>
        <v/>
      </c>
      <c r="LA21" s="1456" t="str">
        <f t="shared" si="292"/>
        <v/>
      </c>
      <c r="LB21" s="1456" t="str">
        <f t="shared" si="293"/>
        <v/>
      </c>
      <c r="LC21" s="1456" t="str">
        <f t="shared" si="294"/>
        <v/>
      </c>
      <c r="LD21" s="1456" t="str">
        <f t="shared" si="295"/>
        <v/>
      </c>
      <c r="LE21" s="1456" t="str">
        <f t="shared" si="296"/>
        <v/>
      </c>
      <c r="LF21" s="1456" t="str">
        <f t="shared" si="297"/>
        <v/>
      </c>
      <c r="LG21" s="1446" t="str">
        <f t="shared" si="298"/>
        <v/>
      </c>
      <c r="LH21" s="1446" t="str">
        <f t="shared" si="299"/>
        <v/>
      </c>
      <c r="LI21" s="1446" t="str">
        <f t="shared" si="300"/>
        <v/>
      </c>
      <c r="LJ21" s="1446" t="str">
        <f t="shared" si="301"/>
        <v/>
      </c>
      <c r="LK21" s="1446"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318">
        <f t="shared" si="323"/>
        <v>0</v>
      </c>
      <c r="MG21" s="1318">
        <f t="shared" si="324"/>
        <v>0</v>
      </c>
      <c r="MH21" s="1318">
        <f t="shared" si="325"/>
        <v>0</v>
      </c>
      <c r="MI21" s="1318">
        <f t="shared" si="326"/>
        <v>0</v>
      </c>
      <c r="MJ21" s="1318">
        <f t="shared" si="327"/>
        <v>0</v>
      </c>
      <c r="MK21" s="1318">
        <f t="shared" si="333"/>
        <v>0</v>
      </c>
      <c r="ML21" s="1318">
        <f t="shared" si="334"/>
        <v>0</v>
      </c>
      <c r="MM21" s="1318">
        <f t="shared" si="335"/>
        <v>15</v>
      </c>
      <c r="MN21" s="1318">
        <f t="shared" si="336"/>
        <v>0</v>
      </c>
      <c r="MO21" s="1318">
        <f t="shared" si="337"/>
        <v>0</v>
      </c>
      <c r="MP21" s="1318">
        <f t="shared" si="328"/>
        <v>0</v>
      </c>
      <c r="MQ21" s="1318">
        <f t="shared" si="329"/>
        <v>0</v>
      </c>
      <c r="MR21" s="1318">
        <f t="shared" si="330"/>
        <v>0</v>
      </c>
      <c r="MS21" s="1318">
        <f t="shared" si="331"/>
        <v>0</v>
      </c>
      <c r="MT21" s="1318">
        <f t="shared" si="332"/>
        <v>0</v>
      </c>
      <c r="NP21" s="1292" t="s">
        <v>1162</v>
      </c>
      <c r="NQ21" s="2082">
        <v>21</v>
      </c>
    </row>
    <row r="22" spans="1:381" ht="13.9" customHeight="1">
      <c r="A22" s="53" t="str">
        <f t="shared" si="0"/>
        <v/>
      </c>
      <c r="B22" s="819"/>
      <c r="C22" s="85"/>
      <c r="D22" s="1320"/>
      <c r="E22" s="86"/>
      <c r="F22" s="86"/>
      <c r="G22" s="86"/>
      <c r="H22" s="86"/>
      <c r="I22" s="86"/>
      <c r="J22" s="570">
        <f>IF(C22="",0,HLOOKUP(C22,'Part IV-Utility Allowances'!$I$11:$M$22,12))</f>
        <v>0</v>
      </c>
      <c r="K22" s="486"/>
      <c r="L22" s="339">
        <f t="shared" si="1"/>
        <v>0</v>
      </c>
      <c r="M22" s="339">
        <f t="shared" si="2"/>
        <v>0</v>
      </c>
      <c r="N22" s="523"/>
      <c r="O22" s="1256"/>
      <c r="P22" s="523"/>
      <c r="Q22" s="87"/>
      <c r="R22" s="559"/>
      <c r="S22" s="560"/>
      <c r="T22" s="3359"/>
      <c r="U22" s="3360"/>
      <c r="V22" s="3360"/>
      <c r="W22" s="3361"/>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t="str">
        <f t="shared" si="15"/>
        <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t="str">
        <f t="shared" si="130"/>
        <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t="str">
        <f t="shared" si="170"/>
        <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456" t="str">
        <f t="shared" si="213"/>
        <v/>
      </c>
      <c r="IA22" s="1456" t="str">
        <f t="shared" si="214"/>
        <v/>
      </c>
      <c r="IB22" s="1456" t="str">
        <f t="shared" si="215"/>
        <v/>
      </c>
      <c r="IC22" s="1456" t="str">
        <f t="shared" si="216"/>
        <v/>
      </c>
      <c r="ID22" s="1456" t="str">
        <f t="shared" si="217"/>
        <v/>
      </c>
      <c r="IE22" s="1456" t="str">
        <f t="shared" si="218"/>
        <v/>
      </c>
      <c r="IF22" s="1456" t="str">
        <f t="shared" si="219"/>
        <v/>
      </c>
      <c r="IG22" s="1456" t="str">
        <f t="shared" si="220"/>
        <v/>
      </c>
      <c r="IH22" s="1456" t="str">
        <f t="shared" si="221"/>
        <v/>
      </c>
      <c r="II22" s="1456" t="str">
        <f t="shared" si="222"/>
        <v/>
      </c>
      <c r="IJ22" s="1456" t="str">
        <f t="shared" si="223"/>
        <v/>
      </c>
      <c r="IK22" s="1456" t="str">
        <f t="shared" si="224"/>
        <v/>
      </c>
      <c r="IL22" s="1456" t="str">
        <f t="shared" si="225"/>
        <v/>
      </c>
      <c r="IM22" s="1456" t="str">
        <f t="shared" si="226"/>
        <v/>
      </c>
      <c r="IN22" s="1456" t="str">
        <f t="shared" si="227"/>
        <v/>
      </c>
      <c r="IO22" s="1456" t="str">
        <f t="shared" si="228"/>
        <v/>
      </c>
      <c r="IP22" s="1456" t="str">
        <f t="shared" si="229"/>
        <v/>
      </c>
      <c r="IQ22" s="1456" t="str">
        <f t="shared" si="230"/>
        <v/>
      </c>
      <c r="IR22" s="1456" t="str">
        <f t="shared" si="231"/>
        <v/>
      </c>
      <c r="IS22" s="1456" t="str">
        <f t="shared" si="232"/>
        <v/>
      </c>
      <c r="IT22" s="1456" t="str">
        <f t="shared" si="233"/>
        <v/>
      </c>
      <c r="IU22" s="1456" t="str">
        <f t="shared" si="234"/>
        <v/>
      </c>
      <c r="IV22" s="1456" t="str">
        <f t="shared" si="235"/>
        <v/>
      </c>
      <c r="IW22" s="1456" t="str">
        <f t="shared" si="236"/>
        <v/>
      </c>
      <c r="IX22" s="1456" t="str">
        <f t="shared" si="237"/>
        <v/>
      </c>
      <c r="IY22" s="1456" t="str">
        <f t="shared" si="238"/>
        <v/>
      </c>
      <c r="IZ22" s="1456" t="str">
        <f t="shared" si="239"/>
        <v/>
      </c>
      <c r="JA22" s="1456" t="str">
        <f t="shared" si="240"/>
        <v/>
      </c>
      <c r="JB22" s="1456" t="str">
        <f t="shared" si="241"/>
        <v/>
      </c>
      <c r="JC22" s="1456" t="str">
        <f t="shared" si="242"/>
        <v/>
      </c>
      <c r="JD22" s="1456" t="str">
        <f t="shared" si="243"/>
        <v/>
      </c>
      <c r="JE22" s="1456" t="str">
        <f t="shared" si="244"/>
        <v/>
      </c>
      <c r="JF22" s="1456" t="str">
        <f t="shared" si="245"/>
        <v/>
      </c>
      <c r="JG22" s="1456" t="str">
        <f t="shared" si="246"/>
        <v/>
      </c>
      <c r="JH22" s="1456" t="str">
        <f t="shared" si="247"/>
        <v/>
      </c>
      <c r="JI22" s="1456" t="str">
        <f t="shared" si="248"/>
        <v/>
      </c>
      <c r="JJ22" s="1456" t="str">
        <f t="shared" si="249"/>
        <v/>
      </c>
      <c r="JK22" s="1456" t="str">
        <f t="shared" si="250"/>
        <v/>
      </c>
      <c r="JL22" s="1456" t="str">
        <f t="shared" si="251"/>
        <v/>
      </c>
      <c r="JM22" s="1456" t="str">
        <f t="shared" si="252"/>
        <v/>
      </c>
      <c r="JN22" s="1456" t="str">
        <f t="shared" si="253"/>
        <v/>
      </c>
      <c r="JO22" s="1456" t="str">
        <f t="shared" si="254"/>
        <v/>
      </c>
      <c r="JP22" s="1456" t="str">
        <f t="shared" si="255"/>
        <v/>
      </c>
      <c r="JQ22" s="1456" t="str">
        <f t="shared" si="256"/>
        <v/>
      </c>
      <c r="JR22" s="1456" t="str">
        <f t="shared" si="257"/>
        <v/>
      </c>
      <c r="JS22" s="1456" t="str">
        <f t="shared" si="258"/>
        <v/>
      </c>
      <c r="JT22" s="1456" t="str">
        <f t="shared" si="259"/>
        <v/>
      </c>
      <c r="JU22" s="1456" t="str">
        <f t="shared" si="260"/>
        <v/>
      </c>
      <c r="JV22" s="1456" t="str">
        <f t="shared" si="261"/>
        <v/>
      </c>
      <c r="JW22" s="1456" t="str">
        <f t="shared" si="262"/>
        <v/>
      </c>
      <c r="JX22" s="1456" t="str">
        <f t="shared" si="263"/>
        <v/>
      </c>
      <c r="JY22" s="1456" t="str">
        <f t="shared" si="264"/>
        <v/>
      </c>
      <c r="JZ22" s="1456" t="str">
        <f t="shared" si="265"/>
        <v/>
      </c>
      <c r="KA22" s="1456" t="str">
        <f t="shared" si="266"/>
        <v/>
      </c>
      <c r="KB22" s="1456" t="str">
        <f t="shared" si="267"/>
        <v/>
      </c>
      <c r="KC22" s="1456" t="str">
        <f t="shared" si="268"/>
        <v/>
      </c>
      <c r="KD22" s="1456" t="str">
        <f t="shared" si="269"/>
        <v/>
      </c>
      <c r="KE22" s="1456" t="str">
        <f t="shared" si="270"/>
        <v/>
      </c>
      <c r="KF22" s="1456" t="str">
        <f t="shared" si="271"/>
        <v/>
      </c>
      <c r="KG22" s="1456" t="str">
        <f t="shared" si="272"/>
        <v/>
      </c>
      <c r="KH22" s="1456" t="str">
        <f t="shared" si="273"/>
        <v/>
      </c>
      <c r="KI22" s="1456" t="str">
        <f t="shared" si="274"/>
        <v/>
      </c>
      <c r="KJ22" s="1456" t="str">
        <f t="shared" si="275"/>
        <v/>
      </c>
      <c r="KK22" s="1456" t="str">
        <f t="shared" si="276"/>
        <v/>
      </c>
      <c r="KL22" s="1456" t="str">
        <f t="shared" si="277"/>
        <v/>
      </c>
      <c r="KM22" s="1456" t="str">
        <f t="shared" si="278"/>
        <v/>
      </c>
      <c r="KN22" s="1456" t="str">
        <f t="shared" si="279"/>
        <v/>
      </c>
      <c r="KO22" s="1456" t="str">
        <f t="shared" si="280"/>
        <v/>
      </c>
      <c r="KP22" s="1456" t="str">
        <f t="shared" si="281"/>
        <v/>
      </c>
      <c r="KQ22" s="1456" t="str">
        <f t="shared" si="282"/>
        <v/>
      </c>
      <c r="KR22" s="1456" t="str">
        <f t="shared" si="283"/>
        <v/>
      </c>
      <c r="KS22" s="1456" t="str">
        <f t="shared" si="284"/>
        <v/>
      </c>
      <c r="KT22" s="1456" t="str">
        <f t="shared" si="285"/>
        <v/>
      </c>
      <c r="KU22" s="1456" t="str">
        <f t="shared" si="286"/>
        <v/>
      </c>
      <c r="KV22" s="1456" t="str">
        <f t="shared" si="287"/>
        <v/>
      </c>
      <c r="KW22" s="1456" t="str">
        <f t="shared" si="288"/>
        <v/>
      </c>
      <c r="KX22" s="1456" t="str">
        <f t="shared" si="289"/>
        <v/>
      </c>
      <c r="KY22" s="1456" t="str">
        <f t="shared" si="290"/>
        <v/>
      </c>
      <c r="KZ22" s="1456" t="str">
        <f t="shared" si="291"/>
        <v/>
      </c>
      <c r="LA22" s="1456" t="str">
        <f t="shared" si="292"/>
        <v/>
      </c>
      <c r="LB22" s="1456" t="str">
        <f t="shared" si="293"/>
        <v/>
      </c>
      <c r="LC22" s="1456" t="str">
        <f t="shared" si="294"/>
        <v/>
      </c>
      <c r="LD22" s="1456" t="str">
        <f t="shared" si="295"/>
        <v/>
      </c>
      <c r="LE22" s="1456" t="str">
        <f t="shared" si="296"/>
        <v/>
      </c>
      <c r="LF22" s="1456" t="str">
        <f t="shared" si="297"/>
        <v/>
      </c>
      <c r="LG22" s="1446" t="str">
        <f t="shared" si="298"/>
        <v/>
      </c>
      <c r="LH22" s="1446" t="str">
        <f t="shared" si="299"/>
        <v/>
      </c>
      <c r="LI22" s="1446" t="str">
        <f t="shared" si="300"/>
        <v/>
      </c>
      <c r="LJ22" s="1446" t="str">
        <f t="shared" si="301"/>
        <v/>
      </c>
      <c r="LK22" s="1446"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318">
        <f t="shared" si="323"/>
        <v>0</v>
      </c>
      <c r="MG22" s="1318">
        <f t="shared" si="324"/>
        <v>0</v>
      </c>
      <c r="MH22" s="1318">
        <f t="shared" si="325"/>
        <v>0</v>
      </c>
      <c r="MI22" s="1318">
        <f t="shared" si="326"/>
        <v>0</v>
      </c>
      <c r="MJ22" s="1318">
        <f t="shared" si="327"/>
        <v>0</v>
      </c>
      <c r="MK22" s="1318">
        <f t="shared" si="333"/>
        <v>0</v>
      </c>
      <c r="ML22" s="1318">
        <f t="shared" si="334"/>
        <v>0</v>
      </c>
      <c r="MM22" s="1318">
        <f t="shared" si="335"/>
        <v>0</v>
      </c>
      <c r="MN22" s="1318">
        <f t="shared" si="336"/>
        <v>0</v>
      </c>
      <c r="MO22" s="1318">
        <f t="shared" si="337"/>
        <v>0</v>
      </c>
      <c r="MP22" s="1318">
        <f t="shared" si="328"/>
        <v>0</v>
      </c>
      <c r="MQ22" s="1318">
        <f t="shared" si="329"/>
        <v>0</v>
      </c>
      <c r="MR22" s="1318">
        <f t="shared" si="330"/>
        <v>0</v>
      </c>
      <c r="MS22" s="1318">
        <f t="shared" si="331"/>
        <v>0</v>
      </c>
      <c r="MT22" s="1318">
        <f t="shared" si="332"/>
        <v>0</v>
      </c>
      <c r="NP22" s="1292" t="s">
        <v>1163</v>
      </c>
      <c r="NQ22" s="2080">
        <v>22</v>
      </c>
    </row>
    <row r="23" spans="1:381" ht="13.9" customHeight="1">
      <c r="A23" s="53" t="str">
        <f t="shared" si="0"/>
        <v/>
      </c>
      <c r="B23" s="819"/>
      <c r="C23" s="85"/>
      <c r="D23" s="1320"/>
      <c r="E23" s="86"/>
      <c r="F23" s="86"/>
      <c r="G23" s="86"/>
      <c r="H23" s="86"/>
      <c r="I23" s="86"/>
      <c r="J23" s="570">
        <f>IF(C23="",0,HLOOKUP(C23,'Part IV-Utility Allowances'!$I$11:$M$22,12))</f>
        <v>0</v>
      </c>
      <c r="K23" s="486"/>
      <c r="L23" s="339">
        <f t="shared" si="1"/>
        <v>0</v>
      </c>
      <c r="M23" s="339">
        <f t="shared" si="2"/>
        <v>0</v>
      </c>
      <c r="N23" s="523"/>
      <c r="O23" s="1256"/>
      <c r="P23" s="523"/>
      <c r="Q23" s="87"/>
      <c r="R23" s="559"/>
      <c r="S23" s="560"/>
      <c r="T23" s="3359"/>
      <c r="U23" s="3360"/>
      <c r="V23" s="3360"/>
      <c r="W23" s="3361"/>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456" t="str">
        <f t="shared" si="213"/>
        <v/>
      </c>
      <c r="IA23" s="1456" t="str">
        <f t="shared" si="214"/>
        <v/>
      </c>
      <c r="IB23" s="1456" t="str">
        <f t="shared" si="215"/>
        <v/>
      </c>
      <c r="IC23" s="1456" t="str">
        <f t="shared" si="216"/>
        <v/>
      </c>
      <c r="ID23" s="1456" t="str">
        <f t="shared" si="217"/>
        <v/>
      </c>
      <c r="IE23" s="1456" t="str">
        <f t="shared" si="218"/>
        <v/>
      </c>
      <c r="IF23" s="1456" t="str">
        <f t="shared" si="219"/>
        <v/>
      </c>
      <c r="IG23" s="1456" t="str">
        <f t="shared" si="220"/>
        <v/>
      </c>
      <c r="IH23" s="1456" t="str">
        <f t="shared" si="221"/>
        <v/>
      </c>
      <c r="II23" s="1456" t="str">
        <f t="shared" si="222"/>
        <v/>
      </c>
      <c r="IJ23" s="1456" t="str">
        <f t="shared" si="223"/>
        <v/>
      </c>
      <c r="IK23" s="1456" t="str">
        <f t="shared" si="224"/>
        <v/>
      </c>
      <c r="IL23" s="1456" t="str">
        <f t="shared" si="225"/>
        <v/>
      </c>
      <c r="IM23" s="1456" t="str">
        <f t="shared" si="226"/>
        <v/>
      </c>
      <c r="IN23" s="1456" t="str">
        <f t="shared" si="227"/>
        <v/>
      </c>
      <c r="IO23" s="1456" t="str">
        <f t="shared" si="228"/>
        <v/>
      </c>
      <c r="IP23" s="1456" t="str">
        <f t="shared" si="229"/>
        <v/>
      </c>
      <c r="IQ23" s="1456" t="str">
        <f t="shared" si="230"/>
        <v/>
      </c>
      <c r="IR23" s="1456" t="str">
        <f t="shared" si="231"/>
        <v/>
      </c>
      <c r="IS23" s="1456" t="str">
        <f t="shared" si="232"/>
        <v/>
      </c>
      <c r="IT23" s="1456" t="str">
        <f t="shared" si="233"/>
        <v/>
      </c>
      <c r="IU23" s="1456" t="str">
        <f t="shared" si="234"/>
        <v/>
      </c>
      <c r="IV23" s="1456" t="str">
        <f t="shared" si="235"/>
        <v/>
      </c>
      <c r="IW23" s="1456" t="str">
        <f t="shared" si="236"/>
        <v/>
      </c>
      <c r="IX23" s="1456" t="str">
        <f t="shared" si="237"/>
        <v/>
      </c>
      <c r="IY23" s="1456" t="str">
        <f t="shared" si="238"/>
        <v/>
      </c>
      <c r="IZ23" s="1456" t="str">
        <f t="shared" si="239"/>
        <v/>
      </c>
      <c r="JA23" s="1456" t="str">
        <f t="shared" si="240"/>
        <v/>
      </c>
      <c r="JB23" s="1456" t="str">
        <f t="shared" si="241"/>
        <v/>
      </c>
      <c r="JC23" s="1456" t="str">
        <f t="shared" si="242"/>
        <v/>
      </c>
      <c r="JD23" s="1456" t="str">
        <f t="shared" si="243"/>
        <v/>
      </c>
      <c r="JE23" s="1456" t="str">
        <f t="shared" si="244"/>
        <v/>
      </c>
      <c r="JF23" s="1456" t="str">
        <f t="shared" si="245"/>
        <v/>
      </c>
      <c r="JG23" s="1456" t="str">
        <f t="shared" si="246"/>
        <v/>
      </c>
      <c r="JH23" s="1456" t="str">
        <f t="shared" si="247"/>
        <v/>
      </c>
      <c r="JI23" s="1456" t="str">
        <f t="shared" si="248"/>
        <v/>
      </c>
      <c r="JJ23" s="1456" t="str">
        <f t="shared" si="249"/>
        <v/>
      </c>
      <c r="JK23" s="1456" t="str">
        <f t="shared" si="250"/>
        <v/>
      </c>
      <c r="JL23" s="1456" t="str">
        <f t="shared" si="251"/>
        <v/>
      </c>
      <c r="JM23" s="1456" t="str">
        <f t="shared" si="252"/>
        <v/>
      </c>
      <c r="JN23" s="1456" t="str">
        <f t="shared" si="253"/>
        <v/>
      </c>
      <c r="JO23" s="1456" t="str">
        <f t="shared" si="254"/>
        <v/>
      </c>
      <c r="JP23" s="1456" t="str">
        <f t="shared" si="255"/>
        <v/>
      </c>
      <c r="JQ23" s="1456" t="str">
        <f t="shared" si="256"/>
        <v/>
      </c>
      <c r="JR23" s="1456" t="str">
        <f t="shared" si="257"/>
        <v/>
      </c>
      <c r="JS23" s="1456" t="str">
        <f t="shared" si="258"/>
        <v/>
      </c>
      <c r="JT23" s="1456" t="str">
        <f t="shared" si="259"/>
        <v/>
      </c>
      <c r="JU23" s="1456" t="str">
        <f t="shared" si="260"/>
        <v/>
      </c>
      <c r="JV23" s="1456" t="str">
        <f t="shared" si="261"/>
        <v/>
      </c>
      <c r="JW23" s="1456" t="str">
        <f t="shared" si="262"/>
        <v/>
      </c>
      <c r="JX23" s="1456" t="str">
        <f t="shared" si="263"/>
        <v/>
      </c>
      <c r="JY23" s="1456" t="str">
        <f t="shared" si="264"/>
        <v/>
      </c>
      <c r="JZ23" s="1456" t="str">
        <f t="shared" si="265"/>
        <v/>
      </c>
      <c r="KA23" s="1456" t="str">
        <f t="shared" si="266"/>
        <v/>
      </c>
      <c r="KB23" s="1456" t="str">
        <f t="shared" si="267"/>
        <v/>
      </c>
      <c r="KC23" s="1456" t="str">
        <f t="shared" si="268"/>
        <v/>
      </c>
      <c r="KD23" s="1456" t="str">
        <f t="shared" si="269"/>
        <v/>
      </c>
      <c r="KE23" s="1456" t="str">
        <f t="shared" si="270"/>
        <v/>
      </c>
      <c r="KF23" s="1456" t="str">
        <f t="shared" si="271"/>
        <v/>
      </c>
      <c r="KG23" s="1456" t="str">
        <f t="shared" si="272"/>
        <v/>
      </c>
      <c r="KH23" s="1456" t="str">
        <f t="shared" si="273"/>
        <v/>
      </c>
      <c r="KI23" s="1456" t="str">
        <f t="shared" si="274"/>
        <v/>
      </c>
      <c r="KJ23" s="1456" t="str">
        <f t="shared" si="275"/>
        <v/>
      </c>
      <c r="KK23" s="1456" t="str">
        <f t="shared" si="276"/>
        <v/>
      </c>
      <c r="KL23" s="1456" t="str">
        <f t="shared" si="277"/>
        <v/>
      </c>
      <c r="KM23" s="1456" t="str">
        <f t="shared" si="278"/>
        <v/>
      </c>
      <c r="KN23" s="1456" t="str">
        <f t="shared" si="279"/>
        <v/>
      </c>
      <c r="KO23" s="1456" t="str">
        <f t="shared" si="280"/>
        <v/>
      </c>
      <c r="KP23" s="1456" t="str">
        <f t="shared" si="281"/>
        <v/>
      </c>
      <c r="KQ23" s="1456" t="str">
        <f t="shared" si="282"/>
        <v/>
      </c>
      <c r="KR23" s="1456" t="str">
        <f t="shared" si="283"/>
        <v/>
      </c>
      <c r="KS23" s="1456" t="str">
        <f t="shared" si="284"/>
        <v/>
      </c>
      <c r="KT23" s="1456" t="str">
        <f t="shared" si="285"/>
        <v/>
      </c>
      <c r="KU23" s="1456" t="str">
        <f t="shared" si="286"/>
        <v/>
      </c>
      <c r="KV23" s="1456" t="str">
        <f t="shared" si="287"/>
        <v/>
      </c>
      <c r="KW23" s="1456" t="str">
        <f t="shared" si="288"/>
        <v/>
      </c>
      <c r="KX23" s="1456" t="str">
        <f t="shared" si="289"/>
        <v/>
      </c>
      <c r="KY23" s="1456" t="str">
        <f t="shared" si="290"/>
        <v/>
      </c>
      <c r="KZ23" s="1456" t="str">
        <f t="shared" si="291"/>
        <v/>
      </c>
      <c r="LA23" s="1456" t="str">
        <f t="shared" si="292"/>
        <v/>
      </c>
      <c r="LB23" s="1456" t="str">
        <f t="shared" si="293"/>
        <v/>
      </c>
      <c r="LC23" s="1456" t="str">
        <f t="shared" si="294"/>
        <v/>
      </c>
      <c r="LD23" s="1456" t="str">
        <f t="shared" si="295"/>
        <v/>
      </c>
      <c r="LE23" s="1456" t="str">
        <f t="shared" si="296"/>
        <v/>
      </c>
      <c r="LF23" s="1456" t="str">
        <f t="shared" si="297"/>
        <v/>
      </c>
      <c r="LG23" s="1446" t="str">
        <f t="shared" si="298"/>
        <v/>
      </c>
      <c r="LH23" s="1446" t="str">
        <f t="shared" si="299"/>
        <v/>
      </c>
      <c r="LI23" s="1446" t="str">
        <f t="shared" si="300"/>
        <v/>
      </c>
      <c r="LJ23" s="1446" t="str">
        <f t="shared" si="301"/>
        <v/>
      </c>
      <c r="LK23" s="1446"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318">
        <f t="shared" si="323"/>
        <v>0</v>
      </c>
      <c r="MG23" s="1318">
        <f t="shared" si="324"/>
        <v>0</v>
      </c>
      <c r="MH23" s="1318">
        <f t="shared" si="325"/>
        <v>0</v>
      </c>
      <c r="MI23" s="1318">
        <f t="shared" si="326"/>
        <v>0</v>
      </c>
      <c r="MJ23" s="1318">
        <f t="shared" si="327"/>
        <v>0</v>
      </c>
      <c r="MK23" s="1318">
        <f t="shared" si="333"/>
        <v>0</v>
      </c>
      <c r="ML23" s="1318">
        <f t="shared" si="334"/>
        <v>0</v>
      </c>
      <c r="MM23" s="1318">
        <f t="shared" si="335"/>
        <v>0</v>
      </c>
      <c r="MN23" s="1318">
        <f t="shared" si="336"/>
        <v>0</v>
      </c>
      <c r="MO23" s="1318">
        <f t="shared" si="337"/>
        <v>0</v>
      </c>
      <c r="MP23" s="1318">
        <f t="shared" si="328"/>
        <v>0</v>
      </c>
      <c r="MQ23" s="1318">
        <f t="shared" si="329"/>
        <v>0</v>
      </c>
      <c r="MR23" s="1318">
        <f t="shared" si="330"/>
        <v>0</v>
      </c>
      <c r="MS23" s="1318">
        <f t="shared" si="331"/>
        <v>0</v>
      </c>
      <c r="MT23" s="1318">
        <f t="shared" si="332"/>
        <v>0</v>
      </c>
      <c r="NP23" s="1292" t="s">
        <v>1164</v>
      </c>
      <c r="NQ23" s="2082">
        <v>23</v>
      </c>
    </row>
    <row r="24" spans="1:381" ht="13.9" customHeight="1">
      <c r="A24" s="53" t="str">
        <f t="shared" si="0"/>
        <v/>
      </c>
      <c r="B24" s="819"/>
      <c r="C24" s="85"/>
      <c r="D24" s="1320"/>
      <c r="E24" s="86"/>
      <c r="F24" s="86"/>
      <c r="G24" s="86"/>
      <c r="H24" s="86"/>
      <c r="I24" s="86"/>
      <c r="J24" s="570">
        <f>IF(C24="",0,HLOOKUP(C24,'Part IV-Utility Allowances'!$I$11:$M$22,12))</f>
        <v>0</v>
      </c>
      <c r="K24" s="486"/>
      <c r="L24" s="339">
        <f t="shared" si="1"/>
        <v>0</v>
      </c>
      <c r="M24" s="339">
        <f t="shared" si="2"/>
        <v>0</v>
      </c>
      <c r="N24" s="523"/>
      <c r="O24" s="1256"/>
      <c r="P24" s="523"/>
      <c r="Q24" s="87"/>
      <c r="R24" s="559"/>
      <c r="S24" s="560"/>
      <c r="T24" s="3359"/>
      <c r="U24" s="3360"/>
      <c r="V24" s="3360"/>
      <c r="W24" s="3361"/>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456" t="str">
        <f t="shared" si="213"/>
        <v/>
      </c>
      <c r="IA24" s="1456" t="str">
        <f t="shared" si="214"/>
        <v/>
      </c>
      <c r="IB24" s="1456" t="str">
        <f t="shared" si="215"/>
        <v/>
      </c>
      <c r="IC24" s="1456" t="str">
        <f t="shared" si="216"/>
        <v/>
      </c>
      <c r="ID24" s="1456" t="str">
        <f t="shared" si="217"/>
        <v/>
      </c>
      <c r="IE24" s="1456" t="str">
        <f t="shared" si="218"/>
        <v/>
      </c>
      <c r="IF24" s="1456" t="str">
        <f t="shared" si="219"/>
        <v/>
      </c>
      <c r="IG24" s="1456" t="str">
        <f t="shared" si="220"/>
        <v/>
      </c>
      <c r="IH24" s="1456" t="str">
        <f t="shared" si="221"/>
        <v/>
      </c>
      <c r="II24" s="1456" t="str">
        <f t="shared" si="222"/>
        <v/>
      </c>
      <c r="IJ24" s="1456" t="str">
        <f t="shared" si="223"/>
        <v/>
      </c>
      <c r="IK24" s="1456" t="str">
        <f t="shared" si="224"/>
        <v/>
      </c>
      <c r="IL24" s="1456" t="str">
        <f t="shared" si="225"/>
        <v/>
      </c>
      <c r="IM24" s="1456" t="str">
        <f t="shared" si="226"/>
        <v/>
      </c>
      <c r="IN24" s="1456" t="str">
        <f t="shared" si="227"/>
        <v/>
      </c>
      <c r="IO24" s="1456" t="str">
        <f t="shared" si="228"/>
        <v/>
      </c>
      <c r="IP24" s="1456" t="str">
        <f t="shared" si="229"/>
        <v/>
      </c>
      <c r="IQ24" s="1456" t="str">
        <f t="shared" si="230"/>
        <v/>
      </c>
      <c r="IR24" s="1456" t="str">
        <f t="shared" si="231"/>
        <v/>
      </c>
      <c r="IS24" s="1456" t="str">
        <f t="shared" si="232"/>
        <v/>
      </c>
      <c r="IT24" s="1456" t="str">
        <f t="shared" si="233"/>
        <v/>
      </c>
      <c r="IU24" s="1456" t="str">
        <f t="shared" si="234"/>
        <v/>
      </c>
      <c r="IV24" s="1456" t="str">
        <f t="shared" si="235"/>
        <v/>
      </c>
      <c r="IW24" s="1456" t="str">
        <f t="shared" si="236"/>
        <v/>
      </c>
      <c r="IX24" s="1456" t="str">
        <f t="shared" si="237"/>
        <v/>
      </c>
      <c r="IY24" s="1456" t="str">
        <f t="shared" si="238"/>
        <v/>
      </c>
      <c r="IZ24" s="1456" t="str">
        <f t="shared" si="239"/>
        <v/>
      </c>
      <c r="JA24" s="1456" t="str">
        <f t="shared" si="240"/>
        <v/>
      </c>
      <c r="JB24" s="1456" t="str">
        <f t="shared" si="241"/>
        <v/>
      </c>
      <c r="JC24" s="1456" t="str">
        <f t="shared" si="242"/>
        <v/>
      </c>
      <c r="JD24" s="1456" t="str">
        <f t="shared" si="243"/>
        <v/>
      </c>
      <c r="JE24" s="1456" t="str">
        <f t="shared" si="244"/>
        <v/>
      </c>
      <c r="JF24" s="1456" t="str">
        <f t="shared" si="245"/>
        <v/>
      </c>
      <c r="JG24" s="1456" t="str">
        <f t="shared" si="246"/>
        <v/>
      </c>
      <c r="JH24" s="1456" t="str">
        <f t="shared" si="247"/>
        <v/>
      </c>
      <c r="JI24" s="1456" t="str">
        <f t="shared" si="248"/>
        <v/>
      </c>
      <c r="JJ24" s="1456" t="str">
        <f t="shared" si="249"/>
        <v/>
      </c>
      <c r="JK24" s="1456" t="str">
        <f t="shared" si="250"/>
        <v/>
      </c>
      <c r="JL24" s="1456" t="str">
        <f t="shared" si="251"/>
        <v/>
      </c>
      <c r="JM24" s="1456" t="str">
        <f t="shared" si="252"/>
        <v/>
      </c>
      <c r="JN24" s="1456" t="str">
        <f t="shared" si="253"/>
        <v/>
      </c>
      <c r="JO24" s="1456" t="str">
        <f t="shared" si="254"/>
        <v/>
      </c>
      <c r="JP24" s="1456" t="str">
        <f t="shared" si="255"/>
        <v/>
      </c>
      <c r="JQ24" s="1456" t="str">
        <f t="shared" si="256"/>
        <v/>
      </c>
      <c r="JR24" s="1456" t="str">
        <f t="shared" si="257"/>
        <v/>
      </c>
      <c r="JS24" s="1456" t="str">
        <f t="shared" si="258"/>
        <v/>
      </c>
      <c r="JT24" s="1456" t="str">
        <f t="shared" si="259"/>
        <v/>
      </c>
      <c r="JU24" s="1456" t="str">
        <f t="shared" si="260"/>
        <v/>
      </c>
      <c r="JV24" s="1456" t="str">
        <f t="shared" si="261"/>
        <v/>
      </c>
      <c r="JW24" s="1456" t="str">
        <f t="shared" si="262"/>
        <v/>
      </c>
      <c r="JX24" s="1456" t="str">
        <f t="shared" si="263"/>
        <v/>
      </c>
      <c r="JY24" s="1456" t="str">
        <f t="shared" si="264"/>
        <v/>
      </c>
      <c r="JZ24" s="1456" t="str">
        <f t="shared" si="265"/>
        <v/>
      </c>
      <c r="KA24" s="1456" t="str">
        <f t="shared" si="266"/>
        <v/>
      </c>
      <c r="KB24" s="1456" t="str">
        <f t="shared" si="267"/>
        <v/>
      </c>
      <c r="KC24" s="1456" t="str">
        <f t="shared" si="268"/>
        <v/>
      </c>
      <c r="KD24" s="1456" t="str">
        <f t="shared" si="269"/>
        <v/>
      </c>
      <c r="KE24" s="1456" t="str">
        <f t="shared" si="270"/>
        <v/>
      </c>
      <c r="KF24" s="1456" t="str">
        <f t="shared" si="271"/>
        <v/>
      </c>
      <c r="KG24" s="1456" t="str">
        <f t="shared" si="272"/>
        <v/>
      </c>
      <c r="KH24" s="1456" t="str">
        <f t="shared" si="273"/>
        <v/>
      </c>
      <c r="KI24" s="1456" t="str">
        <f t="shared" si="274"/>
        <v/>
      </c>
      <c r="KJ24" s="1456" t="str">
        <f t="shared" si="275"/>
        <v/>
      </c>
      <c r="KK24" s="1456" t="str">
        <f t="shared" si="276"/>
        <v/>
      </c>
      <c r="KL24" s="1456" t="str">
        <f t="shared" si="277"/>
        <v/>
      </c>
      <c r="KM24" s="1456" t="str">
        <f t="shared" si="278"/>
        <v/>
      </c>
      <c r="KN24" s="1456" t="str">
        <f t="shared" si="279"/>
        <v/>
      </c>
      <c r="KO24" s="1456" t="str">
        <f t="shared" si="280"/>
        <v/>
      </c>
      <c r="KP24" s="1456" t="str">
        <f t="shared" si="281"/>
        <v/>
      </c>
      <c r="KQ24" s="1456" t="str">
        <f t="shared" si="282"/>
        <v/>
      </c>
      <c r="KR24" s="1456" t="str">
        <f t="shared" si="283"/>
        <v/>
      </c>
      <c r="KS24" s="1456" t="str">
        <f t="shared" si="284"/>
        <v/>
      </c>
      <c r="KT24" s="1456" t="str">
        <f t="shared" si="285"/>
        <v/>
      </c>
      <c r="KU24" s="1456" t="str">
        <f t="shared" si="286"/>
        <v/>
      </c>
      <c r="KV24" s="1456" t="str">
        <f t="shared" si="287"/>
        <v/>
      </c>
      <c r="KW24" s="1456" t="str">
        <f t="shared" si="288"/>
        <v/>
      </c>
      <c r="KX24" s="1456" t="str">
        <f t="shared" si="289"/>
        <v/>
      </c>
      <c r="KY24" s="1456" t="str">
        <f t="shared" si="290"/>
        <v/>
      </c>
      <c r="KZ24" s="1456" t="str">
        <f t="shared" si="291"/>
        <v/>
      </c>
      <c r="LA24" s="1456" t="str">
        <f t="shared" si="292"/>
        <v/>
      </c>
      <c r="LB24" s="1456" t="str">
        <f t="shared" si="293"/>
        <v/>
      </c>
      <c r="LC24" s="1456" t="str">
        <f t="shared" si="294"/>
        <v/>
      </c>
      <c r="LD24" s="1456" t="str">
        <f t="shared" si="295"/>
        <v/>
      </c>
      <c r="LE24" s="1456" t="str">
        <f t="shared" si="296"/>
        <v/>
      </c>
      <c r="LF24" s="1456" t="str">
        <f t="shared" si="297"/>
        <v/>
      </c>
      <c r="LG24" s="1446" t="str">
        <f t="shared" si="298"/>
        <v/>
      </c>
      <c r="LH24" s="1446" t="str">
        <f t="shared" si="299"/>
        <v/>
      </c>
      <c r="LI24" s="1446" t="str">
        <f t="shared" si="300"/>
        <v/>
      </c>
      <c r="LJ24" s="1446" t="str">
        <f t="shared" si="301"/>
        <v/>
      </c>
      <c r="LK24" s="1446"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318">
        <f t="shared" si="323"/>
        <v>0</v>
      </c>
      <c r="MG24" s="1318">
        <f t="shared" si="324"/>
        <v>0</v>
      </c>
      <c r="MH24" s="1318">
        <f t="shared" si="325"/>
        <v>0</v>
      </c>
      <c r="MI24" s="1318">
        <f t="shared" si="326"/>
        <v>0</v>
      </c>
      <c r="MJ24" s="1318">
        <f t="shared" si="327"/>
        <v>0</v>
      </c>
      <c r="MK24" s="1318">
        <f t="shared" si="333"/>
        <v>0</v>
      </c>
      <c r="ML24" s="1318">
        <f t="shared" si="334"/>
        <v>0</v>
      </c>
      <c r="MM24" s="1318">
        <f t="shared" si="335"/>
        <v>0</v>
      </c>
      <c r="MN24" s="1318">
        <f t="shared" si="336"/>
        <v>0</v>
      </c>
      <c r="MO24" s="1318">
        <f t="shared" si="337"/>
        <v>0</v>
      </c>
      <c r="MP24" s="1318">
        <f t="shared" si="328"/>
        <v>0</v>
      </c>
      <c r="MQ24" s="1318">
        <f t="shared" si="329"/>
        <v>0</v>
      </c>
      <c r="MR24" s="1318">
        <f t="shared" si="330"/>
        <v>0</v>
      </c>
      <c r="MS24" s="1318">
        <f t="shared" si="331"/>
        <v>0</v>
      </c>
      <c r="MT24" s="1318">
        <f t="shared" si="332"/>
        <v>0</v>
      </c>
      <c r="NP24" s="1292" t="s">
        <v>1165</v>
      </c>
      <c r="NQ24" s="2082">
        <v>24</v>
      </c>
    </row>
    <row r="25" spans="1:381" ht="13.9" customHeight="1">
      <c r="A25" s="53" t="str">
        <f t="shared" si="0"/>
        <v/>
      </c>
      <c r="B25" s="819"/>
      <c r="C25" s="85"/>
      <c r="D25" s="1320"/>
      <c r="E25" s="86"/>
      <c r="F25" s="86"/>
      <c r="G25" s="86"/>
      <c r="H25" s="86"/>
      <c r="I25" s="86"/>
      <c r="J25" s="570">
        <f>IF(C25="",0,HLOOKUP(C25,'Part IV-Utility Allowances'!$I$11:$M$22,12))</f>
        <v>0</v>
      </c>
      <c r="K25" s="486"/>
      <c r="L25" s="339">
        <f t="shared" si="1"/>
        <v>0</v>
      </c>
      <c r="M25" s="339">
        <f t="shared" si="2"/>
        <v>0</v>
      </c>
      <c r="N25" s="523"/>
      <c r="O25" s="1256"/>
      <c r="P25" s="523"/>
      <c r="Q25" s="87"/>
      <c r="R25" s="559"/>
      <c r="S25" s="560"/>
      <c r="T25" s="3359"/>
      <c r="U25" s="3360"/>
      <c r="V25" s="3360"/>
      <c r="W25" s="3361"/>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456" t="str">
        <f t="shared" si="213"/>
        <v/>
      </c>
      <c r="IA25" s="1456" t="str">
        <f t="shared" si="214"/>
        <v/>
      </c>
      <c r="IB25" s="1456" t="str">
        <f t="shared" si="215"/>
        <v/>
      </c>
      <c r="IC25" s="1456" t="str">
        <f t="shared" si="216"/>
        <v/>
      </c>
      <c r="ID25" s="1456" t="str">
        <f t="shared" si="217"/>
        <v/>
      </c>
      <c r="IE25" s="1456" t="str">
        <f t="shared" si="218"/>
        <v/>
      </c>
      <c r="IF25" s="1456" t="str">
        <f t="shared" si="219"/>
        <v/>
      </c>
      <c r="IG25" s="1456" t="str">
        <f t="shared" si="220"/>
        <v/>
      </c>
      <c r="IH25" s="1456" t="str">
        <f t="shared" si="221"/>
        <v/>
      </c>
      <c r="II25" s="1456" t="str">
        <f t="shared" si="222"/>
        <v/>
      </c>
      <c r="IJ25" s="1456" t="str">
        <f t="shared" si="223"/>
        <v/>
      </c>
      <c r="IK25" s="1456" t="str">
        <f t="shared" si="224"/>
        <v/>
      </c>
      <c r="IL25" s="1456" t="str">
        <f t="shared" si="225"/>
        <v/>
      </c>
      <c r="IM25" s="1456" t="str">
        <f t="shared" si="226"/>
        <v/>
      </c>
      <c r="IN25" s="1456" t="str">
        <f t="shared" si="227"/>
        <v/>
      </c>
      <c r="IO25" s="1456" t="str">
        <f t="shared" si="228"/>
        <v/>
      </c>
      <c r="IP25" s="1456" t="str">
        <f t="shared" si="229"/>
        <v/>
      </c>
      <c r="IQ25" s="1456" t="str">
        <f t="shared" si="230"/>
        <v/>
      </c>
      <c r="IR25" s="1456" t="str">
        <f t="shared" si="231"/>
        <v/>
      </c>
      <c r="IS25" s="1456" t="str">
        <f t="shared" si="232"/>
        <v/>
      </c>
      <c r="IT25" s="1456" t="str">
        <f t="shared" si="233"/>
        <v/>
      </c>
      <c r="IU25" s="1456" t="str">
        <f t="shared" si="234"/>
        <v/>
      </c>
      <c r="IV25" s="1456" t="str">
        <f t="shared" si="235"/>
        <v/>
      </c>
      <c r="IW25" s="1456" t="str">
        <f t="shared" si="236"/>
        <v/>
      </c>
      <c r="IX25" s="1456" t="str">
        <f t="shared" si="237"/>
        <v/>
      </c>
      <c r="IY25" s="1456" t="str">
        <f t="shared" si="238"/>
        <v/>
      </c>
      <c r="IZ25" s="1456" t="str">
        <f t="shared" si="239"/>
        <v/>
      </c>
      <c r="JA25" s="1456" t="str">
        <f t="shared" si="240"/>
        <v/>
      </c>
      <c r="JB25" s="1456" t="str">
        <f t="shared" si="241"/>
        <v/>
      </c>
      <c r="JC25" s="1456" t="str">
        <f t="shared" si="242"/>
        <v/>
      </c>
      <c r="JD25" s="1456" t="str">
        <f t="shared" si="243"/>
        <v/>
      </c>
      <c r="JE25" s="1456" t="str">
        <f t="shared" si="244"/>
        <v/>
      </c>
      <c r="JF25" s="1456" t="str">
        <f t="shared" si="245"/>
        <v/>
      </c>
      <c r="JG25" s="1456" t="str">
        <f t="shared" si="246"/>
        <v/>
      </c>
      <c r="JH25" s="1456" t="str">
        <f t="shared" si="247"/>
        <v/>
      </c>
      <c r="JI25" s="1456" t="str">
        <f t="shared" si="248"/>
        <v/>
      </c>
      <c r="JJ25" s="1456" t="str">
        <f t="shared" si="249"/>
        <v/>
      </c>
      <c r="JK25" s="1456" t="str">
        <f t="shared" si="250"/>
        <v/>
      </c>
      <c r="JL25" s="1456" t="str">
        <f t="shared" si="251"/>
        <v/>
      </c>
      <c r="JM25" s="1456" t="str">
        <f t="shared" si="252"/>
        <v/>
      </c>
      <c r="JN25" s="1456" t="str">
        <f t="shared" si="253"/>
        <v/>
      </c>
      <c r="JO25" s="1456" t="str">
        <f t="shared" si="254"/>
        <v/>
      </c>
      <c r="JP25" s="1456" t="str">
        <f t="shared" si="255"/>
        <v/>
      </c>
      <c r="JQ25" s="1456" t="str">
        <f t="shared" si="256"/>
        <v/>
      </c>
      <c r="JR25" s="1456" t="str">
        <f t="shared" si="257"/>
        <v/>
      </c>
      <c r="JS25" s="1456" t="str">
        <f t="shared" si="258"/>
        <v/>
      </c>
      <c r="JT25" s="1456" t="str">
        <f t="shared" si="259"/>
        <v/>
      </c>
      <c r="JU25" s="1456" t="str">
        <f t="shared" si="260"/>
        <v/>
      </c>
      <c r="JV25" s="1456" t="str">
        <f t="shared" si="261"/>
        <v/>
      </c>
      <c r="JW25" s="1456" t="str">
        <f t="shared" si="262"/>
        <v/>
      </c>
      <c r="JX25" s="1456" t="str">
        <f t="shared" si="263"/>
        <v/>
      </c>
      <c r="JY25" s="1456" t="str">
        <f t="shared" si="264"/>
        <v/>
      </c>
      <c r="JZ25" s="1456" t="str">
        <f t="shared" si="265"/>
        <v/>
      </c>
      <c r="KA25" s="1456" t="str">
        <f t="shared" si="266"/>
        <v/>
      </c>
      <c r="KB25" s="1456" t="str">
        <f t="shared" si="267"/>
        <v/>
      </c>
      <c r="KC25" s="1456" t="str">
        <f t="shared" si="268"/>
        <v/>
      </c>
      <c r="KD25" s="1456" t="str">
        <f t="shared" si="269"/>
        <v/>
      </c>
      <c r="KE25" s="1456" t="str">
        <f t="shared" si="270"/>
        <v/>
      </c>
      <c r="KF25" s="1456" t="str">
        <f t="shared" si="271"/>
        <v/>
      </c>
      <c r="KG25" s="1456" t="str">
        <f t="shared" si="272"/>
        <v/>
      </c>
      <c r="KH25" s="1456" t="str">
        <f t="shared" si="273"/>
        <v/>
      </c>
      <c r="KI25" s="1456" t="str">
        <f t="shared" si="274"/>
        <v/>
      </c>
      <c r="KJ25" s="1456" t="str">
        <f t="shared" si="275"/>
        <v/>
      </c>
      <c r="KK25" s="1456" t="str">
        <f t="shared" si="276"/>
        <v/>
      </c>
      <c r="KL25" s="1456" t="str">
        <f t="shared" si="277"/>
        <v/>
      </c>
      <c r="KM25" s="1456" t="str">
        <f t="shared" si="278"/>
        <v/>
      </c>
      <c r="KN25" s="1456" t="str">
        <f t="shared" si="279"/>
        <v/>
      </c>
      <c r="KO25" s="1456" t="str">
        <f t="shared" si="280"/>
        <v/>
      </c>
      <c r="KP25" s="1456" t="str">
        <f t="shared" si="281"/>
        <v/>
      </c>
      <c r="KQ25" s="1456" t="str">
        <f t="shared" si="282"/>
        <v/>
      </c>
      <c r="KR25" s="1456" t="str">
        <f t="shared" si="283"/>
        <v/>
      </c>
      <c r="KS25" s="1456" t="str">
        <f t="shared" si="284"/>
        <v/>
      </c>
      <c r="KT25" s="1456" t="str">
        <f t="shared" si="285"/>
        <v/>
      </c>
      <c r="KU25" s="1456" t="str">
        <f t="shared" si="286"/>
        <v/>
      </c>
      <c r="KV25" s="1456" t="str">
        <f t="shared" si="287"/>
        <v/>
      </c>
      <c r="KW25" s="1456" t="str">
        <f t="shared" si="288"/>
        <v/>
      </c>
      <c r="KX25" s="1456" t="str">
        <f t="shared" si="289"/>
        <v/>
      </c>
      <c r="KY25" s="1456" t="str">
        <f t="shared" si="290"/>
        <v/>
      </c>
      <c r="KZ25" s="1456" t="str">
        <f t="shared" si="291"/>
        <v/>
      </c>
      <c r="LA25" s="1456" t="str">
        <f t="shared" si="292"/>
        <v/>
      </c>
      <c r="LB25" s="1456" t="str">
        <f t="shared" si="293"/>
        <v/>
      </c>
      <c r="LC25" s="1456" t="str">
        <f t="shared" si="294"/>
        <v/>
      </c>
      <c r="LD25" s="1456" t="str">
        <f t="shared" si="295"/>
        <v/>
      </c>
      <c r="LE25" s="1456" t="str">
        <f t="shared" si="296"/>
        <v/>
      </c>
      <c r="LF25" s="1456" t="str">
        <f t="shared" si="297"/>
        <v/>
      </c>
      <c r="LG25" s="1446" t="str">
        <f t="shared" si="298"/>
        <v/>
      </c>
      <c r="LH25" s="1446" t="str">
        <f t="shared" si="299"/>
        <v/>
      </c>
      <c r="LI25" s="1446" t="str">
        <f t="shared" si="300"/>
        <v/>
      </c>
      <c r="LJ25" s="1446" t="str">
        <f t="shared" si="301"/>
        <v/>
      </c>
      <c r="LK25" s="1446"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318">
        <f t="shared" si="323"/>
        <v>0</v>
      </c>
      <c r="MG25" s="1318">
        <f t="shared" si="324"/>
        <v>0</v>
      </c>
      <c r="MH25" s="1318">
        <f t="shared" si="325"/>
        <v>0</v>
      </c>
      <c r="MI25" s="1318">
        <f t="shared" si="326"/>
        <v>0</v>
      </c>
      <c r="MJ25" s="1318">
        <f t="shared" si="327"/>
        <v>0</v>
      </c>
      <c r="MK25" s="1318">
        <f t="shared" si="333"/>
        <v>0</v>
      </c>
      <c r="ML25" s="1318">
        <f t="shared" si="334"/>
        <v>0</v>
      </c>
      <c r="MM25" s="1318">
        <f t="shared" si="335"/>
        <v>0</v>
      </c>
      <c r="MN25" s="1318">
        <f t="shared" si="336"/>
        <v>0</v>
      </c>
      <c r="MO25" s="1318">
        <f t="shared" si="337"/>
        <v>0</v>
      </c>
      <c r="MP25" s="1318">
        <f t="shared" si="328"/>
        <v>0</v>
      </c>
      <c r="MQ25" s="1318">
        <f t="shared" si="329"/>
        <v>0</v>
      </c>
      <c r="MR25" s="1318">
        <f t="shared" si="330"/>
        <v>0</v>
      </c>
      <c r="MS25" s="1318">
        <f t="shared" si="331"/>
        <v>0</v>
      </c>
      <c r="MT25" s="1318">
        <f t="shared" si="332"/>
        <v>0</v>
      </c>
      <c r="NP25" s="1292" t="s">
        <v>1166</v>
      </c>
      <c r="NQ25" s="2080">
        <v>25</v>
      </c>
    </row>
    <row r="26" spans="1:381" ht="13.9" customHeight="1">
      <c r="A26" s="53" t="str">
        <f t="shared" si="0"/>
        <v/>
      </c>
      <c r="B26" s="819"/>
      <c r="C26" s="85"/>
      <c r="D26" s="1320"/>
      <c r="E26" s="86"/>
      <c r="F26" s="86"/>
      <c r="G26" s="86"/>
      <c r="H26" s="86"/>
      <c r="I26" s="86"/>
      <c r="J26" s="570">
        <f>IF(C26="",0,HLOOKUP(C26,'Part IV-Utility Allowances'!$I$11:$M$22,12))</f>
        <v>0</v>
      </c>
      <c r="K26" s="486"/>
      <c r="L26" s="339">
        <f t="shared" si="1"/>
        <v>0</v>
      </c>
      <c r="M26" s="339">
        <f t="shared" si="2"/>
        <v>0</v>
      </c>
      <c r="N26" s="523"/>
      <c r="O26" s="1256"/>
      <c r="P26" s="523"/>
      <c r="Q26" s="87"/>
      <c r="R26" s="559"/>
      <c r="S26" s="560"/>
      <c r="T26" s="3359"/>
      <c r="U26" s="3360"/>
      <c r="V26" s="3360"/>
      <c r="W26" s="3361"/>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456" t="str">
        <f t="shared" si="213"/>
        <v/>
      </c>
      <c r="IA26" s="1456" t="str">
        <f t="shared" si="214"/>
        <v/>
      </c>
      <c r="IB26" s="1456" t="str">
        <f t="shared" si="215"/>
        <v/>
      </c>
      <c r="IC26" s="1456" t="str">
        <f t="shared" si="216"/>
        <v/>
      </c>
      <c r="ID26" s="1456" t="str">
        <f t="shared" si="217"/>
        <v/>
      </c>
      <c r="IE26" s="1456" t="str">
        <f t="shared" si="218"/>
        <v/>
      </c>
      <c r="IF26" s="1456" t="str">
        <f t="shared" si="219"/>
        <v/>
      </c>
      <c r="IG26" s="1456" t="str">
        <f t="shared" si="220"/>
        <v/>
      </c>
      <c r="IH26" s="1456" t="str">
        <f t="shared" si="221"/>
        <v/>
      </c>
      <c r="II26" s="1456" t="str">
        <f t="shared" si="222"/>
        <v/>
      </c>
      <c r="IJ26" s="1456" t="str">
        <f t="shared" si="223"/>
        <v/>
      </c>
      <c r="IK26" s="1456" t="str">
        <f t="shared" si="224"/>
        <v/>
      </c>
      <c r="IL26" s="1456" t="str">
        <f t="shared" si="225"/>
        <v/>
      </c>
      <c r="IM26" s="1456" t="str">
        <f t="shared" si="226"/>
        <v/>
      </c>
      <c r="IN26" s="1456" t="str">
        <f t="shared" si="227"/>
        <v/>
      </c>
      <c r="IO26" s="1456" t="str">
        <f t="shared" si="228"/>
        <v/>
      </c>
      <c r="IP26" s="1456" t="str">
        <f t="shared" si="229"/>
        <v/>
      </c>
      <c r="IQ26" s="1456" t="str">
        <f t="shared" si="230"/>
        <v/>
      </c>
      <c r="IR26" s="1456" t="str">
        <f t="shared" si="231"/>
        <v/>
      </c>
      <c r="IS26" s="1456" t="str">
        <f t="shared" si="232"/>
        <v/>
      </c>
      <c r="IT26" s="1456" t="str">
        <f t="shared" si="233"/>
        <v/>
      </c>
      <c r="IU26" s="1456" t="str">
        <f t="shared" si="234"/>
        <v/>
      </c>
      <c r="IV26" s="1456" t="str">
        <f t="shared" si="235"/>
        <v/>
      </c>
      <c r="IW26" s="1456" t="str">
        <f t="shared" si="236"/>
        <v/>
      </c>
      <c r="IX26" s="1456" t="str">
        <f t="shared" si="237"/>
        <v/>
      </c>
      <c r="IY26" s="1456" t="str">
        <f t="shared" si="238"/>
        <v/>
      </c>
      <c r="IZ26" s="1456" t="str">
        <f t="shared" si="239"/>
        <v/>
      </c>
      <c r="JA26" s="1456" t="str">
        <f t="shared" si="240"/>
        <v/>
      </c>
      <c r="JB26" s="1456" t="str">
        <f t="shared" si="241"/>
        <v/>
      </c>
      <c r="JC26" s="1456" t="str">
        <f t="shared" si="242"/>
        <v/>
      </c>
      <c r="JD26" s="1456" t="str">
        <f t="shared" si="243"/>
        <v/>
      </c>
      <c r="JE26" s="1456" t="str">
        <f t="shared" si="244"/>
        <v/>
      </c>
      <c r="JF26" s="1456" t="str">
        <f t="shared" si="245"/>
        <v/>
      </c>
      <c r="JG26" s="1456" t="str">
        <f t="shared" si="246"/>
        <v/>
      </c>
      <c r="JH26" s="1456" t="str">
        <f t="shared" si="247"/>
        <v/>
      </c>
      <c r="JI26" s="1456" t="str">
        <f t="shared" si="248"/>
        <v/>
      </c>
      <c r="JJ26" s="1456" t="str">
        <f t="shared" si="249"/>
        <v/>
      </c>
      <c r="JK26" s="1456" t="str">
        <f t="shared" si="250"/>
        <v/>
      </c>
      <c r="JL26" s="1456" t="str">
        <f t="shared" si="251"/>
        <v/>
      </c>
      <c r="JM26" s="1456" t="str">
        <f t="shared" si="252"/>
        <v/>
      </c>
      <c r="JN26" s="1456" t="str">
        <f t="shared" si="253"/>
        <v/>
      </c>
      <c r="JO26" s="1456" t="str">
        <f t="shared" si="254"/>
        <v/>
      </c>
      <c r="JP26" s="1456" t="str">
        <f t="shared" si="255"/>
        <v/>
      </c>
      <c r="JQ26" s="1456" t="str">
        <f t="shared" si="256"/>
        <v/>
      </c>
      <c r="JR26" s="1456" t="str">
        <f t="shared" si="257"/>
        <v/>
      </c>
      <c r="JS26" s="1456" t="str">
        <f t="shared" si="258"/>
        <v/>
      </c>
      <c r="JT26" s="1456" t="str">
        <f t="shared" si="259"/>
        <v/>
      </c>
      <c r="JU26" s="1456" t="str">
        <f t="shared" si="260"/>
        <v/>
      </c>
      <c r="JV26" s="1456" t="str">
        <f t="shared" si="261"/>
        <v/>
      </c>
      <c r="JW26" s="1456" t="str">
        <f t="shared" si="262"/>
        <v/>
      </c>
      <c r="JX26" s="1456" t="str">
        <f t="shared" si="263"/>
        <v/>
      </c>
      <c r="JY26" s="1456" t="str">
        <f t="shared" si="264"/>
        <v/>
      </c>
      <c r="JZ26" s="1456" t="str">
        <f t="shared" si="265"/>
        <v/>
      </c>
      <c r="KA26" s="1456" t="str">
        <f t="shared" si="266"/>
        <v/>
      </c>
      <c r="KB26" s="1456" t="str">
        <f t="shared" si="267"/>
        <v/>
      </c>
      <c r="KC26" s="1456" t="str">
        <f t="shared" si="268"/>
        <v/>
      </c>
      <c r="KD26" s="1456" t="str">
        <f t="shared" si="269"/>
        <v/>
      </c>
      <c r="KE26" s="1456" t="str">
        <f t="shared" si="270"/>
        <v/>
      </c>
      <c r="KF26" s="1456" t="str">
        <f t="shared" si="271"/>
        <v/>
      </c>
      <c r="KG26" s="1456" t="str">
        <f t="shared" si="272"/>
        <v/>
      </c>
      <c r="KH26" s="1456" t="str">
        <f t="shared" si="273"/>
        <v/>
      </c>
      <c r="KI26" s="1456" t="str">
        <f t="shared" si="274"/>
        <v/>
      </c>
      <c r="KJ26" s="1456" t="str">
        <f t="shared" si="275"/>
        <v/>
      </c>
      <c r="KK26" s="1456" t="str">
        <f t="shared" si="276"/>
        <v/>
      </c>
      <c r="KL26" s="1456" t="str">
        <f t="shared" si="277"/>
        <v/>
      </c>
      <c r="KM26" s="1456" t="str">
        <f t="shared" si="278"/>
        <v/>
      </c>
      <c r="KN26" s="1456" t="str">
        <f t="shared" si="279"/>
        <v/>
      </c>
      <c r="KO26" s="1456" t="str">
        <f t="shared" si="280"/>
        <v/>
      </c>
      <c r="KP26" s="1456" t="str">
        <f t="shared" si="281"/>
        <v/>
      </c>
      <c r="KQ26" s="1456" t="str">
        <f t="shared" si="282"/>
        <v/>
      </c>
      <c r="KR26" s="1456" t="str">
        <f t="shared" si="283"/>
        <v/>
      </c>
      <c r="KS26" s="1456" t="str">
        <f t="shared" si="284"/>
        <v/>
      </c>
      <c r="KT26" s="1456" t="str">
        <f t="shared" si="285"/>
        <v/>
      </c>
      <c r="KU26" s="1456" t="str">
        <f t="shared" si="286"/>
        <v/>
      </c>
      <c r="KV26" s="1456" t="str">
        <f t="shared" si="287"/>
        <v/>
      </c>
      <c r="KW26" s="1456" t="str">
        <f t="shared" si="288"/>
        <v/>
      </c>
      <c r="KX26" s="1456" t="str">
        <f t="shared" si="289"/>
        <v/>
      </c>
      <c r="KY26" s="1456" t="str">
        <f t="shared" si="290"/>
        <v/>
      </c>
      <c r="KZ26" s="1456" t="str">
        <f t="shared" si="291"/>
        <v/>
      </c>
      <c r="LA26" s="1456" t="str">
        <f t="shared" si="292"/>
        <v/>
      </c>
      <c r="LB26" s="1456" t="str">
        <f t="shared" si="293"/>
        <v/>
      </c>
      <c r="LC26" s="1456" t="str">
        <f t="shared" si="294"/>
        <v/>
      </c>
      <c r="LD26" s="1456" t="str">
        <f t="shared" si="295"/>
        <v/>
      </c>
      <c r="LE26" s="1456" t="str">
        <f t="shared" si="296"/>
        <v/>
      </c>
      <c r="LF26" s="1456" t="str">
        <f t="shared" si="297"/>
        <v/>
      </c>
      <c r="LG26" s="1446" t="str">
        <f t="shared" si="298"/>
        <v/>
      </c>
      <c r="LH26" s="1446" t="str">
        <f t="shared" si="299"/>
        <v/>
      </c>
      <c r="LI26" s="1446" t="str">
        <f t="shared" si="300"/>
        <v/>
      </c>
      <c r="LJ26" s="1446" t="str">
        <f t="shared" si="301"/>
        <v/>
      </c>
      <c r="LK26" s="1446"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318">
        <f t="shared" si="323"/>
        <v>0</v>
      </c>
      <c r="MG26" s="1318">
        <f t="shared" si="324"/>
        <v>0</v>
      </c>
      <c r="MH26" s="1318">
        <f t="shared" si="325"/>
        <v>0</v>
      </c>
      <c r="MI26" s="1318">
        <f t="shared" si="326"/>
        <v>0</v>
      </c>
      <c r="MJ26" s="1318">
        <f t="shared" si="327"/>
        <v>0</v>
      </c>
      <c r="MK26" s="1318">
        <f t="shared" si="333"/>
        <v>0</v>
      </c>
      <c r="ML26" s="1318">
        <f t="shared" si="334"/>
        <v>0</v>
      </c>
      <c r="MM26" s="1318">
        <f t="shared" si="335"/>
        <v>0</v>
      </c>
      <c r="MN26" s="1318">
        <f t="shared" si="336"/>
        <v>0</v>
      </c>
      <c r="MO26" s="1318">
        <f t="shared" si="337"/>
        <v>0</v>
      </c>
      <c r="MP26" s="1318">
        <f t="shared" si="328"/>
        <v>0</v>
      </c>
      <c r="MQ26" s="1318">
        <f t="shared" si="329"/>
        <v>0</v>
      </c>
      <c r="MR26" s="1318">
        <f t="shared" si="330"/>
        <v>0</v>
      </c>
      <c r="MS26" s="1318">
        <f t="shared" si="331"/>
        <v>0</v>
      </c>
      <c r="MT26" s="1318">
        <f t="shared" si="332"/>
        <v>0</v>
      </c>
      <c r="NP26" s="1292" t="s">
        <v>1167</v>
      </c>
      <c r="NQ26" s="2082">
        <v>26</v>
      </c>
    </row>
    <row r="27" spans="1:381" ht="13.9" customHeight="1">
      <c r="A27" s="53" t="str">
        <f t="shared" si="0"/>
        <v/>
      </c>
      <c r="B27" s="819"/>
      <c r="C27" s="85"/>
      <c r="D27" s="1320"/>
      <c r="E27" s="86"/>
      <c r="F27" s="86"/>
      <c r="G27" s="86"/>
      <c r="H27" s="86"/>
      <c r="I27" s="86"/>
      <c r="J27" s="570">
        <f>IF(C27="",0,HLOOKUP(C27,'Part IV-Utility Allowances'!$I$11:$M$22,12))</f>
        <v>0</v>
      </c>
      <c r="K27" s="486"/>
      <c r="L27" s="339">
        <f t="shared" si="1"/>
        <v>0</v>
      </c>
      <c r="M27" s="339">
        <f t="shared" si="2"/>
        <v>0</v>
      </c>
      <c r="N27" s="523"/>
      <c r="O27" s="1256"/>
      <c r="P27" s="523"/>
      <c r="Q27" s="87"/>
      <c r="R27" s="559"/>
      <c r="S27" s="560"/>
      <c r="T27" s="3359"/>
      <c r="U27" s="3360"/>
      <c r="V27" s="3360"/>
      <c r="W27" s="3361"/>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456" t="str">
        <f t="shared" si="213"/>
        <v/>
      </c>
      <c r="IA27" s="1456" t="str">
        <f t="shared" si="214"/>
        <v/>
      </c>
      <c r="IB27" s="1456" t="str">
        <f t="shared" si="215"/>
        <v/>
      </c>
      <c r="IC27" s="1456" t="str">
        <f t="shared" si="216"/>
        <v/>
      </c>
      <c r="ID27" s="1456" t="str">
        <f t="shared" si="217"/>
        <v/>
      </c>
      <c r="IE27" s="1456" t="str">
        <f t="shared" si="218"/>
        <v/>
      </c>
      <c r="IF27" s="1456" t="str">
        <f t="shared" si="219"/>
        <v/>
      </c>
      <c r="IG27" s="1456" t="str">
        <f t="shared" si="220"/>
        <v/>
      </c>
      <c r="IH27" s="1456" t="str">
        <f t="shared" si="221"/>
        <v/>
      </c>
      <c r="II27" s="1456" t="str">
        <f t="shared" si="222"/>
        <v/>
      </c>
      <c r="IJ27" s="1456" t="str">
        <f t="shared" si="223"/>
        <v/>
      </c>
      <c r="IK27" s="1456" t="str">
        <f t="shared" si="224"/>
        <v/>
      </c>
      <c r="IL27" s="1456" t="str">
        <f t="shared" si="225"/>
        <v/>
      </c>
      <c r="IM27" s="1456" t="str">
        <f t="shared" si="226"/>
        <v/>
      </c>
      <c r="IN27" s="1456" t="str">
        <f t="shared" si="227"/>
        <v/>
      </c>
      <c r="IO27" s="1456" t="str">
        <f t="shared" si="228"/>
        <v/>
      </c>
      <c r="IP27" s="1456" t="str">
        <f t="shared" si="229"/>
        <v/>
      </c>
      <c r="IQ27" s="1456" t="str">
        <f t="shared" si="230"/>
        <v/>
      </c>
      <c r="IR27" s="1456" t="str">
        <f t="shared" si="231"/>
        <v/>
      </c>
      <c r="IS27" s="1456" t="str">
        <f t="shared" si="232"/>
        <v/>
      </c>
      <c r="IT27" s="1456" t="str">
        <f t="shared" si="233"/>
        <v/>
      </c>
      <c r="IU27" s="1456" t="str">
        <f t="shared" si="234"/>
        <v/>
      </c>
      <c r="IV27" s="1456" t="str">
        <f t="shared" si="235"/>
        <v/>
      </c>
      <c r="IW27" s="1456" t="str">
        <f t="shared" si="236"/>
        <v/>
      </c>
      <c r="IX27" s="1456" t="str">
        <f t="shared" si="237"/>
        <v/>
      </c>
      <c r="IY27" s="1456" t="str">
        <f t="shared" si="238"/>
        <v/>
      </c>
      <c r="IZ27" s="1456" t="str">
        <f t="shared" si="239"/>
        <v/>
      </c>
      <c r="JA27" s="1456" t="str">
        <f t="shared" si="240"/>
        <v/>
      </c>
      <c r="JB27" s="1456" t="str">
        <f t="shared" si="241"/>
        <v/>
      </c>
      <c r="JC27" s="1456" t="str">
        <f t="shared" si="242"/>
        <v/>
      </c>
      <c r="JD27" s="1456" t="str">
        <f t="shared" si="243"/>
        <v/>
      </c>
      <c r="JE27" s="1456" t="str">
        <f t="shared" si="244"/>
        <v/>
      </c>
      <c r="JF27" s="1456" t="str">
        <f t="shared" si="245"/>
        <v/>
      </c>
      <c r="JG27" s="1456" t="str">
        <f t="shared" si="246"/>
        <v/>
      </c>
      <c r="JH27" s="1456" t="str">
        <f t="shared" si="247"/>
        <v/>
      </c>
      <c r="JI27" s="1456" t="str">
        <f t="shared" si="248"/>
        <v/>
      </c>
      <c r="JJ27" s="1456" t="str">
        <f t="shared" si="249"/>
        <v/>
      </c>
      <c r="JK27" s="1456" t="str">
        <f t="shared" si="250"/>
        <v/>
      </c>
      <c r="JL27" s="1456" t="str">
        <f t="shared" si="251"/>
        <v/>
      </c>
      <c r="JM27" s="1456" t="str">
        <f t="shared" si="252"/>
        <v/>
      </c>
      <c r="JN27" s="1456" t="str">
        <f t="shared" si="253"/>
        <v/>
      </c>
      <c r="JO27" s="1456" t="str">
        <f t="shared" si="254"/>
        <v/>
      </c>
      <c r="JP27" s="1456" t="str">
        <f t="shared" si="255"/>
        <v/>
      </c>
      <c r="JQ27" s="1456" t="str">
        <f t="shared" si="256"/>
        <v/>
      </c>
      <c r="JR27" s="1456" t="str">
        <f t="shared" si="257"/>
        <v/>
      </c>
      <c r="JS27" s="1456" t="str">
        <f t="shared" si="258"/>
        <v/>
      </c>
      <c r="JT27" s="1456" t="str">
        <f t="shared" si="259"/>
        <v/>
      </c>
      <c r="JU27" s="1456" t="str">
        <f t="shared" si="260"/>
        <v/>
      </c>
      <c r="JV27" s="1456" t="str">
        <f t="shared" si="261"/>
        <v/>
      </c>
      <c r="JW27" s="1456" t="str">
        <f t="shared" si="262"/>
        <v/>
      </c>
      <c r="JX27" s="1456" t="str">
        <f t="shared" si="263"/>
        <v/>
      </c>
      <c r="JY27" s="1456" t="str">
        <f t="shared" si="264"/>
        <v/>
      </c>
      <c r="JZ27" s="1456" t="str">
        <f t="shared" si="265"/>
        <v/>
      </c>
      <c r="KA27" s="1456" t="str">
        <f t="shared" si="266"/>
        <v/>
      </c>
      <c r="KB27" s="1456" t="str">
        <f t="shared" si="267"/>
        <v/>
      </c>
      <c r="KC27" s="1456" t="str">
        <f t="shared" si="268"/>
        <v/>
      </c>
      <c r="KD27" s="1456" t="str">
        <f t="shared" si="269"/>
        <v/>
      </c>
      <c r="KE27" s="1456" t="str">
        <f t="shared" si="270"/>
        <v/>
      </c>
      <c r="KF27" s="1456" t="str">
        <f t="shared" si="271"/>
        <v/>
      </c>
      <c r="KG27" s="1456" t="str">
        <f t="shared" si="272"/>
        <v/>
      </c>
      <c r="KH27" s="1456" t="str">
        <f t="shared" si="273"/>
        <v/>
      </c>
      <c r="KI27" s="1456" t="str">
        <f t="shared" si="274"/>
        <v/>
      </c>
      <c r="KJ27" s="1456" t="str">
        <f t="shared" si="275"/>
        <v/>
      </c>
      <c r="KK27" s="1456" t="str">
        <f t="shared" si="276"/>
        <v/>
      </c>
      <c r="KL27" s="1456" t="str">
        <f t="shared" si="277"/>
        <v/>
      </c>
      <c r="KM27" s="1456" t="str">
        <f t="shared" si="278"/>
        <v/>
      </c>
      <c r="KN27" s="1456" t="str">
        <f t="shared" si="279"/>
        <v/>
      </c>
      <c r="KO27" s="1456" t="str">
        <f t="shared" si="280"/>
        <v/>
      </c>
      <c r="KP27" s="1456" t="str">
        <f t="shared" si="281"/>
        <v/>
      </c>
      <c r="KQ27" s="1456" t="str">
        <f t="shared" si="282"/>
        <v/>
      </c>
      <c r="KR27" s="1456" t="str">
        <f t="shared" si="283"/>
        <v/>
      </c>
      <c r="KS27" s="1456" t="str">
        <f t="shared" si="284"/>
        <v/>
      </c>
      <c r="KT27" s="1456" t="str">
        <f t="shared" si="285"/>
        <v/>
      </c>
      <c r="KU27" s="1456" t="str">
        <f t="shared" si="286"/>
        <v/>
      </c>
      <c r="KV27" s="1456" t="str">
        <f t="shared" si="287"/>
        <v/>
      </c>
      <c r="KW27" s="1456" t="str">
        <f t="shared" si="288"/>
        <v/>
      </c>
      <c r="KX27" s="1456" t="str">
        <f t="shared" si="289"/>
        <v/>
      </c>
      <c r="KY27" s="1456" t="str">
        <f t="shared" si="290"/>
        <v/>
      </c>
      <c r="KZ27" s="1456" t="str">
        <f t="shared" si="291"/>
        <v/>
      </c>
      <c r="LA27" s="1456" t="str">
        <f t="shared" si="292"/>
        <v/>
      </c>
      <c r="LB27" s="1456" t="str">
        <f t="shared" si="293"/>
        <v/>
      </c>
      <c r="LC27" s="1456" t="str">
        <f t="shared" si="294"/>
        <v/>
      </c>
      <c r="LD27" s="1456" t="str">
        <f t="shared" si="295"/>
        <v/>
      </c>
      <c r="LE27" s="1456" t="str">
        <f t="shared" si="296"/>
        <v/>
      </c>
      <c r="LF27" s="1456" t="str">
        <f t="shared" si="297"/>
        <v/>
      </c>
      <c r="LG27" s="1446" t="str">
        <f t="shared" si="298"/>
        <v/>
      </c>
      <c r="LH27" s="1446" t="str">
        <f t="shared" si="299"/>
        <v/>
      </c>
      <c r="LI27" s="1446" t="str">
        <f t="shared" si="300"/>
        <v/>
      </c>
      <c r="LJ27" s="1446" t="str">
        <f t="shared" si="301"/>
        <v/>
      </c>
      <c r="LK27" s="1446"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318">
        <f t="shared" si="323"/>
        <v>0</v>
      </c>
      <c r="MG27" s="1318">
        <f t="shared" si="324"/>
        <v>0</v>
      </c>
      <c r="MH27" s="1318">
        <f t="shared" si="325"/>
        <v>0</v>
      </c>
      <c r="MI27" s="1318">
        <f t="shared" si="326"/>
        <v>0</v>
      </c>
      <c r="MJ27" s="1318">
        <f t="shared" si="327"/>
        <v>0</v>
      </c>
      <c r="MK27" s="1318">
        <f t="shared" si="333"/>
        <v>0</v>
      </c>
      <c r="ML27" s="1318">
        <f t="shared" si="334"/>
        <v>0</v>
      </c>
      <c r="MM27" s="1318">
        <f t="shared" si="335"/>
        <v>0</v>
      </c>
      <c r="MN27" s="1318">
        <f t="shared" si="336"/>
        <v>0</v>
      </c>
      <c r="MO27" s="1318">
        <f t="shared" si="337"/>
        <v>0</v>
      </c>
      <c r="MP27" s="1318">
        <f t="shared" si="328"/>
        <v>0</v>
      </c>
      <c r="MQ27" s="1318">
        <f t="shared" si="329"/>
        <v>0</v>
      </c>
      <c r="MR27" s="1318">
        <f t="shared" si="330"/>
        <v>0</v>
      </c>
      <c r="MS27" s="1318">
        <f t="shared" si="331"/>
        <v>0</v>
      </c>
      <c r="MT27" s="1318">
        <f t="shared" si="332"/>
        <v>0</v>
      </c>
      <c r="NP27" s="1292" t="s">
        <v>1168</v>
      </c>
      <c r="NQ27" s="2082">
        <v>27</v>
      </c>
    </row>
    <row r="28" spans="1:381" ht="13.9" customHeight="1">
      <c r="A28" s="53" t="str">
        <f t="shared" si="0"/>
        <v/>
      </c>
      <c r="B28" s="819"/>
      <c r="C28" s="85"/>
      <c r="D28" s="1320"/>
      <c r="E28" s="86"/>
      <c r="F28" s="86"/>
      <c r="G28" s="86"/>
      <c r="H28" s="86"/>
      <c r="I28" s="86"/>
      <c r="J28" s="570">
        <f>IF(C28="",0,HLOOKUP(C28,'Part IV-Utility Allowances'!$I$11:$M$22,12))</f>
        <v>0</v>
      </c>
      <c r="K28" s="486"/>
      <c r="L28" s="339">
        <f t="shared" si="1"/>
        <v>0</v>
      </c>
      <c r="M28" s="339">
        <f t="shared" si="2"/>
        <v>0</v>
      </c>
      <c r="N28" s="523"/>
      <c r="O28" s="1256"/>
      <c r="P28" s="523"/>
      <c r="Q28" s="87"/>
      <c r="R28" s="559"/>
      <c r="S28" s="560"/>
      <c r="T28" s="3359"/>
      <c r="U28" s="3360"/>
      <c r="V28" s="3360"/>
      <c r="W28" s="3361"/>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456" t="str">
        <f t="shared" si="213"/>
        <v/>
      </c>
      <c r="IA28" s="1456" t="str">
        <f t="shared" si="214"/>
        <v/>
      </c>
      <c r="IB28" s="1456" t="str">
        <f t="shared" si="215"/>
        <v/>
      </c>
      <c r="IC28" s="1456" t="str">
        <f t="shared" si="216"/>
        <v/>
      </c>
      <c r="ID28" s="1456" t="str">
        <f t="shared" si="217"/>
        <v/>
      </c>
      <c r="IE28" s="1456" t="str">
        <f t="shared" si="218"/>
        <v/>
      </c>
      <c r="IF28" s="1456" t="str">
        <f t="shared" si="219"/>
        <v/>
      </c>
      <c r="IG28" s="1456" t="str">
        <f t="shared" si="220"/>
        <v/>
      </c>
      <c r="IH28" s="1456" t="str">
        <f t="shared" si="221"/>
        <v/>
      </c>
      <c r="II28" s="1456" t="str">
        <f t="shared" si="222"/>
        <v/>
      </c>
      <c r="IJ28" s="1456" t="str">
        <f t="shared" si="223"/>
        <v/>
      </c>
      <c r="IK28" s="1456" t="str">
        <f t="shared" si="224"/>
        <v/>
      </c>
      <c r="IL28" s="1456" t="str">
        <f t="shared" si="225"/>
        <v/>
      </c>
      <c r="IM28" s="1456" t="str">
        <f t="shared" si="226"/>
        <v/>
      </c>
      <c r="IN28" s="1456" t="str">
        <f t="shared" si="227"/>
        <v/>
      </c>
      <c r="IO28" s="1456" t="str">
        <f t="shared" si="228"/>
        <v/>
      </c>
      <c r="IP28" s="1456" t="str">
        <f t="shared" si="229"/>
        <v/>
      </c>
      <c r="IQ28" s="1456" t="str">
        <f t="shared" si="230"/>
        <v/>
      </c>
      <c r="IR28" s="1456" t="str">
        <f t="shared" si="231"/>
        <v/>
      </c>
      <c r="IS28" s="1456" t="str">
        <f t="shared" si="232"/>
        <v/>
      </c>
      <c r="IT28" s="1456" t="str">
        <f t="shared" si="233"/>
        <v/>
      </c>
      <c r="IU28" s="1456" t="str">
        <f t="shared" si="234"/>
        <v/>
      </c>
      <c r="IV28" s="1456" t="str">
        <f t="shared" si="235"/>
        <v/>
      </c>
      <c r="IW28" s="1456" t="str">
        <f t="shared" si="236"/>
        <v/>
      </c>
      <c r="IX28" s="1456" t="str">
        <f t="shared" si="237"/>
        <v/>
      </c>
      <c r="IY28" s="1456" t="str">
        <f t="shared" si="238"/>
        <v/>
      </c>
      <c r="IZ28" s="1456" t="str">
        <f t="shared" si="239"/>
        <v/>
      </c>
      <c r="JA28" s="1456" t="str">
        <f t="shared" si="240"/>
        <v/>
      </c>
      <c r="JB28" s="1456" t="str">
        <f t="shared" si="241"/>
        <v/>
      </c>
      <c r="JC28" s="1456" t="str">
        <f t="shared" si="242"/>
        <v/>
      </c>
      <c r="JD28" s="1456" t="str">
        <f t="shared" si="243"/>
        <v/>
      </c>
      <c r="JE28" s="1456" t="str">
        <f t="shared" si="244"/>
        <v/>
      </c>
      <c r="JF28" s="1456" t="str">
        <f t="shared" si="245"/>
        <v/>
      </c>
      <c r="JG28" s="1456" t="str">
        <f t="shared" si="246"/>
        <v/>
      </c>
      <c r="JH28" s="1456" t="str">
        <f t="shared" si="247"/>
        <v/>
      </c>
      <c r="JI28" s="1456" t="str">
        <f t="shared" si="248"/>
        <v/>
      </c>
      <c r="JJ28" s="1456" t="str">
        <f t="shared" si="249"/>
        <v/>
      </c>
      <c r="JK28" s="1456" t="str">
        <f t="shared" si="250"/>
        <v/>
      </c>
      <c r="JL28" s="1456" t="str">
        <f t="shared" si="251"/>
        <v/>
      </c>
      <c r="JM28" s="1456" t="str">
        <f t="shared" si="252"/>
        <v/>
      </c>
      <c r="JN28" s="1456" t="str">
        <f t="shared" si="253"/>
        <v/>
      </c>
      <c r="JO28" s="1456" t="str">
        <f t="shared" si="254"/>
        <v/>
      </c>
      <c r="JP28" s="1456" t="str">
        <f t="shared" si="255"/>
        <v/>
      </c>
      <c r="JQ28" s="1456" t="str">
        <f t="shared" si="256"/>
        <v/>
      </c>
      <c r="JR28" s="1456" t="str">
        <f t="shared" si="257"/>
        <v/>
      </c>
      <c r="JS28" s="1456" t="str">
        <f t="shared" si="258"/>
        <v/>
      </c>
      <c r="JT28" s="1456" t="str">
        <f t="shared" si="259"/>
        <v/>
      </c>
      <c r="JU28" s="1456" t="str">
        <f t="shared" si="260"/>
        <v/>
      </c>
      <c r="JV28" s="1456" t="str">
        <f t="shared" si="261"/>
        <v/>
      </c>
      <c r="JW28" s="1456" t="str">
        <f t="shared" si="262"/>
        <v/>
      </c>
      <c r="JX28" s="1456" t="str">
        <f t="shared" si="263"/>
        <v/>
      </c>
      <c r="JY28" s="1456" t="str">
        <f t="shared" si="264"/>
        <v/>
      </c>
      <c r="JZ28" s="1456" t="str">
        <f t="shared" si="265"/>
        <v/>
      </c>
      <c r="KA28" s="1456" t="str">
        <f t="shared" si="266"/>
        <v/>
      </c>
      <c r="KB28" s="1456" t="str">
        <f t="shared" si="267"/>
        <v/>
      </c>
      <c r="KC28" s="1456" t="str">
        <f t="shared" si="268"/>
        <v/>
      </c>
      <c r="KD28" s="1456" t="str">
        <f t="shared" si="269"/>
        <v/>
      </c>
      <c r="KE28" s="1456" t="str">
        <f t="shared" si="270"/>
        <v/>
      </c>
      <c r="KF28" s="1456" t="str">
        <f t="shared" si="271"/>
        <v/>
      </c>
      <c r="KG28" s="1456" t="str">
        <f t="shared" si="272"/>
        <v/>
      </c>
      <c r="KH28" s="1456" t="str">
        <f t="shared" si="273"/>
        <v/>
      </c>
      <c r="KI28" s="1456" t="str">
        <f t="shared" si="274"/>
        <v/>
      </c>
      <c r="KJ28" s="1456" t="str">
        <f t="shared" si="275"/>
        <v/>
      </c>
      <c r="KK28" s="1456" t="str">
        <f t="shared" si="276"/>
        <v/>
      </c>
      <c r="KL28" s="1456" t="str">
        <f t="shared" si="277"/>
        <v/>
      </c>
      <c r="KM28" s="1456" t="str">
        <f t="shared" si="278"/>
        <v/>
      </c>
      <c r="KN28" s="1456" t="str">
        <f t="shared" si="279"/>
        <v/>
      </c>
      <c r="KO28" s="1456" t="str">
        <f t="shared" si="280"/>
        <v/>
      </c>
      <c r="KP28" s="1456" t="str">
        <f t="shared" si="281"/>
        <v/>
      </c>
      <c r="KQ28" s="1456" t="str">
        <f t="shared" si="282"/>
        <v/>
      </c>
      <c r="KR28" s="1456" t="str">
        <f t="shared" si="283"/>
        <v/>
      </c>
      <c r="KS28" s="1456" t="str">
        <f t="shared" si="284"/>
        <v/>
      </c>
      <c r="KT28" s="1456" t="str">
        <f t="shared" si="285"/>
        <v/>
      </c>
      <c r="KU28" s="1456" t="str">
        <f t="shared" si="286"/>
        <v/>
      </c>
      <c r="KV28" s="1456" t="str">
        <f t="shared" si="287"/>
        <v/>
      </c>
      <c r="KW28" s="1456" t="str">
        <f t="shared" si="288"/>
        <v/>
      </c>
      <c r="KX28" s="1456" t="str">
        <f t="shared" si="289"/>
        <v/>
      </c>
      <c r="KY28" s="1456" t="str">
        <f t="shared" si="290"/>
        <v/>
      </c>
      <c r="KZ28" s="1456" t="str">
        <f t="shared" si="291"/>
        <v/>
      </c>
      <c r="LA28" s="1456" t="str">
        <f t="shared" si="292"/>
        <v/>
      </c>
      <c r="LB28" s="1456" t="str">
        <f t="shared" si="293"/>
        <v/>
      </c>
      <c r="LC28" s="1456" t="str">
        <f t="shared" si="294"/>
        <v/>
      </c>
      <c r="LD28" s="1456" t="str">
        <f t="shared" si="295"/>
        <v/>
      </c>
      <c r="LE28" s="1456" t="str">
        <f t="shared" si="296"/>
        <v/>
      </c>
      <c r="LF28" s="1456" t="str">
        <f t="shared" si="297"/>
        <v/>
      </c>
      <c r="LG28" s="1446" t="str">
        <f t="shared" si="298"/>
        <v/>
      </c>
      <c r="LH28" s="1446" t="str">
        <f t="shared" si="299"/>
        <v/>
      </c>
      <c r="LI28" s="1446" t="str">
        <f t="shared" si="300"/>
        <v/>
      </c>
      <c r="LJ28" s="1446" t="str">
        <f t="shared" si="301"/>
        <v/>
      </c>
      <c r="LK28" s="1446"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318">
        <f t="shared" si="323"/>
        <v>0</v>
      </c>
      <c r="MG28" s="1318">
        <f t="shared" si="324"/>
        <v>0</v>
      </c>
      <c r="MH28" s="1318">
        <f t="shared" si="325"/>
        <v>0</v>
      </c>
      <c r="MI28" s="1318">
        <f t="shared" si="326"/>
        <v>0</v>
      </c>
      <c r="MJ28" s="1318">
        <f t="shared" si="327"/>
        <v>0</v>
      </c>
      <c r="MK28" s="1318">
        <f t="shared" si="333"/>
        <v>0</v>
      </c>
      <c r="ML28" s="1318">
        <f t="shared" si="334"/>
        <v>0</v>
      </c>
      <c r="MM28" s="1318">
        <f t="shared" si="335"/>
        <v>0</v>
      </c>
      <c r="MN28" s="1318">
        <f t="shared" si="336"/>
        <v>0</v>
      </c>
      <c r="MO28" s="1318">
        <f t="shared" si="337"/>
        <v>0</v>
      </c>
      <c r="MP28" s="1318">
        <f t="shared" si="328"/>
        <v>0</v>
      </c>
      <c r="MQ28" s="1318">
        <f t="shared" si="329"/>
        <v>0</v>
      </c>
      <c r="MR28" s="1318">
        <f t="shared" si="330"/>
        <v>0</v>
      </c>
      <c r="MS28" s="1318">
        <f t="shared" si="331"/>
        <v>0</v>
      </c>
      <c r="MT28" s="1318">
        <f t="shared" si="332"/>
        <v>0</v>
      </c>
      <c r="NP28" s="1292" t="s">
        <v>1169</v>
      </c>
      <c r="NQ28" s="2082">
        <v>28</v>
      </c>
    </row>
    <row r="29" spans="1:381" ht="13.9" customHeight="1">
      <c r="A29" s="53" t="str">
        <f t="shared" si="0"/>
        <v/>
      </c>
      <c r="B29" s="819"/>
      <c r="C29" s="85"/>
      <c r="D29" s="1320"/>
      <c r="E29" s="86"/>
      <c r="F29" s="86"/>
      <c r="G29" s="86"/>
      <c r="H29" s="86"/>
      <c r="I29" s="86"/>
      <c r="J29" s="570">
        <f>IF(C29="",0,HLOOKUP(C29,'Part IV-Utility Allowances'!$I$11:$M$22,12))</f>
        <v>0</v>
      </c>
      <c r="K29" s="486"/>
      <c r="L29" s="339">
        <f t="shared" si="1"/>
        <v>0</v>
      </c>
      <c r="M29" s="339">
        <f t="shared" si="2"/>
        <v>0</v>
      </c>
      <c r="N29" s="523"/>
      <c r="O29" s="1256"/>
      <c r="P29" s="523"/>
      <c r="Q29" s="87"/>
      <c r="R29" s="559"/>
      <c r="S29" s="560"/>
      <c r="T29" s="3359"/>
      <c r="U29" s="3360"/>
      <c r="V29" s="3360"/>
      <c r="W29" s="3361"/>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456" t="str">
        <f t="shared" si="213"/>
        <v/>
      </c>
      <c r="IA29" s="1456" t="str">
        <f t="shared" si="214"/>
        <v/>
      </c>
      <c r="IB29" s="1456" t="str">
        <f t="shared" si="215"/>
        <v/>
      </c>
      <c r="IC29" s="1456" t="str">
        <f t="shared" si="216"/>
        <v/>
      </c>
      <c r="ID29" s="1456" t="str">
        <f t="shared" si="217"/>
        <v/>
      </c>
      <c r="IE29" s="1456" t="str">
        <f t="shared" si="218"/>
        <v/>
      </c>
      <c r="IF29" s="1456" t="str">
        <f t="shared" si="219"/>
        <v/>
      </c>
      <c r="IG29" s="1456" t="str">
        <f t="shared" si="220"/>
        <v/>
      </c>
      <c r="IH29" s="1456" t="str">
        <f t="shared" si="221"/>
        <v/>
      </c>
      <c r="II29" s="1456" t="str">
        <f t="shared" si="222"/>
        <v/>
      </c>
      <c r="IJ29" s="1456" t="str">
        <f t="shared" si="223"/>
        <v/>
      </c>
      <c r="IK29" s="1456" t="str">
        <f t="shared" si="224"/>
        <v/>
      </c>
      <c r="IL29" s="1456" t="str">
        <f t="shared" si="225"/>
        <v/>
      </c>
      <c r="IM29" s="1456" t="str">
        <f t="shared" si="226"/>
        <v/>
      </c>
      <c r="IN29" s="1456" t="str">
        <f t="shared" si="227"/>
        <v/>
      </c>
      <c r="IO29" s="1456" t="str">
        <f t="shared" si="228"/>
        <v/>
      </c>
      <c r="IP29" s="1456" t="str">
        <f t="shared" si="229"/>
        <v/>
      </c>
      <c r="IQ29" s="1456" t="str">
        <f t="shared" si="230"/>
        <v/>
      </c>
      <c r="IR29" s="1456" t="str">
        <f t="shared" si="231"/>
        <v/>
      </c>
      <c r="IS29" s="1456" t="str">
        <f t="shared" si="232"/>
        <v/>
      </c>
      <c r="IT29" s="1456" t="str">
        <f t="shared" si="233"/>
        <v/>
      </c>
      <c r="IU29" s="1456" t="str">
        <f t="shared" si="234"/>
        <v/>
      </c>
      <c r="IV29" s="1456" t="str">
        <f t="shared" si="235"/>
        <v/>
      </c>
      <c r="IW29" s="1456" t="str">
        <f t="shared" si="236"/>
        <v/>
      </c>
      <c r="IX29" s="1456" t="str">
        <f t="shared" si="237"/>
        <v/>
      </c>
      <c r="IY29" s="1456" t="str">
        <f t="shared" si="238"/>
        <v/>
      </c>
      <c r="IZ29" s="1456" t="str">
        <f t="shared" si="239"/>
        <v/>
      </c>
      <c r="JA29" s="1456" t="str">
        <f t="shared" si="240"/>
        <v/>
      </c>
      <c r="JB29" s="1456" t="str">
        <f t="shared" si="241"/>
        <v/>
      </c>
      <c r="JC29" s="1456" t="str">
        <f t="shared" si="242"/>
        <v/>
      </c>
      <c r="JD29" s="1456" t="str">
        <f t="shared" si="243"/>
        <v/>
      </c>
      <c r="JE29" s="1456" t="str">
        <f t="shared" si="244"/>
        <v/>
      </c>
      <c r="JF29" s="1456" t="str">
        <f t="shared" si="245"/>
        <v/>
      </c>
      <c r="JG29" s="1456" t="str">
        <f t="shared" si="246"/>
        <v/>
      </c>
      <c r="JH29" s="1456" t="str">
        <f t="shared" si="247"/>
        <v/>
      </c>
      <c r="JI29" s="1456" t="str">
        <f t="shared" si="248"/>
        <v/>
      </c>
      <c r="JJ29" s="1456" t="str">
        <f t="shared" si="249"/>
        <v/>
      </c>
      <c r="JK29" s="1456" t="str">
        <f t="shared" si="250"/>
        <v/>
      </c>
      <c r="JL29" s="1456" t="str">
        <f t="shared" si="251"/>
        <v/>
      </c>
      <c r="JM29" s="1456" t="str">
        <f t="shared" si="252"/>
        <v/>
      </c>
      <c r="JN29" s="1456" t="str">
        <f t="shared" si="253"/>
        <v/>
      </c>
      <c r="JO29" s="1456" t="str">
        <f t="shared" si="254"/>
        <v/>
      </c>
      <c r="JP29" s="1456" t="str">
        <f t="shared" si="255"/>
        <v/>
      </c>
      <c r="JQ29" s="1456" t="str">
        <f t="shared" si="256"/>
        <v/>
      </c>
      <c r="JR29" s="1456" t="str">
        <f t="shared" si="257"/>
        <v/>
      </c>
      <c r="JS29" s="1456" t="str">
        <f t="shared" si="258"/>
        <v/>
      </c>
      <c r="JT29" s="1456" t="str">
        <f t="shared" si="259"/>
        <v/>
      </c>
      <c r="JU29" s="1456" t="str">
        <f t="shared" si="260"/>
        <v/>
      </c>
      <c r="JV29" s="1456" t="str">
        <f t="shared" si="261"/>
        <v/>
      </c>
      <c r="JW29" s="1456" t="str">
        <f t="shared" si="262"/>
        <v/>
      </c>
      <c r="JX29" s="1456" t="str">
        <f t="shared" si="263"/>
        <v/>
      </c>
      <c r="JY29" s="1456" t="str">
        <f t="shared" si="264"/>
        <v/>
      </c>
      <c r="JZ29" s="1456" t="str">
        <f t="shared" si="265"/>
        <v/>
      </c>
      <c r="KA29" s="1456" t="str">
        <f t="shared" si="266"/>
        <v/>
      </c>
      <c r="KB29" s="1456" t="str">
        <f t="shared" si="267"/>
        <v/>
      </c>
      <c r="KC29" s="1456" t="str">
        <f t="shared" si="268"/>
        <v/>
      </c>
      <c r="KD29" s="1456" t="str">
        <f t="shared" si="269"/>
        <v/>
      </c>
      <c r="KE29" s="1456" t="str">
        <f t="shared" si="270"/>
        <v/>
      </c>
      <c r="KF29" s="1456" t="str">
        <f t="shared" si="271"/>
        <v/>
      </c>
      <c r="KG29" s="1456" t="str">
        <f t="shared" si="272"/>
        <v/>
      </c>
      <c r="KH29" s="1456" t="str">
        <f t="shared" si="273"/>
        <v/>
      </c>
      <c r="KI29" s="1456" t="str">
        <f t="shared" si="274"/>
        <v/>
      </c>
      <c r="KJ29" s="1456" t="str">
        <f t="shared" si="275"/>
        <v/>
      </c>
      <c r="KK29" s="1456" t="str">
        <f t="shared" si="276"/>
        <v/>
      </c>
      <c r="KL29" s="1456" t="str">
        <f t="shared" si="277"/>
        <v/>
      </c>
      <c r="KM29" s="1456" t="str">
        <f t="shared" si="278"/>
        <v/>
      </c>
      <c r="KN29" s="1456" t="str">
        <f t="shared" si="279"/>
        <v/>
      </c>
      <c r="KO29" s="1456" t="str">
        <f t="shared" si="280"/>
        <v/>
      </c>
      <c r="KP29" s="1456" t="str">
        <f t="shared" si="281"/>
        <v/>
      </c>
      <c r="KQ29" s="1456" t="str">
        <f t="shared" si="282"/>
        <v/>
      </c>
      <c r="KR29" s="1456" t="str">
        <f t="shared" si="283"/>
        <v/>
      </c>
      <c r="KS29" s="1456" t="str">
        <f t="shared" si="284"/>
        <v/>
      </c>
      <c r="KT29" s="1456" t="str">
        <f t="shared" si="285"/>
        <v/>
      </c>
      <c r="KU29" s="1456" t="str">
        <f t="shared" si="286"/>
        <v/>
      </c>
      <c r="KV29" s="1456" t="str">
        <f t="shared" si="287"/>
        <v/>
      </c>
      <c r="KW29" s="1456" t="str">
        <f t="shared" si="288"/>
        <v/>
      </c>
      <c r="KX29" s="1456" t="str">
        <f t="shared" si="289"/>
        <v/>
      </c>
      <c r="KY29" s="1456" t="str">
        <f t="shared" si="290"/>
        <v/>
      </c>
      <c r="KZ29" s="1456" t="str">
        <f t="shared" si="291"/>
        <v/>
      </c>
      <c r="LA29" s="1456" t="str">
        <f t="shared" si="292"/>
        <v/>
      </c>
      <c r="LB29" s="1456" t="str">
        <f t="shared" si="293"/>
        <v/>
      </c>
      <c r="LC29" s="1456" t="str">
        <f t="shared" si="294"/>
        <v/>
      </c>
      <c r="LD29" s="1456" t="str">
        <f t="shared" si="295"/>
        <v/>
      </c>
      <c r="LE29" s="1456" t="str">
        <f t="shared" si="296"/>
        <v/>
      </c>
      <c r="LF29" s="1456" t="str">
        <f t="shared" si="297"/>
        <v/>
      </c>
      <c r="LG29" s="1446" t="str">
        <f t="shared" si="298"/>
        <v/>
      </c>
      <c r="LH29" s="1446" t="str">
        <f t="shared" si="299"/>
        <v/>
      </c>
      <c r="LI29" s="1446" t="str">
        <f t="shared" si="300"/>
        <v/>
      </c>
      <c r="LJ29" s="1446" t="str">
        <f t="shared" si="301"/>
        <v/>
      </c>
      <c r="LK29" s="1446"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318">
        <f t="shared" si="323"/>
        <v>0</v>
      </c>
      <c r="MG29" s="1318">
        <f t="shared" si="324"/>
        <v>0</v>
      </c>
      <c r="MH29" s="1318">
        <f t="shared" si="325"/>
        <v>0</v>
      </c>
      <c r="MI29" s="1318">
        <f t="shared" si="326"/>
        <v>0</v>
      </c>
      <c r="MJ29" s="1318">
        <f t="shared" si="327"/>
        <v>0</v>
      </c>
      <c r="MK29" s="1318">
        <f t="shared" si="333"/>
        <v>0</v>
      </c>
      <c r="ML29" s="1318">
        <f t="shared" si="334"/>
        <v>0</v>
      </c>
      <c r="MM29" s="1318">
        <f t="shared" si="335"/>
        <v>0</v>
      </c>
      <c r="MN29" s="1318">
        <f t="shared" si="336"/>
        <v>0</v>
      </c>
      <c r="MO29" s="1318">
        <f t="shared" si="337"/>
        <v>0</v>
      </c>
      <c r="MP29" s="1318">
        <f t="shared" si="328"/>
        <v>0</v>
      </c>
      <c r="MQ29" s="1318">
        <f t="shared" si="329"/>
        <v>0</v>
      </c>
      <c r="MR29" s="1318">
        <f t="shared" si="330"/>
        <v>0</v>
      </c>
      <c r="MS29" s="1318">
        <f t="shared" si="331"/>
        <v>0</v>
      </c>
      <c r="MT29" s="1318">
        <f t="shared" si="332"/>
        <v>0</v>
      </c>
      <c r="NP29" s="1292" t="s">
        <v>1170</v>
      </c>
      <c r="NQ29" s="2082">
        <v>29</v>
      </c>
    </row>
    <row r="30" spans="1:381" ht="13.9" customHeight="1">
      <c r="A30" s="53" t="str">
        <f t="shared" si="0"/>
        <v/>
      </c>
      <c r="B30" s="819"/>
      <c r="C30" s="85"/>
      <c r="D30" s="1320"/>
      <c r="E30" s="86"/>
      <c r="F30" s="86"/>
      <c r="G30" s="86"/>
      <c r="H30" s="86"/>
      <c r="I30" s="86"/>
      <c r="J30" s="570">
        <f>IF(C30="",0,HLOOKUP(C30,'Part IV-Utility Allowances'!$I$11:$M$22,12))</f>
        <v>0</v>
      </c>
      <c r="K30" s="486"/>
      <c r="L30" s="339">
        <f t="shared" si="1"/>
        <v>0</v>
      </c>
      <c r="M30" s="339">
        <f t="shared" si="2"/>
        <v>0</v>
      </c>
      <c r="N30" s="523"/>
      <c r="O30" s="1256"/>
      <c r="P30" s="523"/>
      <c r="Q30" s="87"/>
      <c r="R30" s="559"/>
      <c r="S30" s="560"/>
      <c r="T30" s="3359"/>
      <c r="U30" s="3360"/>
      <c r="V30" s="3360"/>
      <c r="W30" s="3361"/>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456" t="str">
        <f t="shared" si="213"/>
        <v/>
      </c>
      <c r="IA30" s="1456" t="str">
        <f t="shared" si="214"/>
        <v/>
      </c>
      <c r="IB30" s="1456" t="str">
        <f t="shared" si="215"/>
        <v/>
      </c>
      <c r="IC30" s="1456" t="str">
        <f t="shared" si="216"/>
        <v/>
      </c>
      <c r="ID30" s="1456" t="str">
        <f t="shared" si="217"/>
        <v/>
      </c>
      <c r="IE30" s="1456" t="str">
        <f t="shared" si="218"/>
        <v/>
      </c>
      <c r="IF30" s="1456" t="str">
        <f t="shared" si="219"/>
        <v/>
      </c>
      <c r="IG30" s="1456" t="str">
        <f t="shared" si="220"/>
        <v/>
      </c>
      <c r="IH30" s="1456" t="str">
        <f t="shared" si="221"/>
        <v/>
      </c>
      <c r="II30" s="1456" t="str">
        <f t="shared" si="222"/>
        <v/>
      </c>
      <c r="IJ30" s="1456" t="str">
        <f t="shared" si="223"/>
        <v/>
      </c>
      <c r="IK30" s="1456" t="str">
        <f t="shared" si="224"/>
        <v/>
      </c>
      <c r="IL30" s="1456" t="str">
        <f t="shared" si="225"/>
        <v/>
      </c>
      <c r="IM30" s="1456" t="str">
        <f t="shared" si="226"/>
        <v/>
      </c>
      <c r="IN30" s="1456" t="str">
        <f t="shared" si="227"/>
        <v/>
      </c>
      <c r="IO30" s="1456" t="str">
        <f t="shared" si="228"/>
        <v/>
      </c>
      <c r="IP30" s="1456" t="str">
        <f t="shared" si="229"/>
        <v/>
      </c>
      <c r="IQ30" s="1456" t="str">
        <f t="shared" si="230"/>
        <v/>
      </c>
      <c r="IR30" s="1456" t="str">
        <f t="shared" si="231"/>
        <v/>
      </c>
      <c r="IS30" s="1456" t="str">
        <f t="shared" si="232"/>
        <v/>
      </c>
      <c r="IT30" s="1456" t="str">
        <f t="shared" si="233"/>
        <v/>
      </c>
      <c r="IU30" s="1456" t="str">
        <f t="shared" si="234"/>
        <v/>
      </c>
      <c r="IV30" s="1456" t="str">
        <f t="shared" si="235"/>
        <v/>
      </c>
      <c r="IW30" s="1456" t="str">
        <f t="shared" si="236"/>
        <v/>
      </c>
      <c r="IX30" s="1456" t="str">
        <f t="shared" si="237"/>
        <v/>
      </c>
      <c r="IY30" s="1456" t="str">
        <f t="shared" si="238"/>
        <v/>
      </c>
      <c r="IZ30" s="1456" t="str">
        <f t="shared" si="239"/>
        <v/>
      </c>
      <c r="JA30" s="1456" t="str">
        <f t="shared" si="240"/>
        <v/>
      </c>
      <c r="JB30" s="1456" t="str">
        <f t="shared" si="241"/>
        <v/>
      </c>
      <c r="JC30" s="1456" t="str">
        <f t="shared" si="242"/>
        <v/>
      </c>
      <c r="JD30" s="1456" t="str">
        <f t="shared" si="243"/>
        <v/>
      </c>
      <c r="JE30" s="1456" t="str">
        <f t="shared" si="244"/>
        <v/>
      </c>
      <c r="JF30" s="1456" t="str">
        <f t="shared" si="245"/>
        <v/>
      </c>
      <c r="JG30" s="1456" t="str">
        <f t="shared" si="246"/>
        <v/>
      </c>
      <c r="JH30" s="1456" t="str">
        <f t="shared" si="247"/>
        <v/>
      </c>
      <c r="JI30" s="1456" t="str">
        <f t="shared" si="248"/>
        <v/>
      </c>
      <c r="JJ30" s="1456" t="str">
        <f t="shared" si="249"/>
        <v/>
      </c>
      <c r="JK30" s="1456" t="str">
        <f t="shared" si="250"/>
        <v/>
      </c>
      <c r="JL30" s="1456" t="str">
        <f t="shared" si="251"/>
        <v/>
      </c>
      <c r="JM30" s="1456" t="str">
        <f t="shared" si="252"/>
        <v/>
      </c>
      <c r="JN30" s="1456" t="str">
        <f t="shared" si="253"/>
        <v/>
      </c>
      <c r="JO30" s="1456" t="str">
        <f t="shared" si="254"/>
        <v/>
      </c>
      <c r="JP30" s="1456" t="str">
        <f t="shared" si="255"/>
        <v/>
      </c>
      <c r="JQ30" s="1456" t="str">
        <f t="shared" si="256"/>
        <v/>
      </c>
      <c r="JR30" s="1456" t="str">
        <f t="shared" si="257"/>
        <v/>
      </c>
      <c r="JS30" s="1456" t="str">
        <f t="shared" si="258"/>
        <v/>
      </c>
      <c r="JT30" s="1456" t="str">
        <f t="shared" si="259"/>
        <v/>
      </c>
      <c r="JU30" s="1456" t="str">
        <f t="shared" si="260"/>
        <v/>
      </c>
      <c r="JV30" s="1456" t="str">
        <f t="shared" si="261"/>
        <v/>
      </c>
      <c r="JW30" s="1456" t="str">
        <f t="shared" si="262"/>
        <v/>
      </c>
      <c r="JX30" s="1456" t="str">
        <f t="shared" si="263"/>
        <v/>
      </c>
      <c r="JY30" s="1456" t="str">
        <f t="shared" si="264"/>
        <v/>
      </c>
      <c r="JZ30" s="1456" t="str">
        <f t="shared" si="265"/>
        <v/>
      </c>
      <c r="KA30" s="1456" t="str">
        <f t="shared" si="266"/>
        <v/>
      </c>
      <c r="KB30" s="1456" t="str">
        <f t="shared" si="267"/>
        <v/>
      </c>
      <c r="KC30" s="1456" t="str">
        <f t="shared" si="268"/>
        <v/>
      </c>
      <c r="KD30" s="1456" t="str">
        <f t="shared" si="269"/>
        <v/>
      </c>
      <c r="KE30" s="1456" t="str">
        <f t="shared" si="270"/>
        <v/>
      </c>
      <c r="KF30" s="1456" t="str">
        <f t="shared" si="271"/>
        <v/>
      </c>
      <c r="KG30" s="1456" t="str">
        <f t="shared" si="272"/>
        <v/>
      </c>
      <c r="KH30" s="1456" t="str">
        <f t="shared" si="273"/>
        <v/>
      </c>
      <c r="KI30" s="1456" t="str">
        <f t="shared" si="274"/>
        <v/>
      </c>
      <c r="KJ30" s="1456" t="str">
        <f t="shared" si="275"/>
        <v/>
      </c>
      <c r="KK30" s="1456" t="str">
        <f t="shared" si="276"/>
        <v/>
      </c>
      <c r="KL30" s="1456" t="str">
        <f t="shared" si="277"/>
        <v/>
      </c>
      <c r="KM30" s="1456" t="str">
        <f t="shared" si="278"/>
        <v/>
      </c>
      <c r="KN30" s="1456" t="str">
        <f t="shared" si="279"/>
        <v/>
      </c>
      <c r="KO30" s="1456" t="str">
        <f t="shared" si="280"/>
        <v/>
      </c>
      <c r="KP30" s="1456" t="str">
        <f t="shared" si="281"/>
        <v/>
      </c>
      <c r="KQ30" s="1456" t="str">
        <f t="shared" si="282"/>
        <v/>
      </c>
      <c r="KR30" s="1456" t="str">
        <f t="shared" si="283"/>
        <v/>
      </c>
      <c r="KS30" s="1456" t="str">
        <f t="shared" si="284"/>
        <v/>
      </c>
      <c r="KT30" s="1456" t="str">
        <f t="shared" si="285"/>
        <v/>
      </c>
      <c r="KU30" s="1456" t="str">
        <f t="shared" si="286"/>
        <v/>
      </c>
      <c r="KV30" s="1456" t="str">
        <f t="shared" si="287"/>
        <v/>
      </c>
      <c r="KW30" s="1456" t="str">
        <f t="shared" si="288"/>
        <v/>
      </c>
      <c r="KX30" s="1456" t="str">
        <f t="shared" si="289"/>
        <v/>
      </c>
      <c r="KY30" s="1456" t="str">
        <f t="shared" si="290"/>
        <v/>
      </c>
      <c r="KZ30" s="1456" t="str">
        <f t="shared" si="291"/>
        <v/>
      </c>
      <c r="LA30" s="1456" t="str">
        <f t="shared" si="292"/>
        <v/>
      </c>
      <c r="LB30" s="1456" t="str">
        <f t="shared" si="293"/>
        <v/>
      </c>
      <c r="LC30" s="1456" t="str">
        <f t="shared" si="294"/>
        <v/>
      </c>
      <c r="LD30" s="1456" t="str">
        <f t="shared" si="295"/>
        <v/>
      </c>
      <c r="LE30" s="1456" t="str">
        <f t="shared" si="296"/>
        <v/>
      </c>
      <c r="LF30" s="1456" t="str">
        <f t="shared" si="297"/>
        <v/>
      </c>
      <c r="LG30" s="1446" t="str">
        <f t="shared" si="298"/>
        <v/>
      </c>
      <c r="LH30" s="1446" t="str">
        <f t="shared" si="299"/>
        <v/>
      </c>
      <c r="LI30" s="1446" t="str">
        <f t="shared" si="300"/>
        <v/>
      </c>
      <c r="LJ30" s="1446" t="str">
        <f t="shared" si="301"/>
        <v/>
      </c>
      <c r="LK30" s="1446"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318">
        <f t="shared" si="323"/>
        <v>0</v>
      </c>
      <c r="MG30" s="1318">
        <f t="shared" si="324"/>
        <v>0</v>
      </c>
      <c r="MH30" s="1318">
        <f t="shared" si="325"/>
        <v>0</v>
      </c>
      <c r="MI30" s="1318">
        <f t="shared" si="326"/>
        <v>0</v>
      </c>
      <c r="MJ30" s="1318">
        <f t="shared" si="327"/>
        <v>0</v>
      </c>
      <c r="MK30" s="1318">
        <f t="shared" si="333"/>
        <v>0</v>
      </c>
      <c r="ML30" s="1318">
        <f t="shared" si="334"/>
        <v>0</v>
      </c>
      <c r="MM30" s="1318">
        <f t="shared" si="335"/>
        <v>0</v>
      </c>
      <c r="MN30" s="1318">
        <f t="shared" si="336"/>
        <v>0</v>
      </c>
      <c r="MO30" s="1318">
        <f t="shared" si="337"/>
        <v>0</v>
      </c>
      <c r="MP30" s="1318">
        <f t="shared" si="328"/>
        <v>0</v>
      </c>
      <c r="MQ30" s="1318">
        <f t="shared" si="329"/>
        <v>0</v>
      </c>
      <c r="MR30" s="1318">
        <f t="shared" si="330"/>
        <v>0</v>
      </c>
      <c r="MS30" s="1318">
        <f t="shared" si="331"/>
        <v>0</v>
      </c>
      <c r="MT30" s="1318">
        <f t="shared" si="332"/>
        <v>0</v>
      </c>
      <c r="NP30" s="1292" t="s">
        <v>1171</v>
      </c>
      <c r="NQ30" s="2082">
        <v>30</v>
      </c>
    </row>
    <row r="31" spans="1:381" ht="13.9" customHeight="1">
      <c r="A31" s="53" t="str">
        <f t="shared" si="0"/>
        <v/>
      </c>
      <c r="B31" s="819"/>
      <c r="C31" s="85"/>
      <c r="D31" s="1320"/>
      <c r="E31" s="86"/>
      <c r="F31" s="86"/>
      <c r="G31" s="86"/>
      <c r="H31" s="86"/>
      <c r="I31" s="86"/>
      <c r="J31" s="570">
        <f>IF(C31="",0,HLOOKUP(C31,'Part IV-Utility Allowances'!$I$11:$M$22,12))</f>
        <v>0</v>
      </c>
      <c r="K31" s="486"/>
      <c r="L31" s="339">
        <f t="shared" si="1"/>
        <v>0</v>
      </c>
      <c r="M31" s="339">
        <f t="shared" si="2"/>
        <v>0</v>
      </c>
      <c r="N31" s="523"/>
      <c r="O31" s="1256"/>
      <c r="P31" s="523"/>
      <c r="Q31" s="87"/>
      <c r="R31" s="559"/>
      <c r="S31" s="560"/>
      <c r="T31" s="3359"/>
      <c r="U31" s="3360"/>
      <c r="V31" s="3360"/>
      <c r="W31" s="3361"/>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456" t="str">
        <f t="shared" si="213"/>
        <v/>
      </c>
      <c r="IA31" s="1456" t="str">
        <f t="shared" si="214"/>
        <v/>
      </c>
      <c r="IB31" s="1456" t="str">
        <f t="shared" si="215"/>
        <v/>
      </c>
      <c r="IC31" s="1456" t="str">
        <f t="shared" si="216"/>
        <v/>
      </c>
      <c r="ID31" s="1456" t="str">
        <f t="shared" si="217"/>
        <v/>
      </c>
      <c r="IE31" s="1456" t="str">
        <f t="shared" si="218"/>
        <v/>
      </c>
      <c r="IF31" s="1456" t="str">
        <f t="shared" si="219"/>
        <v/>
      </c>
      <c r="IG31" s="1456" t="str">
        <f t="shared" si="220"/>
        <v/>
      </c>
      <c r="IH31" s="1456" t="str">
        <f t="shared" si="221"/>
        <v/>
      </c>
      <c r="II31" s="1456" t="str">
        <f t="shared" si="222"/>
        <v/>
      </c>
      <c r="IJ31" s="1456" t="str">
        <f t="shared" si="223"/>
        <v/>
      </c>
      <c r="IK31" s="1456" t="str">
        <f t="shared" si="224"/>
        <v/>
      </c>
      <c r="IL31" s="1456" t="str">
        <f t="shared" si="225"/>
        <v/>
      </c>
      <c r="IM31" s="1456" t="str">
        <f t="shared" si="226"/>
        <v/>
      </c>
      <c r="IN31" s="1456" t="str">
        <f t="shared" si="227"/>
        <v/>
      </c>
      <c r="IO31" s="1456" t="str">
        <f t="shared" si="228"/>
        <v/>
      </c>
      <c r="IP31" s="1456" t="str">
        <f t="shared" si="229"/>
        <v/>
      </c>
      <c r="IQ31" s="1456" t="str">
        <f t="shared" si="230"/>
        <v/>
      </c>
      <c r="IR31" s="1456" t="str">
        <f t="shared" si="231"/>
        <v/>
      </c>
      <c r="IS31" s="1456" t="str">
        <f t="shared" si="232"/>
        <v/>
      </c>
      <c r="IT31" s="1456" t="str">
        <f t="shared" si="233"/>
        <v/>
      </c>
      <c r="IU31" s="1456" t="str">
        <f t="shared" si="234"/>
        <v/>
      </c>
      <c r="IV31" s="1456" t="str">
        <f t="shared" si="235"/>
        <v/>
      </c>
      <c r="IW31" s="1456" t="str">
        <f t="shared" si="236"/>
        <v/>
      </c>
      <c r="IX31" s="1456" t="str">
        <f t="shared" si="237"/>
        <v/>
      </c>
      <c r="IY31" s="1456" t="str">
        <f t="shared" si="238"/>
        <v/>
      </c>
      <c r="IZ31" s="1456" t="str">
        <f t="shared" si="239"/>
        <v/>
      </c>
      <c r="JA31" s="1456" t="str">
        <f t="shared" si="240"/>
        <v/>
      </c>
      <c r="JB31" s="1456" t="str">
        <f t="shared" si="241"/>
        <v/>
      </c>
      <c r="JC31" s="1456" t="str">
        <f t="shared" si="242"/>
        <v/>
      </c>
      <c r="JD31" s="1456" t="str">
        <f t="shared" si="243"/>
        <v/>
      </c>
      <c r="JE31" s="1456" t="str">
        <f t="shared" si="244"/>
        <v/>
      </c>
      <c r="JF31" s="1456" t="str">
        <f t="shared" si="245"/>
        <v/>
      </c>
      <c r="JG31" s="1456" t="str">
        <f t="shared" si="246"/>
        <v/>
      </c>
      <c r="JH31" s="1456" t="str">
        <f t="shared" si="247"/>
        <v/>
      </c>
      <c r="JI31" s="1456" t="str">
        <f t="shared" si="248"/>
        <v/>
      </c>
      <c r="JJ31" s="1456" t="str">
        <f t="shared" si="249"/>
        <v/>
      </c>
      <c r="JK31" s="1456" t="str">
        <f t="shared" si="250"/>
        <v/>
      </c>
      <c r="JL31" s="1456" t="str">
        <f t="shared" si="251"/>
        <v/>
      </c>
      <c r="JM31" s="1456" t="str">
        <f t="shared" si="252"/>
        <v/>
      </c>
      <c r="JN31" s="1456" t="str">
        <f t="shared" si="253"/>
        <v/>
      </c>
      <c r="JO31" s="1456" t="str">
        <f t="shared" si="254"/>
        <v/>
      </c>
      <c r="JP31" s="1456" t="str">
        <f t="shared" si="255"/>
        <v/>
      </c>
      <c r="JQ31" s="1456" t="str">
        <f t="shared" si="256"/>
        <v/>
      </c>
      <c r="JR31" s="1456" t="str">
        <f t="shared" si="257"/>
        <v/>
      </c>
      <c r="JS31" s="1456" t="str">
        <f t="shared" si="258"/>
        <v/>
      </c>
      <c r="JT31" s="1456" t="str">
        <f t="shared" si="259"/>
        <v/>
      </c>
      <c r="JU31" s="1456" t="str">
        <f t="shared" si="260"/>
        <v/>
      </c>
      <c r="JV31" s="1456" t="str">
        <f t="shared" si="261"/>
        <v/>
      </c>
      <c r="JW31" s="1456" t="str">
        <f t="shared" si="262"/>
        <v/>
      </c>
      <c r="JX31" s="1456" t="str">
        <f t="shared" si="263"/>
        <v/>
      </c>
      <c r="JY31" s="1456" t="str">
        <f t="shared" si="264"/>
        <v/>
      </c>
      <c r="JZ31" s="1456" t="str">
        <f t="shared" si="265"/>
        <v/>
      </c>
      <c r="KA31" s="1456" t="str">
        <f t="shared" si="266"/>
        <v/>
      </c>
      <c r="KB31" s="1456" t="str">
        <f t="shared" si="267"/>
        <v/>
      </c>
      <c r="KC31" s="1456" t="str">
        <f t="shared" si="268"/>
        <v/>
      </c>
      <c r="KD31" s="1456" t="str">
        <f t="shared" si="269"/>
        <v/>
      </c>
      <c r="KE31" s="1456" t="str">
        <f t="shared" si="270"/>
        <v/>
      </c>
      <c r="KF31" s="1456" t="str">
        <f t="shared" si="271"/>
        <v/>
      </c>
      <c r="KG31" s="1456" t="str">
        <f t="shared" si="272"/>
        <v/>
      </c>
      <c r="KH31" s="1456" t="str">
        <f t="shared" si="273"/>
        <v/>
      </c>
      <c r="KI31" s="1456" t="str">
        <f t="shared" si="274"/>
        <v/>
      </c>
      <c r="KJ31" s="1456" t="str">
        <f t="shared" si="275"/>
        <v/>
      </c>
      <c r="KK31" s="1456" t="str">
        <f t="shared" si="276"/>
        <v/>
      </c>
      <c r="KL31" s="1456" t="str">
        <f t="shared" si="277"/>
        <v/>
      </c>
      <c r="KM31" s="1456" t="str">
        <f t="shared" si="278"/>
        <v/>
      </c>
      <c r="KN31" s="1456" t="str">
        <f t="shared" si="279"/>
        <v/>
      </c>
      <c r="KO31" s="1456" t="str">
        <f t="shared" si="280"/>
        <v/>
      </c>
      <c r="KP31" s="1456" t="str">
        <f t="shared" si="281"/>
        <v/>
      </c>
      <c r="KQ31" s="1456" t="str">
        <f t="shared" si="282"/>
        <v/>
      </c>
      <c r="KR31" s="1456" t="str">
        <f t="shared" si="283"/>
        <v/>
      </c>
      <c r="KS31" s="1456" t="str">
        <f t="shared" si="284"/>
        <v/>
      </c>
      <c r="KT31" s="1456" t="str">
        <f t="shared" si="285"/>
        <v/>
      </c>
      <c r="KU31" s="1456" t="str">
        <f t="shared" si="286"/>
        <v/>
      </c>
      <c r="KV31" s="1456" t="str">
        <f t="shared" si="287"/>
        <v/>
      </c>
      <c r="KW31" s="1456" t="str">
        <f t="shared" si="288"/>
        <v/>
      </c>
      <c r="KX31" s="1456" t="str">
        <f t="shared" si="289"/>
        <v/>
      </c>
      <c r="KY31" s="1456" t="str">
        <f t="shared" si="290"/>
        <v/>
      </c>
      <c r="KZ31" s="1456" t="str">
        <f t="shared" si="291"/>
        <v/>
      </c>
      <c r="LA31" s="1456" t="str">
        <f t="shared" si="292"/>
        <v/>
      </c>
      <c r="LB31" s="1456" t="str">
        <f t="shared" si="293"/>
        <v/>
      </c>
      <c r="LC31" s="1456" t="str">
        <f t="shared" si="294"/>
        <v/>
      </c>
      <c r="LD31" s="1456" t="str">
        <f t="shared" si="295"/>
        <v/>
      </c>
      <c r="LE31" s="1456" t="str">
        <f t="shared" si="296"/>
        <v/>
      </c>
      <c r="LF31" s="1456" t="str">
        <f t="shared" si="297"/>
        <v/>
      </c>
      <c r="LG31" s="1446" t="str">
        <f t="shared" si="298"/>
        <v/>
      </c>
      <c r="LH31" s="1446" t="str">
        <f t="shared" si="299"/>
        <v/>
      </c>
      <c r="LI31" s="1446" t="str">
        <f t="shared" si="300"/>
        <v/>
      </c>
      <c r="LJ31" s="1446" t="str">
        <f t="shared" si="301"/>
        <v/>
      </c>
      <c r="LK31" s="1446"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318">
        <f t="shared" si="323"/>
        <v>0</v>
      </c>
      <c r="MG31" s="1318">
        <f t="shared" si="324"/>
        <v>0</v>
      </c>
      <c r="MH31" s="1318">
        <f t="shared" si="325"/>
        <v>0</v>
      </c>
      <c r="MI31" s="1318">
        <f t="shared" si="326"/>
        <v>0</v>
      </c>
      <c r="MJ31" s="1318">
        <f t="shared" si="327"/>
        <v>0</v>
      </c>
      <c r="MK31" s="1318">
        <f t="shared" si="333"/>
        <v>0</v>
      </c>
      <c r="ML31" s="1318">
        <f t="shared" si="334"/>
        <v>0</v>
      </c>
      <c r="MM31" s="1318">
        <f t="shared" si="335"/>
        <v>0</v>
      </c>
      <c r="MN31" s="1318">
        <f t="shared" si="336"/>
        <v>0</v>
      </c>
      <c r="MO31" s="1318">
        <f t="shared" si="337"/>
        <v>0</v>
      </c>
      <c r="MP31" s="1318">
        <f t="shared" si="328"/>
        <v>0</v>
      </c>
      <c r="MQ31" s="1318">
        <f t="shared" si="329"/>
        <v>0</v>
      </c>
      <c r="MR31" s="1318">
        <f t="shared" si="330"/>
        <v>0</v>
      </c>
      <c r="MS31" s="1318">
        <f t="shared" si="331"/>
        <v>0</v>
      </c>
      <c r="MT31" s="1318">
        <f t="shared" si="332"/>
        <v>0</v>
      </c>
      <c r="NP31" s="1292" t="s">
        <v>1172</v>
      </c>
      <c r="NQ31" s="2083">
        <v>31</v>
      </c>
    </row>
    <row r="32" spans="1:381" ht="13.9" customHeight="1">
      <c r="A32" s="53" t="str">
        <f t="shared" si="0"/>
        <v/>
      </c>
      <c r="B32" s="819"/>
      <c r="C32" s="85"/>
      <c r="D32" s="1320"/>
      <c r="E32" s="86"/>
      <c r="F32" s="86"/>
      <c r="G32" s="86"/>
      <c r="H32" s="86"/>
      <c r="I32" s="86"/>
      <c r="J32" s="570">
        <f>IF(C32="",0,HLOOKUP(C32,'Part IV-Utility Allowances'!$I$11:$M$22,12))</f>
        <v>0</v>
      </c>
      <c r="K32" s="486"/>
      <c r="L32" s="339">
        <f t="shared" si="1"/>
        <v>0</v>
      </c>
      <c r="M32" s="339">
        <f t="shared" si="2"/>
        <v>0</v>
      </c>
      <c r="N32" s="523"/>
      <c r="O32" s="1256"/>
      <c r="P32" s="523"/>
      <c r="Q32" s="87"/>
      <c r="R32" s="559"/>
      <c r="S32" s="560"/>
      <c r="T32" s="3359"/>
      <c r="U32" s="3360"/>
      <c r="V32" s="3360"/>
      <c r="W32" s="3361"/>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456" t="str">
        <f t="shared" si="213"/>
        <v/>
      </c>
      <c r="IA32" s="1456" t="str">
        <f t="shared" si="214"/>
        <v/>
      </c>
      <c r="IB32" s="1456" t="str">
        <f t="shared" si="215"/>
        <v/>
      </c>
      <c r="IC32" s="1456" t="str">
        <f t="shared" si="216"/>
        <v/>
      </c>
      <c r="ID32" s="1456" t="str">
        <f t="shared" si="217"/>
        <v/>
      </c>
      <c r="IE32" s="1456" t="str">
        <f t="shared" si="218"/>
        <v/>
      </c>
      <c r="IF32" s="1456" t="str">
        <f t="shared" si="219"/>
        <v/>
      </c>
      <c r="IG32" s="1456" t="str">
        <f t="shared" si="220"/>
        <v/>
      </c>
      <c r="IH32" s="1456" t="str">
        <f t="shared" si="221"/>
        <v/>
      </c>
      <c r="II32" s="1456" t="str">
        <f t="shared" si="222"/>
        <v/>
      </c>
      <c r="IJ32" s="1456" t="str">
        <f t="shared" si="223"/>
        <v/>
      </c>
      <c r="IK32" s="1456" t="str">
        <f t="shared" si="224"/>
        <v/>
      </c>
      <c r="IL32" s="1456" t="str">
        <f t="shared" si="225"/>
        <v/>
      </c>
      <c r="IM32" s="1456" t="str">
        <f t="shared" si="226"/>
        <v/>
      </c>
      <c r="IN32" s="1456" t="str">
        <f t="shared" si="227"/>
        <v/>
      </c>
      <c r="IO32" s="1456" t="str">
        <f t="shared" si="228"/>
        <v/>
      </c>
      <c r="IP32" s="1456" t="str">
        <f t="shared" si="229"/>
        <v/>
      </c>
      <c r="IQ32" s="1456" t="str">
        <f t="shared" si="230"/>
        <v/>
      </c>
      <c r="IR32" s="1456" t="str">
        <f t="shared" si="231"/>
        <v/>
      </c>
      <c r="IS32" s="1456" t="str">
        <f t="shared" si="232"/>
        <v/>
      </c>
      <c r="IT32" s="1456" t="str">
        <f t="shared" si="233"/>
        <v/>
      </c>
      <c r="IU32" s="1456" t="str">
        <f t="shared" si="234"/>
        <v/>
      </c>
      <c r="IV32" s="1456" t="str">
        <f t="shared" si="235"/>
        <v/>
      </c>
      <c r="IW32" s="1456" t="str">
        <f t="shared" si="236"/>
        <v/>
      </c>
      <c r="IX32" s="1456" t="str">
        <f t="shared" si="237"/>
        <v/>
      </c>
      <c r="IY32" s="1456" t="str">
        <f t="shared" si="238"/>
        <v/>
      </c>
      <c r="IZ32" s="1456" t="str">
        <f t="shared" si="239"/>
        <v/>
      </c>
      <c r="JA32" s="1456" t="str">
        <f t="shared" si="240"/>
        <v/>
      </c>
      <c r="JB32" s="1456" t="str">
        <f t="shared" si="241"/>
        <v/>
      </c>
      <c r="JC32" s="1456" t="str">
        <f t="shared" si="242"/>
        <v/>
      </c>
      <c r="JD32" s="1456" t="str">
        <f t="shared" si="243"/>
        <v/>
      </c>
      <c r="JE32" s="1456" t="str">
        <f t="shared" si="244"/>
        <v/>
      </c>
      <c r="JF32" s="1456" t="str">
        <f t="shared" si="245"/>
        <v/>
      </c>
      <c r="JG32" s="1456" t="str">
        <f t="shared" si="246"/>
        <v/>
      </c>
      <c r="JH32" s="1456" t="str">
        <f t="shared" si="247"/>
        <v/>
      </c>
      <c r="JI32" s="1456" t="str">
        <f t="shared" si="248"/>
        <v/>
      </c>
      <c r="JJ32" s="1456" t="str">
        <f t="shared" si="249"/>
        <v/>
      </c>
      <c r="JK32" s="1456" t="str">
        <f t="shared" si="250"/>
        <v/>
      </c>
      <c r="JL32" s="1456" t="str">
        <f t="shared" si="251"/>
        <v/>
      </c>
      <c r="JM32" s="1456" t="str">
        <f t="shared" si="252"/>
        <v/>
      </c>
      <c r="JN32" s="1456" t="str">
        <f t="shared" si="253"/>
        <v/>
      </c>
      <c r="JO32" s="1456" t="str">
        <f t="shared" si="254"/>
        <v/>
      </c>
      <c r="JP32" s="1456" t="str">
        <f t="shared" si="255"/>
        <v/>
      </c>
      <c r="JQ32" s="1456" t="str">
        <f t="shared" si="256"/>
        <v/>
      </c>
      <c r="JR32" s="1456" t="str">
        <f t="shared" si="257"/>
        <v/>
      </c>
      <c r="JS32" s="1456" t="str">
        <f t="shared" si="258"/>
        <v/>
      </c>
      <c r="JT32" s="1456" t="str">
        <f t="shared" si="259"/>
        <v/>
      </c>
      <c r="JU32" s="1456" t="str">
        <f t="shared" si="260"/>
        <v/>
      </c>
      <c r="JV32" s="1456" t="str">
        <f t="shared" si="261"/>
        <v/>
      </c>
      <c r="JW32" s="1456" t="str">
        <f t="shared" si="262"/>
        <v/>
      </c>
      <c r="JX32" s="1456" t="str">
        <f t="shared" si="263"/>
        <v/>
      </c>
      <c r="JY32" s="1456" t="str">
        <f t="shared" si="264"/>
        <v/>
      </c>
      <c r="JZ32" s="1456" t="str">
        <f t="shared" si="265"/>
        <v/>
      </c>
      <c r="KA32" s="1456" t="str">
        <f t="shared" si="266"/>
        <v/>
      </c>
      <c r="KB32" s="1456" t="str">
        <f t="shared" si="267"/>
        <v/>
      </c>
      <c r="KC32" s="1456" t="str">
        <f t="shared" si="268"/>
        <v/>
      </c>
      <c r="KD32" s="1456" t="str">
        <f t="shared" si="269"/>
        <v/>
      </c>
      <c r="KE32" s="1456" t="str">
        <f t="shared" si="270"/>
        <v/>
      </c>
      <c r="KF32" s="1456" t="str">
        <f t="shared" si="271"/>
        <v/>
      </c>
      <c r="KG32" s="1456" t="str">
        <f t="shared" si="272"/>
        <v/>
      </c>
      <c r="KH32" s="1456" t="str">
        <f t="shared" si="273"/>
        <v/>
      </c>
      <c r="KI32" s="1456" t="str">
        <f t="shared" si="274"/>
        <v/>
      </c>
      <c r="KJ32" s="1456" t="str">
        <f t="shared" si="275"/>
        <v/>
      </c>
      <c r="KK32" s="1456" t="str">
        <f t="shared" si="276"/>
        <v/>
      </c>
      <c r="KL32" s="1456" t="str">
        <f t="shared" si="277"/>
        <v/>
      </c>
      <c r="KM32" s="1456" t="str">
        <f t="shared" si="278"/>
        <v/>
      </c>
      <c r="KN32" s="1456" t="str">
        <f t="shared" si="279"/>
        <v/>
      </c>
      <c r="KO32" s="1456" t="str">
        <f t="shared" si="280"/>
        <v/>
      </c>
      <c r="KP32" s="1456" t="str">
        <f t="shared" si="281"/>
        <v/>
      </c>
      <c r="KQ32" s="1456" t="str">
        <f t="shared" si="282"/>
        <v/>
      </c>
      <c r="KR32" s="1456" t="str">
        <f t="shared" si="283"/>
        <v/>
      </c>
      <c r="KS32" s="1456" t="str">
        <f t="shared" si="284"/>
        <v/>
      </c>
      <c r="KT32" s="1456" t="str">
        <f t="shared" si="285"/>
        <v/>
      </c>
      <c r="KU32" s="1456" t="str">
        <f t="shared" si="286"/>
        <v/>
      </c>
      <c r="KV32" s="1456" t="str">
        <f t="shared" si="287"/>
        <v/>
      </c>
      <c r="KW32" s="1456" t="str">
        <f t="shared" si="288"/>
        <v/>
      </c>
      <c r="KX32" s="1456" t="str">
        <f t="shared" si="289"/>
        <v/>
      </c>
      <c r="KY32" s="1456" t="str">
        <f t="shared" si="290"/>
        <v/>
      </c>
      <c r="KZ32" s="1456" t="str">
        <f t="shared" si="291"/>
        <v/>
      </c>
      <c r="LA32" s="1456" t="str">
        <f t="shared" si="292"/>
        <v/>
      </c>
      <c r="LB32" s="1456" t="str">
        <f t="shared" si="293"/>
        <v/>
      </c>
      <c r="LC32" s="1456" t="str">
        <f t="shared" si="294"/>
        <v/>
      </c>
      <c r="LD32" s="1456" t="str">
        <f t="shared" si="295"/>
        <v/>
      </c>
      <c r="LE32" s="1456" t="str">
        <f t="shared" si="296"/>
        <v/>
      </c>
      <c r="LF32" s="1456" t="str">
        <f t="shared" si="297"/>
        <v/>
      </c>
      <c r="LG32" s="1446" t="str">
        <f t="shared" si="298"/>
        <v/>
      </c>
      <c r="LH32" s="1446" t="str">
        <f t="shared" si="299"/>
        <v/>
      </c>
      <c r="LI32" s="1446" t="str">
        <f t="shared" si="300"/>
        <v/>
      </c>
      <c r="LJ32" s="1446" t="str">
        <f t="shared" si="301"/>
        <v/>
      </c>
      <c r="LK32" s="1446"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318">
        <f t="shared" si="323"/>
        <v>0</v>
      </c>
      <c r="MG32" s="1318">
        <f t="shared" si="324"/>
        <v>0</v>
      </c>
      <c r="MH32" s="1318">
        <f t="shared" si="325"/>
        <v>0</v>
      </c>
      <c r="MI32" s="1318">
        <f t="shared" si="326"/>
        <v>0</v>
      </c>
      <c r="MJ32" s="1318">
        <f t="shared" si="327"/>
        <v>0</v>
      </c>
      <c r="MK32" s="1318">
        <f t="shared" si="333"/>
        <v>0</v>
      </c>
      <c r="ML32" s="1318">
        <f t="shared" si="334"/>
        <v>0</v>
      </c>
      <c r="MM32" s="1318">
        <f t="shared" si="335"/>
        <v>0</v>
      </c>
      <c r="MN32" s="1318">
        <f t="shared" si="336"/>
        <v>0</v>
      </c>
      <c r="MO32" s="1318">
        <f t="shared" si="337"/>
        <v>0</v>
      </c>
      <c r="MP32" s="1318">
        <f t="shared" si="328"/>
        <v>0</v>
      </c>
      <c r="MQ32" s="1318">
        <f t="shared" si="329"/>
        <v>0</v>
      </c>
      <c r="MR32" s="1318">
        <f t="shared" si="330"/>
        <v>0</v>
      </c>
      <c r="MS32" s="1318">
        <f t="shared" si="331"/>
        <v>0</v>
      </c>
      <c r="MT32" s="1318">
        <f t="shared" si="332"/>
        <v>0</v>
      </c>
      <c r="NP32" s="1292" t="s">
        <v>1173</v>
      </c>
      <c r="NQ32" s="2082">
        <v>32</v>
      </c>
    </row>
    <row r="33" spans="1:381" ht="13.9" customHeight="1">
      <c r="A33" s="53" t="str">
        <f t="shared" si="0"/>
        <v/>
      </c>
      <c r="B33" s="819"/>
      <c r="C33" s="85"/>
      <c r="D33" s="1320"/>
      <c r="E33" s="86"/>
      <c r="F33" s="86"/>
      <c r="G33" s="86"/>
      <c r="H33" s="86"/>
      <c r="I33" s="86"/>
      <c r="J33" s="570">
        <f>IF(C33="",0,HLOOKUP(C33,'Part IV-Utility Allowances'!$I$11:$M$22,12))</f>
        <v>0</v>
      </c>
      <c r="K33" s="486"/>
      <c r="L33" s="339">
        <f t="shared" si="1"/>
        <v>0</v>
      </c>
      <c r="M33" s="339">
        <f t="shared" si="2"/>
        <v>0</v>
      </c>
      <c r="N33" s="523"/>
      <c r="O33" s="1256"/>
      <c r="P33" s="523"/>
      <c r="Q33" s="87"/>
      <c r="R33" s="559"/>
      <c r="S33" s="560"/>
      <c r="T33" s="3359"/>
      <c r="U33" s="3360"/>
      <c r="V33" s="3360"/>
      <c r="W33" s="3361"/>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456" t="str">
        <f t="shared" si="213"/>
        <v/>
      </c>
      <c r="IA33" s="1456" t="str">
        <f t="shared" si="214"/>
        <v/>
      </c>
      <c r="IB33" s="1456" t="str">
        <f t="shared" si="215"/>
        <v/>
      </c>
      <c r="IC33" s="1456" t="str">
        <f t="shared" si="216"/>
        <v/>
      </c>
      <c r="ID33" s="1456" t="str">
        <f t="shared" si="217"/>
        <v/>
      </c>
      <c r="IE33" s="1456" t="str">
        <f t="shared" si="218"/>
        <v/>
      </c>
      <c r="IF33" s="1456" t="str">
        <f t="shared" si="219"/>
        <v/>
      </c>
      <c r="IG33" s="1456" t="str">
        <f t="shared" si="220"/>
        <v/>
      </c>
      <c r="IH33" s="1456" t="str">
        <f t="shared" si="221"/>
        <v/>
      </c>
      <c r="II33" s="1456" t="str">
        <f t="shared" si="222"/>
        <v/>
      </c>
      <c r="IJ33" s="1456" t="str">
        <f t="shared" si="223"/>
        <v/>
      </c>
      <c r="IK33" s="1456" t="str">
        <f t="shared" si="224"/>
        <v/>
      </c>
      <c r="IL33" s="1456" t="str">
        <f t="shared" si="225"/>
        <v/>
      </c>
      <c r="IM33" s="1456" t="str">
        <f t="shared" si="226"/>
        <v/>
      </c>
      <c r="IN33" s="1456" t="str">
        <f t="shared" si="227"/>
        <v/>
      </c>
      <c r="IO33" s="1456" t="str">
        <f t="shared" si="228"/>
        <v/>
      </c>
      <c r="IP33" s="1456" t="str">
        <f t="shared" si="229"/>
        <v/>
      </c>
      <c r="IQ33" s="1456" t="str">
        <f t="shared" si="230"/>
        <v/>
      </c>
      <c r="IR33" s="1456" t="str">
        <f t="shared" si="231"/>
        <v/>
      </c>
      <c r="IS33" s="1456" t="str">
        <f t="shared" si="232"/>
        <v/>
      </c>
      <c r="IT33" s="1456" t="str">
        <f t="shared" si="233"/>
        <v/>
      </c>
      <c r="IU33" s="1456" t="str">
        <f t="shared" si="234"/>
        <v/>
      </c>
      <c r="IV33" s="1456" t="str">
        <f t="shared" si="235"/>
        <v/>
      </c>
      <c r="IW33" s="1456" t="str">
        <f t="shared" si="236"/>
        <v/>
      </c>
      <c r="IX33" s="1456" t="str">
        <f t="shared" si="237"/>
        <v/>
      </c>
      <c r="IY33" s="1456" t="str">
        <f t="shared" si="238"/>
        <v/>
      </c>
      <c r="IZ33" s="1456" t="str">
        <f t="shared" si="239"/>
        <v/>
      </c>
      <c r="JA33" s="1456" t="str">
        <f t="shared" si="240"/>
        <v/>
      </c>
      <c r="JB33" s="1456" t="str">
        <f t="shared" si="241"/>
        <v/>
      </c>
      <c r="JC33" s="1456" t="str">
        <f t="shared" si="242"/>
        <v/>
      </c>
      <c r="JD33" s="1456" t="str">
        <f t="shared" si="243"/>
        <v/>
      </c>
      <c r="JE33" s="1456" t="str">
        <f t="shared" si="244"/>
        <v/>
      </c>
      <c r="JF33" s="1456" t="str">
        <f t="shared" si="245"/>
        <v/>
      </c>
      <c r="JG33" s="1456" t="str">
        <f t="shared" si="246"/>
        <v/>
      </c>
      <c r="JH33" s="1456" t="str">
        <f t="shared" si="247"/>
        <v/>
      </c>
      <c r="JI33" s="1456" t="str">
        <f t="shared" si="248"/>
        <v/>
      </c>
      <c r="JJ33" s="1456" t="str">
        <f t="shared" si="249"/>
        <v/>
      </c>
      <c r="JK33" s="1456" t="str">
        <f t="shared" si="250"/>
        <v/>
      </c>
      <c r="JL33" s="1456" t="str">
        <f t="shared" si="251"/>
        <v/>
      </c>
      <c r="JM33" s="1456" t="str">
        <f t="shared" si="252"/>
        <v/>
      </c>
      <c r="JN33" s="1456" t="str">
        <f t="shared" si="253"/>
        <v/>
      </c>
      <c r="JO33" s="1456" t="str">
        <f t="shared" si="254"/>
        <v/>
      </c>
      <c r="JP33" s="1456" t="str">
        <f t="shared" si="255"/>
        <v/>
      </c>
      <c r="JQ33" s="1456" t="str">
        <f t="shared" si="256"/>
        <v/>
      </c>
      <c r="JR33" s="1456" t="str">
        <f t="shared" si="257"/>
        <v/>
      </c>
      <c r="JS33" s="1456" t="str">
        <f t="shared" si="258"/>
        <v/>
      </c>
      <c r="JT33" s="1456" t="str">
        <f t="shared" si="259"/>
        <v/>
      </c>
      <c r="JU33" s="1456" t="str">
        <f t="shared" si="260"/>
        <v/>
      </c>
      <c r="JV33" s="1456" t="str">
        <f t="shared" si="261"/>
        <v/>
      </c>
      <c r="JW33" s="1456" t="str">
        <f t="shared" si="262"/>
        <v/>
      </c>
      <c r="JX33" s="1456" t="str">
        <f t="shared" si="263"/>
        <v/>
      </c>
      <c r="JY33" s="1456" t="str">
        <f t="shared" si="264"/>
        <v/>
      </c>
      <c r="JZ33" s="1456" t="str">
        <f t="shared" si="265"/>
        <v/>
      </c>
      <c r="KA33" s="1456" t="str">
        <f t="shared" si="266"/>
        <v/>
      </c>
      <c r="KB33" s="1456" t="str">
        <f t="shared" si="267"/>
        <v/>
      </c>
      <c r="KC33" s="1456" t="str">
        <f t="shared" si="268"/>
        <v/>
      </c>
      <c r="KD33" s="1456" t="str">
        <f t="shared" si="269"/>
        <v/>
      </c>
      <c r="KE33" s="1456" t="str">
        <f t="shared" si="270"/>
        <v/>
      </c>
      <c r="KF33" s="1456" t="str">
        <f t="shared" si="271"/>
        <v/>
      </c>
      <c r="KG33" s="1456" t="str">
        <f t="shared" si="272"/>
        <v/>
      </c>
      <c r="KH33" s="1456" t="str">
        <f t="shared" si="273"/>
        <v/>
      </c>
      <c r="KI33" s="1456" t="str">
        <f t="shared" si="274"/>
        <v/>
      </c>
      <c r="KJ33" s="1456" t="str">
        <f t="shared" si="275"/>
        <v/>
      </c>
      <c r="KK33" s="1456" t="str">
        <f t="shared" si="276"/>
        <v/>
      </c>
      <c r="KL33" s="1456" t="str">
        <f t="shared" si="277"/>
        <v/>
      </c>
      <c r="KM33" s="1456" t="str">
        <f t="shared" si="278"/>
        <v/>
      </c>
      <c r="KN33" s="1456" t="str">
        <f t="shared" si="279"/>
        <v/>
      </c>
      <c r="KO33" s="1456" t="str">
        <f t="shared" si="280"/>
        <v/>
      </c>
      <c r="KP33" s="1456" t="str">
        <f t="shared" si="281"/>
        <v/>
      </c>
      <c r="KQ33" s="1456" t="str">
        <f t="shared" si="282"/>
        <v/>
      </c>
      <c r="KR33" s="1456" t="str">
        <f t="shared" si="283"/>
        <v/>
      </c>
      <c r="KS33" s="1456" t="str">
        <f t="shared" si="284"/>
        <v/>
      </c>
      <c r="KT33" s="1456" t="str">
        <f t="shared" si="285"/>
        <v/>
      </c>
      <c r="KU33" s="1456" t="str">
        <f t="shared" si="286"/>
        <v/>
      </c>
      <c r="KV33" s="1456" t="str">
        <f t="shared" si="287"/>
        <v/>
      </c>
      <c r="KW33" s="1456" t="str">
        <f t="shared" si="288"/>
        <v/>
      </c>
      <c r="KX33" s="1456" t="str">
        <f t="shared" si="289"/>
        <v/>
      </c>
      <c r="KY33" s="1456" t="str">
        <f t="shared" si="290"/>
        <v/>
      </c>
      <c r="KZ33" s="1456" t="str">
        <f t="shared" si="291"/>
        <v/>
      </c>
      <c r="LA33" s="1456" t="str">
        <f t="shared" si="292"/>
        <v/>
      </c>
      <c r="LB33" s="1456" t="str">
        <f t="shared" si="293"/>
        <v/>
      </c>
      <c r="LC33" s="1456" t="str">
        <f t="shared" si="294"/>
        <v/>
      </c>
      <c r="LD33" s="1456" t="str">
        <f t="shared" si="295"/>
        <v/>
      </c>
      <c r="LE33" s="1456" t="str">
        <f t="shared" si="296"/>
        <v/>
      </c>
      <c r="LF33" s="1456" t="str">
        <f t="shared" si="297"/>
        <v/>
      </c>
      <c r="LG33" s="1446" t="str">
        <f t="shared" si="298"/>
        <v/>
      </c>
      <c r="LH33" s="1446" t="str">
        <f t="shared" si="299"/>
        <v/>
      </c>
      <c r="LI33" s="1446" t="str">
        <f t="shared" si="300"/>
        <v/>
      </c>
      <c r="LJ33" s="1446" t="str">
        <f t="shared" si="301"/>
        <v/>
      </c>
      <c r="LK33" s="1446"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318">
        <f t="shared" si="323"/>
        <v>0</v>
      </c>
      <c r="MG33" s="1318">
        <f t="shared" si="324"/>
        <v>0</v>
      </c>
      <c r="MH33" s="1318">
        <f t="shared" si="325"/>
        <v>0</v>
      </c>
      <c r="MI33" s="1318">
        <f t="shared" si="326"/>
        <v>0</v>
      </c>
      <c r="MJ33" s="1318">
        <f t="shared" si="327"/>
        <v>0</v>
      </c>
      <c r="MK33" s="1318">
        <f t="shared" si="333"/>
        <v>0</v>
      </c>
      <c r="ML33" s="1318">
        <f t="shared" si="334"/>
        <v>0</v>
      </c>
      <c r="MM33" s="1318">
        <f t="shared" si="335"/>
        <v>0</v>
      </c>
      <c r="MN33" s="1318">
        <f t="shared" si="336"/>
        <v>0</v>
      </c>
      <c r="MO33" s="1318">
        <f t="shared" si="337"/>
        <v>0</v>
      </c>
      <c r="MP33" s="1318">
        <f t="shared" si="328"/>
        <v>0</v>
      </c>
      <c r="MQ33" s="1318">
        <f t="shared" si="329"/>
        <v>0</v>
      </c>
      <c r="MR33" s="1318">
        <f t="shared" si="330"/>
        <v>0</v>
      </c>
      <c r="MS33" s="1318">
        <f t="shared" si="331"/>
        <v>0</v>
      </c>
      <c r="MT33" s="1318">
        <f t="shared" si="332"/>
        <v>0</v>
      </c>
      <c r="NP33" s="1292" t="s">
        <v>1174</v>
      </c>
      <c r="NQ33" s="2080">
        <v>33</v>
      </c>
    </row>
    <row r="34" spans="1:381" ht="13.9" customHeight="1">
      <c r="A34" s="53" t="str">
        <f t="shared" si="0"/>
        <v/>
      </c>
      <c r="B34" s="819"/>
      <c r="C34" s="85"/>
      <c r="D34" s="1320"/>
      <c r="E34" s="86"/>
      <c r="F34" s="86"/>
      <c r="G34" s="86"/>
      <c r="H34" s="86"/>
      <c r="I34" s="86"/>
      <c r="J34" s="570">
        <f>IF(C34="",0,HLOOKUP(C34,'Part IV-Utility Allowances'!$I$11:$M$22,12))</f>
        <v>0</v>
      </c>
      <c r="K34" s="486"/>
      <c r="L34" s="339">
        <f t="shared" si="1"/>
        <v>0</v>
      </c>
      <c r="M34" s="339">
        <f t="shared" si="2"/>
        <v>0</v>
      </c>
      <c r="N34" s="523"/>
      <c r="O34" s="1256"/>
      <c r="P34" s="523"/>
      <c r="Q34" s="87"/>
      <c r="R34" s="559"/>
      <c r="S34" s="560"/>
      <c r="T34" s="3359"/>
      <c r="U34" s="3360"/>
      <c r="V34" s="3360"/>
      <c r="W34" s="3361"/>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456" t="str">
        <f t="shared" si="213"/>
        <v/>
      </c>
      <c r="IA34" s="1456" t="str">
        <f t="shared" si="214"/>
        <v/>
      </c>
      <c r="IB34" s="1456" t="str">
        <f t="shared" si="215"/>
        <v/>
      </c>
      <c r="IC34" s="1456" t="str">
        <f t="shared" si="216"/>
        <v/>
      </c>
      <c r="ID34" s="1456" t="str">
        <f t="shared" si="217"/>
        <v/>
      </c>
      <c r="IE34" s="1456" t="str">
        <f t="shared" si="218"/>
        <v/>
      </c>
      <c r="IF34" s="1456" t="str">
        <f t="shared" si="219"/>
        <v/>
      </c>
      <c r="IG34" s="1456" t="str">
        <f t="shared" si="220"/>
        <v/>
      </c>
      <c r="IH34" s="1456" t="str">
        <f t="shared" si="221"/>
        <v/>
      </c>
      <c r="II34" s="1456" t="str">
        <f t="shared" si="222"/>
        <v/>
      </c>
      <c r="IJ34" s="1456" t="str">
        <f t="shared" si="223"/>
        <v/>
      </c>
      <c r="IK34" s="1456" t="str">
        <f t="shared" si="224"/>
        <v/>
      </c>
      <c r="IL34" s="1456" t="str">
        <f t="shared" si="225"/>
        <v/>
      </c>
      <c r="IM34" s="1456" t="str">
        <f t="shared" si="226"/>
        <v/>
      </c>
      <c r="IN34" s="1456" t="str">
        <f t="shared" si="227"/>
        <v/>
      </c>
      <c r="IO34" s="1456" t="str">
        <f t="shared" si="228"/>
        <v/>
      </c>
      <c r="IP34" s="1456" t="str">
        <f t="shared" si="229"/>
        <v/>
      </c>
      <c r="IQ34" s="1456" t="str">
        <f t="shared" si="230"/>
        <v/>
      </c>
      <c r="IR34" s="1456" t="str">
        <f t="shared" si="231"/>
        <v/>
      </c>
      <c r="IS34" s="1456" t="str">
        <f t="shared" si="232"/>
        <v/>
      </c>
      <c r="IT34" s="1456" t="str">
        <f t="shared" si="233"/>
        <v/>
      </c>
      <c r="IU34" s="1456" t="str">
        <f t="shared" si="234"/>
        <v/>
      </c>
      <c r="IV34" s="1456" t="str">
        <f t="shared" si="235"/>
        <v/>
      </c>
      <c r="IW34" s="1456" t="str">
        <f t="shared" si="236"/>
        <v/>
      </c>
      <c r="IX34" s="1456" t="str">
        <f t="shared" si="237"/>
        <v/>
      </c>
      <c r="IY34" s="1456" t="str">
        <f t="shared" si="238"/>
        <v/>
      </c>
      <c r="IZ34" s="1456" t="str">
        <f t="shared" si="239"/>
        <v/>
      </c>
      <c r="JA34" s="1456" t="str">
        <f t="shared" si="240"/>
        <v/>
      </c>
      <c r="JB34" s="1456" t="str">
        <f t="shared" si="241"/>
        <v/>
      </c>
      <c r="JC34" s="1456" t="str">
        <f t="shared" si="242"/>
        <v/>
      </c>
      <c r="JD34" s="1456" t="str">
        <f t="shared" si="243"/>
        <v/>
      </c>
      <c r="JE34" s="1456" t="str">
        <f t="shared" si="244"/>
        <v/>
      </c>
      <c r="JF34" s="1456" t="str">
        <f t="shared" si="245"/>
        <v/>
      </c>
      <c r="JG34" s="1456" t="str">
        <f t="shared" si="246"/>
        <v/>
      </c>
      <c r="JH34" s="1456" t="str">
        <f t="shared" si="247"/>
        <v/>
      </c>
      <c r="JI34" s="1456" t="str">
        <f t="shared" si="248"/>
        <v/>
      </c>
      <c r="JJ34" s="1456" t="str">
        <f t="shared" si="249"/>
        <v/>
      </c>
      <c r="JK34" s="1456" t="str">
        <f t="shared" si="250"/>
        <v/>
      </c>
      <c r="JL34" s="1456" t="str">
        <f t="shared" si="251"/>
        <v/>
      </c>
      <c r="JM34" s="1456" t="str">
        <f t="shared" si="252"/>
        <v/>
      </c>
      <c r="JN34" s="1456" t="str">
        <f t="shared" si="253"/>
        <v/>
      </c>
      <c r="JO34" s="1456" t="str">
        <f t="shared" si="254"/>
        <v/>
      </c>
      <c r="JP34" s="1456" t="str">
        <f t="shared" si="255"/>
        <v/>
      </c>
      <c r="JQ34" s="1456" t="str">
        <f t="shared" si="256"/>
        <v/>
      </c>
      <c r="JR34" s="1456" t="str">
        <f t="shared" si="257"/>
        <v/>
      </c>
      <c r="JS34" s="1456" t="str">
        <f t="shared" si="258"/>
        <v/>
      </c>
      <c r="JT34" s="1456" t="str">
        <f t="shared" si="259"/>
        <v/>
      </c>
      <c r="JU34" s="1456" t="str">
        <f t="shared" si="260"/>
        <v/>
      </c>
      <c r="JV34" s="1456" t="str">
        <f t="shared" si="261"/>
        <v/>
      </c>
      <c r="JW34" s="1456" t="str">
        <f t="shared" si="262"/>
        <v/>
      </c>
      <c r="JX34" s="1456" t="str">
        <f t="shared" si="263"/>
        <v/>
      </c>
      <c r="JY34" s="1456" t="str">
        <f t="shared" si="264"/>
        <v/>
      </c>
      <c r="JZ34" s="1456" t="str">
        <f t="shared" si="265"/>
        <v/>
      </c>
      <c r="KA34" s="1456" t="str">
        <f t="shared" si="266"/>
        <v/>
      </c>
      <c r="KB34" s="1456" t="str">
        <f t="shared" si="267"/>
        <v/>
      </c>
      <c r="KC34" s="1456" t="str">
        <f t="shared" si="268"/>
        <v/>
      </c>
      <c r="KD34" s="1456" t="str">
        <f t="shared" si="269"/>
        <v/>
      </c>
      <c r="KE34" s="1456" t="str">
        <f t="shared" si="270"/>
        <v/>
      </c>
      <c r="KF34" s="1456" t="str">
        <f t="shared" si="271"/>
        <v/>
      </c>
      <c r="KG34" s="1456" t="str">
        <f t="shared" si="272"/>
        <v/>
      </c>
      <c r="KH34" s="1456" t="str">
        <f t="shared" si="273"/>
        <v/>
      </c>
      <c r="KI34" s="1456" t="str">
        <f t="shared" si="274"/>
        <v/>
      </c>
      <c r="KJ34" s="1456" t="str">
        <f t="shared" si="275"/>
        <v/>
      </c>
      <c r="KK34" s="1456" t="str">
        <f t="shared" si="276"/>
        <v/>
      </c>
      <c r="KL34" s="1456" t="str">
        <f t="shared" si="277"/>
        <v/>
      </c>
      <c r="KM34" s="1456" t="str">
        <f t="shared" si="278"/>
        <v/>
      </c>
      <c r="KN34" s="1456" t="str">
        <f t="shared" si="279"/>
        <v/>
      </c>
      <c r="KO34" s="1456" t="str">
        <f t="shared" si="280"/>
        <v/>
      </c>
      <c r="KP34" s="1456" t="str">
        <f t="shared" si="281"/>
        <v/>
      </c>
      <c r="KQ34" s="1456" t="str">
        <f t="shared" si="282"/>
        <v/>
      </c>
      <c r="KR34" s="1456" t="str">
        <f t="shared" si="283"/>
        <v/>
      </c>
      <c r="KS34" s="1456" t="str">
        <f t="shared" si="284"/>
        <v/>
      </c>
      <c r="KT34" s="1456" t="str">
        <f t="shared" si="285"/>
        <v/>
      </c>
      <c r="KU34" s="1456" t="str">
        <f t="shared" si="286"/>
        <v/>
      </c>
      <c r="KV34" s="1456" t="str">
        <f t="shared" si="287"/>
        <v/>
      </c>
      <c r="KW34" s="1456" t="str">
        <f t="shared" si="288"/>
        <v/>
      </c>
      <c r="KX34" s="1456" t="str">
        <f t="shared" si="289"/>
        <v/>
      </c>
      <c r="KY34" s="1456" t="str">
        <f t="shared" si="290"/>
        <v/>
      </c>
      <c r="KZ34" s="1456" t="str">
        <f t="shared" si="291"/>
        <v/>
      </c>
      <c r="LA34" s="1456" t="str">
        <f t="shared" si="292"/>
        <v/>
      </c>
      <c r="LB34" s="1456" t="str">
        <f t="shared" si="293"/>
        <v/>
      </c>
      <c r="LC34" s="1456" t="str">
        <f t="shared" si="294"/>
        <v/>
      </c>
      <c r="LD34" s="1456" t="str">
        <f t="shared" si="295"/>
        <v/>
      </c>
      <c r="LE34" s="1456" t="str">
        <f t="shared" si="296"/>
        <v/>
      </c>
      <c r="LF34" s="1456" t="str">
        <f t="shared" si="297"/>
        <v/>
      </c>
      <c r="LG34" s="1446" t="str">
        <f t="shared" si="298"/>
        <v/>
      </c>
      <c r="LH34" s="1446" t="str">
        <f t="shared" si="299"/>
        <v/>
      </c>
      <c r="LI34" s="1446" t="str">
        <f t="shared" si="300"/>
        <v/>
      </c>
      <c r="LJ34" s="1446" t="str">
        <f t="shared" si="301"/>
        <v/>
      </c>
      <c r="LK34" s="1446"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318">
        <f t="shared" si="323"/>
        <v>0</v>
      </c>
      <c r="MG34" s="1318">
        <f t="shared" si="324"/>
        <v>0</v>
      </c>
      <c r="MH34" s="1318">
        <f t="shared" si="325"/>
        <v>0</v>
      </c>
      <c r="MI34" s="1318">
        <f t="shared" si="326"/>
        <v>0</v>
      </c>
      <c r="MJ34" s="1318">
        <f t="shared" si="327"/>
        <v>0</v>
      </c>
      <c r="MK34" s="1318">
        <f t="shared" si="333"/>
        <v>0</v>
      </c>
      <c r="ML34" s="1318">
        <f t="shared" si="334"/>
        <v>0</v>
      </c>
      <c r="MM34" s="1318">
        <f t="shared" si="335"/>
        <v>0</v>
      </c>
      <c r="MN34" s="1318">
        <f t="shared" si="336"/>
        <v>0</v>
      </c>
      <c r="MO34" s="1318">
        <f t="shared" si="337"/>
        <v>0</v>
      </c>
      <c r="MP34" s="1318">
        <f t="shared" si="328"/>
        <v>0</v>
      </c>
      <c r="MQ34" s="1318">
        <f t="shared" si="329"/>
        <v>0</v>
      </c>
      <c r="MR34" s="1318">
        <f t="shared" si="330"/>
        <v>0</v>
      </c>
      <c r="MS34" s="1318">
        <f t="shared" si="331"/>
        <v>0</v>
      </c>
      <c r="MT34" s="1318">
        <f t="shared" si="332"/>
        <v>0</v>
      </c>
      <c r="NP34" s="1292" t="s">
        <v>1175</v>
      </c>
      <c r="NQ34" s="2082">
        <v>34</v>
      </c>
    </row>
    <row r="35" spans="1:381" ht="13.9" customHeight="1">
      <c r="A35" s="53" t="str">
        <f t="shared" si="0"/>
        <v/>
      </c>
      <c r="B35" s="819"/>
      <c r="C35" s="85"/>
      <c r="D35" s="1320"/>
      <c r="E35" s="86"/>
      <c r="F35" s="86"/>
      <c r="G35" s="86"/>
      <c r="H35" s="86"/>
      <c r="I35" s="86"/>
      <c r="J35" s="570">
        <f>IF(C35="",0,HLOOKUP(C35,'Part IV-Utility Allowances'!$I$11:$M$22,12))</f>
        <v>0</v>
      </c>
      <c r="K35" s="486"/>
      <c r="L35" s="339">
        <f t="shared" si="1"/>
        <v>0</v>
      </c>
      <c r="M35" s="339">
        <f t="shared" si="2"/>
        <v>0</v>
      </c>
      <c r="N35" s="523"/>
      <c r="O35" s="1256"/>
      <c r="P35" s="523"/>
      <c r="Q35" s="87"/>
      <c r="R35" s="559"/>
      <c r="S35" s="560"/>
      <c r="T35" s="3359"/>
      <c r="U35" s="3360"/>
      <c r="V35" s="3360"/>
      <c r="W35" s="3361"/>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456" t="str">
        <f t="shared" si="213"/>
        <v/>
      </c>
      <c r="IA35" s="1456" t="str">
        <f t="shared" si="214"/>
        <v/>
      </c>
      <c r="IB35" s="1456" t="str">
        <f t="shared" si="215"/>
        <v/>
      </c>
      <c r="IC35" s="1456" t="str">
        <f t="shared" si="216"/>
        <v/>
      </c>
      <c r="ID35" s="1456" t="str">
        <f t="shared" si="217"/>
        <v/>
      </c>
      <c r="IE35" s="1456" t="str">
        <f t="shared" si="218"/>
        <v/>
      </c>
      <c r="IF35" s="1456" t="str">
        <f t="shared" si="219"/>
        <v/>
      </c>
      <c r="IG35" s="1456" t="str">
        <f t="shared" si="220"/>
        <v/>
      </c>
      <c r="IH35" s="1456" t="str">
        <f t="shared" si="221"/>
        <v/>
      </c>
      <c r="II35" s="1456" t="str">
        <f t="shared" si="222"/>
        <v/>
      </c>
      <c r="IJ35" s="1456" t="str">
        <f t="shared" si="223"/>
        <v/>
      </c>
      <c r="IK35" s="1456" t="str">
        <f t="shared" si="224"/>
        <v/>
      </c>
      <c r="IL35" s="1456" t="str">
        <f t="shared" si="225"/>
        <v/>
      </c>
      <c r="IM35" s="1456" t="str">
        <f t="shared" si="226"/>
        <v/>
      </c>
      <c r="IN35" s="1456" t="str">
        <f t="shared" si="227"/>
        <v/>
      </c>
      <c r="IO35" s="1456" t="str">
        <f t="shared" si="228"/>
        <v/>
      </c>
      <c r="IP35" s="1456" t="str">
        <f t="shared" si="229"/>
        <v/>
      </c>
      <c r="IQ35" s="1456" t="str">
        <f t="shared" si="230"/>
        <v/>
      </c>
      <c r="IR35" s="1456" t="str">
        <f t="shared" si="231"/>
        <v/>
      </c>
      <c r="IS35" s="1456" t="str">
        <f t="shared" si="232"/>
        <v/>
      </c>
      <c r="IT35" s="1456" t="str">
        <f t="shared" si="233"/>
        <v/>
      </c>
      <c r="IU35" s="1456" t="str">
        <f t="shared" si="234"/>
        <v/>
      </c>
      <c r="IV35" s="1456" t="str">
        <f t="shared" si="235"/>
        <v/>
      </c>
      <c r="IW35" s="1456" t="str">
        <f t="shared" si="236"/>
        <v/>
      </c>
      <c r="IX35" s="1456" t="str">
        <f t="shared" si="237"/>
        <v/>
      </c>
      <c r="IY35" s="1456" t="str">
        <f t="shared" si="238"/>
        <v/>
      </c>
      <c r="IZ35" s="1456" t="str">
        <f t="shared" si="239"/>
        <v/>
      </c>
      <c r="JA35" s="1456" t="str">
        <f t="shared" si="240"/>
        <v/>
      </c>
      <c r="JB35" s="1456" t="str">
        <f t="shared" si="241"/>
        <v/>
      </c>
      <c r="JC35" s="1456" t="str">
        <f t="shared" si="242"/>
        <v/>
      </c>
      <c r="JD35" s="1456" t="str">
        <f t="shared" si="243"/>
        <v/>
      </c>
      <c r="JE35" s="1456" t="str">
        <f t="shared" si="244"/>
        <v/>
      </c>
      <c r="JF35" s="1456" t="str">
        <f t="shared" si="245"/>
        <v/>
      </c>
      <c r="JG35" s="1456" t="str">
        <f t="shared" si="246"/>
        <v/>
      </c>
      <c r="JH35" s="1456" t="str">
        <f t="shared" si="247"/>
        <v/>
      </c>
      <c r="JI35" s="1456" t="str">
        <f t="shared" si="248"/>
        <v/>
      </c>
      <c r="JJ35" s="1456" t="str">
        <f t="shared" si="249"/>
        <v/>
      </c>
      <c r="JK35" s="1456" t="str">
        <f t="shared" si="250"/>
        <v/>
      </c>
      <c r="JL35" s="1456" t="str">
        <f t="shared" si="251"/>
        <v/>
      </c>
      <c r="JM35" s="1456" t="str">
        <f t="shared" si="252"/>
        <v/>
      </c>
      <c r="JN35" s="1456" t="str">
        <f t="shared" si="253"/>
        <v/>
      </c>
      <c r="JO35" s="1456" t="str">
        <f t="shared" si="254"/>
        <v/>
      </c>
      <c r="JP35" s="1456" t="str">
        <f t="shared" si="255"/>
        <v/>
      </c>
      <c r="JQ35" s="1456" t="str">
        <f t="shared" si="256"/>
        <v/>
      </c>
      <c r="JR35" s="1456" t="str">
        <f t="shared" si="257"/>
        <v/>
      </c>
      <c r="JS35" s="1456" t="str">
        <f t="shared" si="258"/>
        <v/>
      </c>
      <c r="JT35" s="1456" t="str">
        <f t="shared" si="259"/>
        <v/>
      </c>
      <c r="JU35" s="1456" t="str">
        <f t="shared" si="260"/>
        <v/>
      </c>
      <c r="JV35" s="1456" t="str">
        <f t="shared" si="261"/>
        <v/>
      </c>
      <c r="JW35" s="1456" t="str">
        <f t="shared" si="262"/>
        <v/>
      </c>
      <c r="JX35" s="1456" t="str">
        <f t="shared" si="263"/>
        <v/>
      </c>
      <c r="JY35" s="1456" t="str">
        <f t="shared" si="264"/>
        <v/>
      </c>
      <c r="JZ35" s="1456" t="str">
        <f t="shared" si="265"/>
        <v/>
      </c>
      <c r="KA35" s="1456" t="str">
        <f t="shared" si="266"/>
        <v/>
      </c>
      <c r="KB35" s="1456" t="str">
        <f t="shared" si="267"/>
        <v/>
      </c>
      <c r="KC35" s="1456" t="str">
        <f t="shared" si="268"/>
        <v/>
      </c>
      <c r="KD35" s="1456" t="str">
        <f t="shared" si="269"/>
        <v/>
      </c>
      <c r="KE35" s="1456" t="str">
        <f t="shared" si="270"/>
        <v/>
      </c>
      <c r="KF35" s="1456" t="str">
        <f t="shared" si="271"/>
        <v/>
      </c>
      <c r="KG35" s="1456" t="str">
        <f t="shared" si="272"/>
        <v/>
      </c>
      <c r="KH35" s="1456" t="str">
        <f t="shared" si="273"/>
        <v/>
      </c>
      <c r="KI35" s="1456" t="str">
        <f t="shared" si="274"/>
        <v/>
      </c>
      <c r="KJ35" s="1456" t="str">
        <f t="shared" si="275"/>
        <v/>
      </c>
      <c r="KK35" s="1456" t="str">
        <f t="shared" si="276"/>
        <v/>
      </c>
      <c r="KL35" s="1456" t="str">
        <f t="shared" si="277"/>
        <v/>
      </c>
      <c r="KM35" s="1456" t="str">
        <f t="shared" si="278"/>
        <v/>
      </c>
      <c r="KN35" s="1456" t="str">
        <f t="shared" si="279"/>
        <v/>
      </c>
      <c r="KO35" s="1456" t="str">
        <f t="shared" si="280"/>
        <v/>
      </c>
      <c r="KP35" s="1456" t="str">
        <f t="shared" si="281"/>
        <v/>
      </c>
      <c r="KQ35" s="1456" t="str">
        <f t="shared" si="282"/>
        <v/>
      </c>
      <c r="KR35" s="1456" t="str">
        <f t="shared" si="283"/>
        <v/>
      </c>
      <c r="KS35" s="1456" t="str">
        <f t="shared" si="284"/>
        <v/>
      </c>
      <c r="KT35" s="1456" t="str">
        <f t="shared" si="285"/>
        <v/>
      </c>
      <c r="KU35" s="1456" t="str">
        <f t="shared" si="286"/>
        <v/>
      </c>
      <c r="KV35" s="1456" t="str">
        <f t="shared" si="287"/>
        <v/>
      </c>
      <c r="KW35" s="1456" t="str">
        <f t="shared" si="288"/>
        <v/>
      </c>
      <c r="KX35" s="1456" t="str">
        <f t="shared" si="289"/>
        <v/>
      </c>
      <c r="KY35" s="1456" t="str">
        <f t="shared" si="290"/>
        <v/>
      </c>
      <c r="KZ35" s="1456" t="str">
        <f t="shared" si="291"/>
        <v/>
      </c>
      <c r="LA35" s="1456" t="str">
        <f t="shared" si="292"/>
        <v/>
      </c>
      <c r="LB35" s="1456" t="str">
        <f t="shared" si="293"/>
        <v/>
      </c>
      <c r="LC35" s="1456" t="str">
        <f t="shared" si="294"/>
        <v/>
      </c>
      <c r="LD35" s="1456" t="str">
        <f t="shared" si="295"/>
        <v/>
      </c>
      <c r="LE35" s="1456" t="str">
        <f t="shared" si="296"/>
        <v/>
      </c>
      <c r="LF35" s="1456" t="str">
        <f t="shared" si="297"/>
        <v/>
      </c>
      <c r="LG35" s="1446" t="str">
        <f t="shared" si="298"/>
        <v/>
      </c>
      <c r="LH35" s="1446" t="str">
        <f t="shared" si="299"/>
        <v/>
      </c>
      <c r="LI35" s="1446" t="str">
        <f t="shared" si="300"/>
        <v/>
      </c>
      <c r="LJ35" s="1446" t="str">
        <f t="shared" si="301"/>
        <v/>
      </c>
      <c r="LK35" s="1446"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318">
        <f t="shared" si="323"/>
        <v>0</v>
      </c>
      <c r="MG35" s="1318">
        <f t="shared" si="324"/>
        <v>0</v>
      </c>
      <c r="MH35" s="1318">
        <f t="shared" si="325"/>
        <v>0</v>
      </c>
      <c r="MI35" s="1318">
        <f t="shared" si="326"/>
        <v>0</v>
      </c>
      <c r="MJ35" s="1318">
        <f t="shared" si="327"/>
        <v>0</v>
      </c>
      <c r="MK35" s="1318">
        <f t="shared" si="333"/>
        <v>0</v>
      </c>
      <c r="ML35" s="1318">
        <f t="shared" si="334"/>
        <v>0</v>
      </c>
      <c r="MM35" s="1318">
        <f t="shared" si="335"/>
        <v>0</v>
      </c>
      <c r="MN35" s="1318">
        <f t="shared" si="336"/>
        <v>0</v>
      </c>
      <c r="MO35" s="1318">
        <f t="shared" si="337"/>
        <v>0</v>
      </c>
      <c r="MP35" s="1318">
        <f t="shared" si="328"/>
        <v>0</v>
      </c>
      <c r="MQ35" s="1318">
        <f t="shared" si="329"/>
        <v>0</v>
      </c>
      <c r="MR35" s="1318">
        <f t="shared" si="330"/>
        <v>0</v>
      </c>
      <c r="MS35" s="1318">
        <f t="shared" si="331"/>
        <v>0</v>
      </c>
      <c r="MT35" s="1318">
        <f t="shared" si="332"/>
        <v>0</v>
      </c>
      <c r="NP35" s="1292" t="s">
        <v>1176</v>
      </c>
      <c r="NQ35" s="2082">
        <v>35</v>
      </c>
    </row>
    <row r="36" spans="1:381" ht="13.9" customHeight="1">
      <c r="A36" s="53" t="str">
        <f t="shared" si="0"/>
        <v/>
      </c>
      <c r="B36" s="819"/>
      <c r="C36" s="85"/>
      <c r="D36" s="1320"/>
      <c r="E36" s="86"/>
      <c r="F36" s="86"/>
      <c r="G36" s="86"/>
      <c r="H36" s="86"/>
      <c r="I36" s="86"/>
      <c r="J36" s="570">
        <f>IF(C36="",0,HLOOKUP(C36,'Part IV-Utility Allowances'!$I$11:$M$22,12))</f>
        <v>0</v>
      </c>
      <c r="K36" s="486"/>
      <c r="L36" s="339">
        <f t="shared" si="1"/>
        <v>0</v>
      </c>
      <c r="M36" s="339">
        <f t="shared" si="2"/>
        <v>0</v>
      </c>
      <c r="N36" s="523"/>
      <c r="O36" s="1256"/>
      <c r="P36" s="523"/>
      <c r="Q36" s="87"/>
      <c r="R36" s="559"/>
      <c r="S36" s="560"/>
      <c r="T36" s="3359"/>
      <c r="U36" s="3360"/>
      <c r="V36" s="3360"/>
      <c r="W36" s="3361"/>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456" t="str">
        <f t="shared" si="213"/>
        <v/>
      </c>
      <c r="IA36" s="1456" t="str">
        <f t="shared" si="214"/>
        <v/>
      </c>
      <c r="IB36" s="1456" t="str">
        <f t="shared" si="215"/>
        <v/>
      </c>
      <c r="IC36" s="1456" t="str">
        <f t="shared" si="216"/>
        <v/>
      </c>
      <c r="ID36" s="1456" t="str">
        <f t="shared" si="217"/>
        <v/>
      </c>
      <c r="IE36" s="1456" t="str">
        <f t="shared" si="218"/>
        <v/>
      </c>
      <c r="IF36" s="1456" t="str">
        <f t="shared" si="219"/>
        <v/>
      </c>
      <c r="IG36" s="1456" t="str">
        <f t="shared" si="220"/>
        <v/>
      </c>
      <c r="IH36" s="1456" t="str">
        <f t="shared" si="221"/>
        <v/>
      </c>
      <c r="II36" s="1456" t="str">
        <f t="shared" si="222"/>
        <v/>
      </c>
      <c r="IJ36" s="1456" t="str">
        <f t="shared" si="223"/>
        <v/>
      </c>
      <c r="IK36" s="1456" t="str">
        <f t="shared" si="224"/>
        <v/>
      </c>
      <c r="IL36" s="1456" t="str">
        <f t="shared" si="225"/>
        <v/>
      </c>
      <c r="IM36" s="1456" t="str">
        <f t="shared" si="226"/>
        <v/>
      </c>
      <c r="IN36" s="1456" t="str">
        <f t="shared" si="227"/>
        <v/>
      </c>
      <c r="IO36" s="1456" t="str">
        <f t="shared" si="228"/>
        <v/>
      </c>
      <c r="IP36" s="1456" t="str">
        <f t="shared" si="229"/>
        <v/>
      </c>
      <c r="IQ36" s="1456" t="str">
        <f t="shared" si="230"/>
        <v/>
      </c>
      <c r="IR36" s="1456" t="str">
        <f t="shared" si="231"/>
        <v/>
      </c>
      <c r="IS36" s="1456" t="str">
        <f t="shared" si="232"/>
        <v/>
      </c>
      <c r="IT36" s="1456" t="str">
        <f t="shared" si="233"/>
        <v/>
      </c>
      <c r="IU36" s="1456" t="str">
        <f t="shared" si="234"/>
        <v/>
      </c>
      <c r="IV36" s="1456" t="str">
        <f t="shared" si="235"/>
        <v/>
      </c>
      <c r="IW36" s="1456" t="str">
        <f t="shared" si="236"/>
        <v/>
      </c>
      <c r="IX36" s="1456" t="str">
        <f t="shared" si="237"/>
        <v/>
      </c>
      <c r="IY36" s="1456" t="str">
        <f t="shared" si="238"/>
        <v/>
      </c>
      <c r="IZ36" s="1456" t="str">
        <f t="shared" si="239"/>
        <v/>
      </c>
      <c r="JA36" s="1456" t="str">
        <f t="shared" si="240"/>
        <v/>
      </c>
      <c r="JB36" s="1456" t="str">
        <f t="shared" si="241"/>
        <v/>
      </c>
      <c r="JC36" s="1456" t="str">
        <f t="shared" si="242"/>
        <v/>
      </c>
      <c r="JD36" s="1456" t="str">
        <f t="shared" si="243"/>
        <v/>
      </c>
      <c r="JE36" s="1456" t="str">
        <f t="shared" si="244"/>
        <v/>
      </c>
      <c r="JF36" s="1456" t="str">
        <f t="shared" si="245"/>
        <v/>
      </c>
      <c r="JG36" s="1456" t="str">
        <f t="shared" si="246"/>
        <v/>
      </c>
      <c r="JH36" s="1456" t="str">
        <f t="shared" si="247"/>
        <v/>
      </c>
      <c r="JI36" s="1456" t="str">
        <f t="shared" si="248"/>
        <v/>
      </c>
      <c r="JJ36" s="1456" t="str">
        <f t="shared" si="249"/>
        <v/>
      </c>
      <c r="JK36" s="1456" t="str">
        <f t="shared" si="250"/>
        <v/>
      </c>
      <c r="JL36" s="1456" t="str">
        <f t="shared" si="251"/>
        <v/>
      </c>
      <c r="JM36" s="1456" t="str">
        <f t="shared" si="252"/>
        <v/>
      </c>
      <c r="JN36" s="1456" t="str">
        <f t="shared" si="253"/>
        <v/>
      </c>
      <c r="JO36" s="1456" t="str">
        <f t="shared" si="254"/>
        <v/>
      </c>
      <c r="JP36" s="1456" t="str">
        <f t="shared" si="255"/>
        <v/>
      </c>
      <c r="JQ36" s="1456" t="str">
        <f t="shared" si="256"/>
        <v/>
      </c>
      <c r="JR36" s="1456" t="str">
        <f t="shared" si="257"/>
        <v/>
      </c>
      <c r="JS36" s="1456" t="str">
        <f t="shared" si="258"/>
        <v/>
      </c>
      <c r="JT36" s="1456" t="str">
        <f t="shared" si="259"/>
        <v/>
      </c>
      <c r="JU36" s="1456" t="str">
        <f t="shared" si="260"/>
        <v/>
      </c>
      <c r="JV36" s="1456" t="str">
        <f t="shared" si="261"/>
        <v/>
      </c>
      <c r="JW36" s="1456" t="str">
        <f t="shared" si="262"/>
        <v/>
      </c>
      <c r="JX36" s="1456" t="str">
        <f t="shared" si="263"/>
        <v/>
      </c>
      <c r="JY36" s="1456" t="str">
        <f t="shared" si="264"/>
        <v/>
      </c>
      <c r="JZ36" s="1456" t="str">
        <f t="shared" si="265"/>
        <v/>
      </c>
      <c r="KA36" s="1456" t="str">
        <f t="shared" si="266"/>
        <v/>
      </c>
      <c r="KB36" s="1456" t="str">
        <f t="shared" si="267"/>
        <v/>
      </c>
      <c r="KC36" s="1456" t="str">
        <f t="shared" si="268"/>
        <v/>
      </c>
      <c r="KD36" s="1456" t="str">
        <f t="shared" si="269"/>
        <v/>
      </c>
      <c r="KE36" s="1456" t="str">
        <f t="shared" si="270"/>
        <v/>
      </c>
      <c r="KF36" s="1456" t="str">
        <f t="shared" si="271"/>
        <v/>
      </c>
      <c r="KG36" s="1456" t="str">
        <f t="shared" si="272"/>
        <v/>
      </c>
      <c r="KH36" s="1456" t="str">
        <f t="shared" si="273"/>
        <v/>
      </c>
      <c r="KI36" s="1456" t="str">
        <f t="shared" si="274"/>
        <v/>
      </c>
      <c r="KJ36" s="1456" t="str">
        <f t="shared" si="275"/>
        <v/>
      </c>
      <c r="KK36" s="1456" t="str">
        <f t="shared" si="276"/>
        <v/>
      </c>
      <c r="KL36" s="1456" t="str">
        <f t="shared" si="277"/>
        <v/>
      </c>
      <c r="KM36" s="1456" t="str">
        <f t="shared" si="278"/>
        <v/>
      </c>
      <c r="KN36" s="1456" t="str">
        <f t="shared" si="279"/>
        <v/>
      </c>
      <c r="KO36" s="1456" t="str">
        <f t="shared" si="280"/>
        <v/>
      </c>
      <c r="KP36" s="1456" t="str">
        <f t="shared" si="281"/>
        <v/>
      </c>
      <c r="KQ36" s="1456" t="str">
        <f t="shared" si="282"/>
        <v/>
      </c>
      <c r="KR36" s="1456" t="str">
        <f t="shared" si="283"/>
        <v/>
      </c>
      <c r="KS36" s="1456" t="str">
        <f t="shared" si="284"/>
        <v/>
      </c>
      <c r="KT36" s="1456" t="str">
        <f t="shared" si="285"/>
        <v/>
      </c>
      <c r="KU36" s="1456" t="str">
        <f t="shared" si="286"/>
        <v/>
      </c>
      <c r="KV36" s="1456" t="str">
        <f t="shared" si="287"/>
        <v/>
      </c>
      <c r="KW36" s="1456" t="str">
        <f t="shared" si="288"/>
        <v/>
      </c>
      <c r="KX36" s="1456" t="str">
        <f t="shared" si="289"/>
        <v/>
      </c>
      <c r="KY36" s="1456" t="str">
        <f t="shared" si="290"/>
        <v/>
      </c>
      <c r="KZ36" s="1456" t="str">
        <f t="shared" si="291"/>
        <v/>
      </c>
      <c r="LA36" s="1456" t="str">
        <f t="shared" si="292"/>
        <v/>
      </c>
      <c r="LB36" s="1456" t="str">
        <f t="shared" si="293"/>
        <v/>
      </c>
      <c r="LC36" s="1456" t="str">
        <f t="shared" si="294"/>
        <v/>
      </c>
      <c r="LD36" s="1456" t="str">
        <f t="shared" si="295"/>
        <v/>
      </c>
      <c r="LE36" s="1456" t="str">
        <f t="shared" si="296"/>
        <v/>
      </c>
      <c r="LF36" s="1456" t="str">
        <f t="shared" si="297"/>
        <v/>
      </c>
      <c r="LG36" s="1446" t="str">
        <f t="shared" si="298"/>
        <v/>
      </c>
      <c r="LH36" s="1446" t="str">
        <f t="shared" si="299"/>
        <v/>
      </c>
      <c r="LI36" s="1446" t="str">
        <f t="shared" si="300"/>
        <v/>
      </c>
      <c r="LJ36" s="1446" t="str">
        <f t="shared" si="301"/>
        <v/>
      </c>
      <c r="LK36" s="1446"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318">
        <f t="shared" si="323"/>
        <v>0</v>
      </c>
      <c r="MG36" s="1318">
        <f t="shared" si="324"/>
        <v>0</v>
      </c>
      <c r="MH36" s="1318">
        <f t="shared" si="325"/>
        <v>0</v>
      </c>
      <c r="MI36" s="1318">
        <f t="shared" si="326"/>
        <v>0</v>
      </c>
      <c r="MJ36" s="1318">
        <f t="shared" si="327"/>
        <v>0</v>
      </c>
      <c r="MK36" s="1318">
        <f t="shared" si="333"/>
        <v>0</v>
      </c>
      <c r="ML36" s="1318">
        <f t="shared" si="334"/>
        <v>0</v>
      </c>
      <c r="MM36" s="1318">
        <f t="shared" si="335"/>
        <v>0</v>
      </c>
      <c r="MN36" s="1318">
        <f t="shared" si="336"/>
        <v>0</v>
      </c>
      <c r="MO36" s="1318">
        <f t="shared" si="337"/>
        <v>0</v>
      </c>
      <c r="MP36" s="1318">
        <f t="shared" si="328"/>
        <v>0</v>
      </c>
      <c r="MQ36" s="1318">
        <f t="shared" si="329"/>
        <v>0</v>
      </c>
      <c r="MR36" s="1318">
        <f t="shared" si="330"/>
        <v>0</v>
      </c>
      <c r="MS36" s="1318">
        <f t="shared" si="331"/>
        <v>0</v>
      </c>
      <c r="MT36" s="1318">
        <f t="shared" si="332"/>
        <v>0</v>
      </c>
      <c r="NP36" s="1292" t="s">
        <v>1177</v>
      </c>
      <c r="NQ36" s="2080">
        <v>36</v>
      </c>
    </row>
    <row r="37" spans="1:381" ht="13.9" customHeight="1">
      <c r="A37" s="53" t="str">
        <f t="shared" si="0"/>
        <v/>
      </c>
      <c r="B37" s="819"/>
      <c r="C37" s="85"/>
      <c r="D37" s="1320"/>
      <c r="E37" s="86"/>
      <c r="F37" s="86"/>
      <c r="G37" s="86"/>
      <c r="H37" s="86"/>
      <c r="I37" s="86"/>
      <c r="J37" s="570">
        <f>IF(C37="",0,HLOOKUP(C37,'Part IV-Utility Allowances'!$I$11:$M$22,12))</f>
        <v>0</v>
      </c>
      <c r="K37" s="486"/>
      <c r="L37" s="339">
        <f t="shared" si="1"/>
        <v>0</v>
      </c>
      <c r="M37" s="339">
        <f t="shared" si="2"/>
        <v>0</v>
      </c>
      <c r="N37" s="523"/>
      <c r="O37" s="1256"/>
      <c r="P37" s="523"/>
      <c r="Q37" s="87"/>
      <c r="R37" s="559"/>
      <c r="S37" s="560"/>
      <c r="T37" s="3359"/>
      <c r="U37" s="3360"/>
      <c r="V37" s="3360"/>
      <c r="W37" s="3361"/>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456" t="str">
        <f t="shared" si="213"/>
        <v/>
      </c>
      <c r="IA37" s="1456" t="str">
        <f t="shared" si="214"/>
        <v/>
      </c>
      <c r="IB37" s="1456" t="str">
        <f t="shared" si="215"/>
        <v/>
      </c>
      <c r="IC37" s="1456" t="str">
        <f t="shared" si="216"/>
        <v/>
      </c>
      <c r="ID37" s="1456" t="str">
        <f t="shared" si="217"/>
        <v/>
      </c>
      <c r="IE37" s="1456" t="str">
        <f t="shared" si="218"/>
        <v/>
      </c>
      <c r="IF37" s="1456" t="str">
        <f t="shared" si="219"/>
        <v/>
      </c>
      <c r="IG37" s="1456" t="str">
        <f t="shared" si="220"/>
        <v/>
      </c>
      <c r="IH37" s="1456" t="str">
        <f t="shared" si="221"/>
        <v/>
      </c>
      <c r="II37" s="1456" t="str">
        <f t="shared" si="222"/>
        <v/>
      </c>
      <c r="IJ37" s="1456" t="str">
        <f t="shared" si="223"/>
        <v/>
      </c>
      <c r="IK37" s="1456" t="str">
        <f t="shared" si="224"/>
        <v/>
      </c>
      <c r="IL37" s="1456" t="str">
        <f t="shared" si="225"/>
        <v/>
      </c>
      <c r="IM37" s="1456" t="str">
        <f t="shared" si="226"/>
        <v/>
      </c>
      <c r="IN37" s="1456" t="str">
        <f t="shared" si="227"/>
        <v/>
      </c>
      <c r="IO37" s="1456" t="str">
        <f t="shared" si="228"/>
        <v/>
      </c>
      <c r="IP37" s="1456" t="str">
        <f t="shared" si="229"/>
        <v/>
      </c>
      <c r="IQ37" s="1456" t="str">
        <f t="shared" si="230"/>
        <v/>
      </c>
      <c r="IR37" s="1456" t="str">
        <f t="shared" si="231"/>
        <v/>
      </c>
      <c r="IS37" s="1456" t="str">
        <f t="shared" si="232"/>
        <v/>
      </c>
      <c r="IT37" s="1456" t="str">
        <f t="shared" si="233"/>
        <v/>
      </c>
      <c r="IU37" s="1456" t="str">
        <f t="shared" si="234"/>
        <v/>
      </c>
      <c r="IV37" s="1456" t="str">
        <f t="shared" si="235"/>
        <v/>
      </c>
      <c r="IW37" s="1456" t="str">
        <f t="shared" si="236"/>
        <v/>
      </c>
      <c r="IX37" s="1456" t="str">
        <f t="shared" si="237"/>
        <v/>
      </c>
      <c r="IY37" s="1456" t="str">
        <f t="shared" si="238"/>
        <v/>
      </c>
      <c r="IZ37" s="1456" t="str">
        <f t="shared" si="239"/>
        <v/>
      </c>
      <c r="JA37" s="1456" t="str">
        <f t="shared" si="240"/>
        <v/>
      </c>
      <c r="JB37" s="1456" t="str">
        <f t="shared" si="241"/>
        <v/>
      </c>
      <c r="JC37" s="1456" t="str">
        <f t="shared" si="242"/>
        <v/>
      </c>
      <c r="JD37" s="1456" t="str">
        <f t="shared" si="243"/>
        <v/>
      </c>
      <c r="JE37" s="1456" t="str">
        <f t="shared" si="244"/>
        <v/>
      </c>
      <c r="JF37" s="1456" t="str">
        <f t="shared" si="245"/>
        <v/>
      </c>
      <c r="JG37" s="1456" t="str">
        <f t="shared" si="246"/>
        <v/>
      </c>
      <c r="JH37" s="1456" t="str">
        <f t="shared" si="247"/>
        <v/>
      </c>
      <c r="JI37" s="1456" t="str">
        <f t="shared" si="248"/>
        <v/>
      </c>
      <c r="JJ37" s="1456" t="str">
        <f t="shared" si="249"/>
        <v/>
      </c>
      <c r="JK37" s="1456" t="str">
        <f t="shared" si="250"/>
        <v/>
      </c>
      <c r="JL37" s="1456" t="str">
        <f t="shared" si="251"/>
        <v/>
      </c>
      <c r="JM37" s="1456" t="str">
        <f t="shared" si="252"/>
        <v/>
      </c>
      <c r="JN37" s="1456" t="str">
        <f t="shared" si="253"/>
        <v/>
      </c>
      <c r="JO37" s="1456" t="str">
        <f t="shared" si="254"/>
        <v/>
      </c>
      <c r="JP37" s="1456" t="str">
        <f t="shared" si="255"/>
        <v/>
      </c>
      <c r="JQ37" s="1456" t="str">
        <f t="shared" si="256"/>
        <v/>
      </c>
      <c r="JR37" s="1456" t="str">
        <f t="shared" si="257"/>
        <v/>
      </c>
      <c r="JS37" s="1456" t="str">
        <f t="shared" si="258"/>
        <v/>
      </c>
      <c r="JT37" s="1456" t="str">
        <f t="shared" si="259"/>
        <v/>
      </c>
      <c r="JU37" s="1456" t="str">
        <f t="shared" si="260"/>
        <v/>
      </c>
      <c r="JV37" s="1456" t="str">
        <f t="shared" si="261"/>
        <v/>
      </c>
      <c r="JW37" s="1456" t="str">
        <f t="shared" si="262"/>
        <v/>
      </c>
      <c r="JX37" s="1456" t="str">
        <f t="shared" si="263"/>
        <v/>
      </c>
      <c r="JY37" s="1456" t="str">
        <f t="shared" si="264"/>
        <v/>
      </c>
      <c r="JZ37" s="1456" t="str">
        <f t="shared" si="265"/>
        <v/>
      </c>
      <c r="KA37" s="1456" t="str">
        <f t="shared" si="266"/>
        <v/>
      </c>
      <c r="KB37" s="1456" t="str">
        <f t="shared" si="267"/>
        <v/>
      </c>
      <c r="KC37" s="1456" t="str">
        <f t="shared" si="268"/>
        <v/>
      </c>
      <c r="KD37" s="1456" t="str">
        <f t="shared" si="269"/>
        <v/>
      </c>
      <c r="KE37" s="1456" t="str">
        <f t="shared" si="270"/>
        <v/>
      </c>
      <c r="KF37" s="1456" t="str">
        <f t="shared" si="271"/>
        <v/>
      </c>
      <c r="KG37" s="1456" t="str">
        <f t="shared" si="272"/>
        <v/>
      </c>
      <c r="KH37" s="1456" t="str">
        <f t="shared" si="273"/>
        <v/>
      </c>
      <c r="KI37" s="1456" t="str">
        <f t="shared" si="274"/>
        <v/>
      </c>
      <c r="KJ37" s="1456" t="str">
        <f t="shared" si="275"/>
        <v/>
      </c>
      <c r="KK37" s="1456" t="str">
        <f t="shared" si="276"/>
        <v/>
      </c>
      <c r="KL37" s="1456" t="str">
        <f t="shared" si="277"/>
        <v/>
      </c>
      <c r="KM37" s="1456" t="str">
        <f t="shared" si="278"/>
        <v/>
      </c>
      <c r="KN37" s="1456" t="str">
        <f t="shared" si="279"/>
        <v/>
      </c>
      <c r="KO37" s="1456" t="str">
        <f t="shared" si="280"/>
        <v/>
      </c>
      <c r="KP37" s="1456" t="str">
        <f t="shared" si="281"/>
        <v/>
      </c>
      <c r="KQ37" s="1456" t="str">
        <f t="shared" si="282"/>
        <v/>
      </c>
      <c r="KR37" s="1456" t="str">
        <f t="shared" si="283"/>
        <v/>
      </c>
      <c r="KS37" s="1456" t="str">
        <f t="shared" si="284"/>
        <v/>
      </c>
      <c r="KT37" s="1456" t="str">
        <f t="shared" si="285"/>
        <v/>
      </c>
      <c r="KU37" s="1456" t="str">
        <f t="shared" si="286"/>
        <v/>
      </c>
      <c r="KV37" s="1456" t="str">
        <f t="shared" si="287"/>
        <v/>
      </c>
      <c r="KW37" s="1456" t="str">
        <f t="shared" si="288"/>
        <v/>
      </c>
      <c r="KX37" s="1456" t="str">
        <f t="shared" si="289"/>
        <v/>
      </c>
      <c r="KY37" s="1456" t="str">
        <f t="shared" si="290"/>
        <v/>
      </c>
      <c r="KZ37" s="1456" t="str">
        <f t="shared" si="291"/>
        <v/>
      </c>
      <c r="LA37" s="1456" t="str">
        <f t="shared" si="292"/>
        <v/>
      </c>
      <c r="LB37" s="1456" t="str">
        <f t="shared" si="293"/>
        <v/>
      </c>
      <c r="LC37" s="1456" t="str">
        <f t="shared" si="294"/>
        <v/>
      </c>
      <c r="LD37" s="1456" t="str">
        <f t="shared" si="295"/>
        <v/>
      </c>
      <c r="LE37" s="1456" t="str">
        <f t="shared" si="296"/>
        <v/>
      </c>
      <c r="LF37" s="1456" t="str">
        <f t="shared" si="297"/>
        <v/>
      </c>
      <c r="LG37" s="1446" t="str">
        <f t="shared" si="298"/>
        <v/>
      </c>
      <c r="LH37" s="1446" t="str">
        <f t="shared" si="299"/>
        <v/>
      </c>
      <c r="LI37" s="1446" t="str">
        <f t="shared" si="300"/>
        <v/>
      </c>
      <c r="LJ37" s="1446" t="str">
        <f t="shared" si="301"/>
        <v/>
      </c>
      <c r="LK37" s="1446"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318">
        <f t="shared" si="323"/>
        <v>0</v>
      </c>
      <c r="MG37" s="1318">
        <f t="shared" si="324"/>
        <v>0</v>
      </c>
      <c r="MH37" s="1318">
        <f t="shared" si="325"/>
        <v>0</v>
      </c>
      <c r="MI37" s="1318">
        <f t="shared" si="326"/>
        <v>0</v>
      </c>
      <c r="MJ37" s="1318">
        <f t="shared" si="327"/>
        <v>0</v>
      </c>
      <c r="MK37" s="1318">
        <f t="shared" si="333"/>
        <v>0</v>
      </c>
      <c r="ML37" s="1318">
        <f t="shared" si="334"/>
        <v>0</v>
      </c>
      <c r="MM37" s="1318">
        <f t="shared" si="335"/>
        <v>0</v>
      </c>
      <c r="MN37" s="1318">
        <f t="shared" si="336"/>
        <v>0</v>
      </c>
      <c r="MO37" s="1318">
        <f t="shared" si="337"/>
        <v>0</v>
      </c>
      <c r="MP37" s="1318">
        <f t="shared" si="328"/>
        <v>0</v>
      </c>
      <c r="MQ37" s="1318">
        <f t="shared" si="329"/>
        <v>0</v>
      </c>
      <c r="MR37" s="1318">
        <f t="shared" si="330"/>
        <v>0</v>
      </c>
      <c r="MS37" s="1318">
        <f t="shared" si="331"/>
        <v>0</v>
      </c>
      <c r="MT37" s="1318">
        <f t="shared" si="332"/>
        <v>0</v>
      </c>
      <c r="NP37" s="1292" t="s">
        <v>1178</v>
      </c>
      <c r="NQ37" s="2082">
        <v>37</v>
      </c>
    </row>
    <row r="38" spans="1:381" ht="13.9" customHeight="1">
      <c r="A38" s="53" t="str">
        <f t="shared" si="0"/>
        <v/>
      </c>
      <c r="B38" s="819"/>
      <c r="C38" s="85"/>
      <c r="D38" s="1320"/>
      <c r="E38" s="86"/>
      <c r="F38" s="86"/>
      <c r="G38" s="86"/>
      <c r="H38" s="86"/>
      <c r="I38" s="86"/>
      <c r="J38" s="570">
        <f>IF(C38="",0,HLOOKUP(C38,'Part IV-Utility Allowances'!$I$11:$M$22,12))</f>
        <v>0</v>
      </c>
      <c r="K38" s="486"/>
      <c r="L38" s="339">
        <f t="shared" si="1"/>
        <v>0</v>
      </c>
      <c r="M38" s="339">
        <f t="shared" si="2"/>
        <v>0</v>
      </c>
      <c r="N38" s="523"/>
      <c r="O38" s="1256"/>
      <c r="P38" s="523"/>
      <c r="Q38" s="87"/>
      <c r="R38" s="559"/>
      <c r="S38" s="560"/>
      <c r="T38" s="3359"/>
      <c r="U38" s="3360"/>
      <c r="V38" s="3360"/>
      <c r="W38" s="3361"/>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456" t="str">
        <f t="shared" si="213"/>
        <v/>
      </c>
      <c r="IA38" s="1456" t="str">
        <f t="shared" si="214"/>
        <v/>
      </c>
      <c r="IB38" s="1456" t="str">
        <f t="shared" si="215"/>
        <v/>
      </c>
      <c r="IC38" s="1456" t="str">
        <f t="shared" si="216"/>
        <v/>
      </c>
      <c r="ID38" s="1456" t="str">
        <f t="shared" si="217"/>
        <v/>
      </c>
      <c r="IE38" s="1456" t="str">
        <f t="shared" si="218"/>
        <v/>
      </c>
      <c r="IF38" s="1456" t="str">
        <f t="shared" si="219"/>
        <v/>
      </c>
      <c r="IG38" s="1456" t="str">
        <f t="shared" si="220"/>
        <v/>
      </c>
      <c r="IH38" s="1456" t="str">
        <f t="shared" si="221"/>
        <v/>
      </c>
      <c r="II38" s="1456" t="str">
        <f t="shared" si="222"/>
        <v/>
      </c>
      <c r="IJ38" s="1456" t="str">
        <f t="shared" si="223"/>
        <v/>
      </c>
      <c r="IK38" s="1456" t="str">
        <f t="shared" si="224"/>
        <v/>
      </c>
      <c r="IL38" s="1456" t="str">
        <f t="shared" si="225"/>
        <v/>
      </c>
      <c r="IM38" s="1456" t="str">
        <f t="shared" si="226"/>
        <v/>
      </c>
      <c r="IN38" s="1456" t="str">
        <f t="shared" si="227"/>
        <v/>
      </c>
      <c r="IO38" s="1456" t="str">
        <f t="shared" si="228"/>
        <v/>
      </c>
      <c r="IP38" s="1456" t="str">
        <f t="shared" si="229"/>
        <v/>
      </c>
      <c r="IQ38" s="1456" t="str">
        <f t="shared" si="230"/>
        <v/>
      </c>
      <c r="IR38" s="1456" t="str">
        <f t="shared" si="231"/>
        <v/>
      </c>
      <c r="IS38" s="1456" t="str">
        <f t="shared" si="232"/>
        <v/>
      </c>
      <c r="IT38" s="1456" t="str">
        <f t="shared" si="233"/>
        <v/>
      </c>
      <c r="IU38" s="1456" t="str">
        <f t="shared" si="234"/>
        <v/>
      </c>
      <c r="IV38" s="1456" t="str">
        <f t="shared" si="235"/>
        <v/>
      </c>
      <c r="IW38" s="1456" t="str">
        <f t="shared" si="236"/>
        <v/>
      </c>
      <c r="IX38" s="1456" t="str">
        <f t="shared" si="237"/>
        <v/>
      </c>
      <c r="IY38" s="1456" t="str">
        <f t="shared" si="238"/>
        <v/>
      </c>
      <c r="IZ38" s="1456" t="str">
        <f t="shared" si="239"/>
        <v/>
      </c>
      <c r="JA38" s="1456" t="str">
        <f t="shared" si="240"/>
        <v/>
      </c>
      <c r="JB38" s="1456" t="str">
        <f t="shared" si="241"/>
        <v/>
      </c>
      <c r="JC38" s="1456" t="str">
        <f t="shared" si="242"/>
        <v/>
      </c>
      <c r="JD38" s="1456" t="str">
        <f t="shared" si="243"/>
        <v/>
      </c>
      <c r="JE38" s="1456" t="str">
        <f t="shared" si="244"/>
        <v/>
      </c>
      <c r="JF38" s="1456" t="str">
        <f t="shared" si="245"/>
        <v/>
      </c>
      <c r="JG38" s="1456" t="str">
        <f t="shared" si="246"/>
        <v/>
      </c>
      <c r="JH38" s="1456" t="str">
        <f t="shared" si="247"/>
        <v/>
      </c>
      <c r="JI38" s="1456" t="str">
        <f t="shared" si="248"/>
        <v/>
      </c>
      <c r="JJ38" s="1456" t="str">
        <f t="shared" si="249"/>
        <v/>
      </c>
      <c r="JK38" s="1456" t="str">
        <f t="shared" si="250"/>
        <v/>
      </c>
      <c r="JL38" s="1456" t="str">
        <f t="shared" si="251"/>
        <v/>
      </c>
      <c r="JM38" s="1456" t="str">
        <f t="shared" si="252"/>
        <v/>
      </c>
      <c r="JN38" s="1456" t="str">
        <f t="shared" si="253"/>
        <v/>
      </c>
      <c r="JO38" s="1456" t="str">
        <f t="shared" si="254"/>
        <v/>
      </c>
      <c r="JP38" s="1456" t="str">
        <f t="shared" si="255"/>
        <v/>
      </c>
      <c r="JQ38" s="1456" t="str">
        <f t="shared" si="256"/>
        <v/>
      </c>
      <c r="JR38" s="1456" t="str">
        <f t="shared" si="257"/>
        <v/>
      </c>
      <c r="JS38" s="1456" t="str">
        <f t="shared" si="258"/>
        <v/>
      </c>
      <c r="JT38" s="1456" t="str">
        <f t="shared" si="259"/>
        <v/>
      </c>
      <c r="JU38" s="1456" t="str">
        <f t="shared" si="260"/>
        <v/>
      </c>
      <c r="JV38" s="1456" t="str">
        <f t="shared" si="261"/>
        <v/>
      </c>
      <c r="JW38" s="1456" t="str">
        <f t="shared" si="262"/>
        <v/>
      </c>
      <c r="JX38" s="1456" t="str">
        <f t="shared" si="263"/>
        <v/>
      </c>
      <c r="JY38" s="1456" t="str">
        <f t="shared" si="264"/>
        <v/>
      </c>
      <c r="JZ38" s="1456" t="str">
        <f t="shared" si="265"/>
        <v/>
      </c>
      <c r="KA38" s="1456" t="str">
        <f t="shared" si="266"/>
        <v/>
      </c>
      <c r="KB38" s="1456" t="str">
        <f t="shared" si="267"/>
        <v/>
      </c>
      <c r="KC38" s="1456" t="str">
        <f t="shared" si="268"/>
        <v/>
      </c>
      <c r="KD38" s="1456" t="str">
        <f t="shared" si="269"/>
        <v/>
      </c>
      <c r="KE38" s="1456" t="str">
        <f t="shared" si="270"/>
        <v/>
      </c>
      <c r="KF38" s="1456" t="str">
        <f t="shared" si="271"/>
        <v/>
      </c>
      <c r="KG38" s="1456" t="str">
        <f t="shared" si="272"/>
        <v/>
      </c>
      <c r="KH38" s="1456" t="str">
        <f t="shared" si="273"/>
        <v/>
      </c>
      <c r="KI38" s="1456" t="str">
        <f t="shared" si="274"/>
        <v/>
      </c>
      <c r="KJ38" s="1456" t="str">
        <f t="shared" si="275"/>
        <v/>
      </c>
      <c r="KK38" s="1456" t="str">
        <f t="shared" si="276"/>
        <v/>
      </c>
      <c r="KL38" s="1456" t="str">
        <f t="shared" si="277"/>
        <v/>
      </c>
      <c r="KM38" s="1456" t="str">
        <f t="shared" si="278"/>
        <v/>
      </c>
      <c r="KN38" s="1456" t="str">
        <f t="shared" si="279"/>
        <v/>
      </c>
      <c r="KO38" s="1456" t="str">
        <f t="shared" si="280"/>
        <v/>
      </c>
      <c r="KP38" s="1456" t="str">
        <f t="shared" si="281"/>
        <v/>
      </c>
      <c r="KQ38" s="1456" t="str">
        <f t="shared" si="282"/>
        <v/>
      </c>
      <c r="KR38" s="1456" t="str">
        <f t="shared" si="283"/>
        <v/>
      </c>
      <c r="KS38" s="1456" t="str">
        <f t="shared" si="284"/>
        <v/>
      </c>
      <c r="KT38" s="1456" t="str">
        <f t="shared" si="285"/>
        <v/>
      </c>
      <c r="KU38" s="1456" t="str">
        <f t="shared" si="286"/>
        <v/>
      </c>
      <c r="KV38" s="1456" t="str">
        <f t="shared" si="287"/>
        <v/>
      </c>
      <c r="KW38" s="1456" t="str">
        <f t="shared" si="288"/>
        <v/>
      </c>
      <c r="KX38" s="1456" t="str">
        <f t="shared" si="289"/>
        <v/>
      </c>
      <c r="KY38" s="1456" t="str">
        <f t="shared" si="290"/>
        <v/>
      </c>
      <c r="KZ38" s="1456" t="str">
        <f t="shared" si="291"/>
        <v/>
      </c>
      <c r="LA38" s="1456" t="str">
        <f t="shared" si="292"/>
        <v/>
      </c>
      <c r="LB38" s="1456" t="str">
        <f t="shared" si="293"/>
        <v/>
      </c>
      <c r="LC38" s="1456" t="str">
        <f t="shared" si="294"/>
        <v/>
      </c>
      <c r="LD38" s="1456" t="str">
        <f t="shared" si="295"/>
        <v/>
      </c>
      <c r="LE38" s="1456" t="str">
        <f t="shared" si="296"/>
        <v/>
      </c>
      <c r="LF38" s="1456" t="str">
        <f t="shared" si="297"/>
        <v/>
      </c>
      <c r="LG38" s="1446" t="str">
        <f t="shared" si="298"/>
        <v/>
      </c>
      <c r="LH38" s="1446" t="str">
        <f t="shared" si="299"/>
        <v/>
      </c>
      <c r="LI38" s="1446" t="str">
        <f t="shared" si="300"/>
        <v/>
      </c>
      <c r="LJ38" s="1446" t="str">
        <f t="shared" si="301"/>
        <v/>
      </c>
      <c r="LK38" s="1446"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318">
        <f t="shared" si="323"/>
        <v>0</v>
      </c>
      <c r="MG38" s="1318">
        <f t="shared" si="324"/>
        <v>0</v>
      </c>
      <c r="MH38" s="1318">
        <f t="shared" si="325"/>
        <v>0</v>
      </c>
      <c r="MI38" s="1318">
        <f t="shared" si="326"/>
        <v>0</v>
      </c>
      <c r="MJ38" s="1318">
        <f t="shared" si="327"/>
        <v>0</v>
      </c>
      <c r="MK38" s="1318">
        <f t="shared" si="333"/>
        <v>0</v>
      </c>
      <c r="ML38" s="1318">
        <f t="shared" si="334"/>
        <v>0</v>
      </c>
      <c r="MM38" s="1318">
        <f t="shared" si="335"/>
        <v>0</v>
      </c>
      <c r="MN38" s="1318">
        <f t="shared" si="336"/>
        <v>0</v>
      </c>
      <c r="MO38" s="1318">
        <f t="shared" si="337"/>
        <v>0</v>
      </c>
      <c r="MP38" s="1318">
        <f t="shared" si="328"/>
        <v>0</v>
      </c>
      <c r="MQ38" s="1318">
        <f t="shared" si="329"/>
        <v>0</v>
      </c>
      <c r="MR38" s="1318">
        <f t="shared" si="330"/>
        <v>0</v>
      </c>
      <c r="MS38" s="1318">
        <f t="shared" si="331"/>
        <v>0</v>
      </c>
      <c r="MT38" s="1318">
        <f t="shared" si="332"/>
        <v>0</v>
      </c>
      <c r="NP38" s="1292" t="s">
        <v>1179</v>
      </c>
      <c r="NQ38" s="2082">
        <v>38</v>
      </c>
    </row>
    <row r="39" spans="1:381" ht="13.9" customHeight="1">
      <c r="A39" s="53" t="str">
        <f t="shared" si="0"/>
        <v/>
      </c>
      <c r="B39" s="819"/>
      <c r="C39" s="85"/>
      <c r="D39" s="1320"/>
      <c r="E39" s="86"/>
      <c r="F39" s="86"/>
      <c r="G39" s="86"/>
      <c r="H39" s="86"/>
      <c r="I39" s="86"/>
      <c r="J39" s="570">
        <f>IF(C39="",0,HLOOKUP(C39,'Part IV-Utility Allowances'!$I$11:$M$22,12))</f>
        <v>0</v>
      </c>
      <c r="K39" s="486"/>
      <c r="L39" s="339">
        <f t="shared" si="1"/>
        <v>0</v>
      </c>
      <c r="M39" s="339">
        <f t="shared" si="2"/>
        <v>0</v>
      </c>
      <c r="N39" s="523"/>
      <c r="O39" s="1256"/>
      <c r="P39" s="523"/>
      <c r="Q39" s="87"/>
      <c r="R39" s="559"/>
      <c r="S39" s="560"/>
      <c r="T39" s="3359"/>
      <c r="U39" s="3360"/>
      <c r="V39" s="3360"/>
      <c r="W39" s="3361"/>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456" t="str">
        <f t="shared" si="213"/>
        <v/>
      </c>
      <c r="IA39" s="1456" t="str">
        <f t="shared" si="214"/>
        <v/>
      </c>
      <c r="IB39" s="1456" t="str">
        <f t="shared" si="215"/>
        <v/>
      </c>
      <c r="IC39" s="1456" t="str">
        <f t="shared" si="216"/>
        <v/>
      </c>
      <c r="ID39" s="1456" t="str">
        <f t="shared" si="217"/>
        <v/>
      </c>
      <c r="IE39" s="1456" t="str">
        <f t="shared" si="218"/>
        <v/>
      </c>
      <c r="IF39" s="1456" t="str">
        <f t="shared" si="219"/>
        <v/>
      </c>
      <c r="IG39" s="1456" t="str">
        <f t="shared" si="220"/>
        <v/>
      </c>
      <c r="IH39" s="1456" t="str">
        <f t="shared" si="221"/>
        <v/>
      </c>
      <c r="II39" s="1456" t="str">
        <f t="shared" si="222"/>
        <v/>
      </c>
      <c r="IJ39" s="1456" t="str">
        <f t="shared" si="223"/>
        <v/>
      </c>
      <c r="IK39" s="1456" t="str">
        <f t="shared" si="224"/>
        <v/>
      </c>
      <c r="IL39" s="1456" t="str">
        <f t="shared" si="225"/>
        <v/>
      </c>
      <c r="IM39" s="1456" t="str">
        <f t="shared" si="226"/>
        <v/>
      </c>
      <c r="IN39" s="1456" t="str">
        <f t="shared" si="227"/>
        <v/>
      </c>
      <c r="IO39" s="1456" t="str">
        <f t="shared" si="228"/>
        <v/>
      </c>
      <c r="IP39" s="1456" t="str">
        <f t="shared" si="229"/>
        <v/>
      </c>
      <c r="IQ39" s="1456" t="str">
        <f t="shared" si="230"/>
        <v/>
      </c>
      <c r="IR39" s="1456" t="str">
        <f t="shared" si="231"/>
        <v/>
      </c>
      <c r="IS39" s="1456" t="str">
        <f t="shared" si="232"/>
        <v/>
      </c>
      <c r="IT39" s="1456" t="str">
        <f t="shared" si="233"/>
        <v/>
      </c>
      <c r="IU39" s="1456" t="str">
        <f t="shared" si="234"/>
        <v/>
      </c>
      <c r="IV39" s="1456" t="str">
        <f t="shared" si="235"/>
        <v/>
      </c>
      <c r="IW39" s="1456" t="str">
        <f t="shared" si="236"/>
        <v/>
      </c>
      <c r="IX39" s="1456" t="str">
        <f t="shared" si="237"/>
        <v/>
      </c>
      <c r="IY39" s="1456" t="str">
        <f t="shared" si="238"/>
        <v/>
      </c>
      <c r="IZ39" s="1456" t="str">
        <f t="shared" si="239"/>
        <v/>
      </c>
      <c r="JA39" s="1456" t="str">
        <f t="shared" si="240"/>
        <v/>
      </c>
      <c r="JB39" s="1456" t="str">
        <f t="shared" si="241"/>
        <v/>
      </c>
      <c r="JC39" s="1456" t="str">
        <f t="shared" si="242"/>
        <v/>
      </c>
      <c r="JD39" s="1456" t="str">
        <f t="shared" si="243"/>
        <v/>
      </c>
      <c r="JE39" s="1456" t="str">
        <f t="shared" si="244"/>
        <v/>
      </c>
      <c r="JF39" s="1456" t="str">
        <f t="shared" si="245"/>
        <v/>
      </c>
      <c r="JG39" s="1456" t="str">
        <f t="shared" si="246"/>
        <v/>
      </c>
      <c r="JH39" s="1456" t="str">
        <f t="shared" si="247"/>
        <v/>
      </c>
      <c r="JI39" s="1456" t="str">
        <f t="shared" si="248"/>
        <v/>
      </c>
      <c r="JJ39" s="1456" t="str">
        <f t="shared" si="249"/>
        <v/>
      </c>
      <c r="JK39" s="1456" t="str">
        <f t="shared" si="250"/>
        <v/>
      </c>
      <c r="JL39" s="1456" t="str">
        <f t="shared" si="251"/>
        <v/>
      </c>
      <c r="JM39" s="1456" t="str">
        <f t="shared" si="252"/>
        <v/>
      </c>
      <c r="JN39" s="1456" t="str">
        <f t="shared" si="253"/>
        <v/>
      </c>
      <c r="JO39" s="1456" t="str">
        <f t="shared" si="254"/>
        <v/>
      </c>
      <c r="JP39" s="1456" t="str">
        <f t="shared" si="255"/>
        <v/>
      </c>
      <c r="JQ39" s="1456" t="str">
        <f t="shared" si="256"/>
        <v/>
      </c>
      <c r="JR39" s="1456" t="str">
        <f t="shared" si="257"/>
        <v/>
      </c>
      <c r="JS39" s="1456" t="str">
        <f t="shared" si="258"/>
        <v/>
      </c>
      <c r="JT39" s="1456" t="str">
        <f t="shared" si="259"/>
        <v/>
      </c>
      <c r="JU39" s="1456" t="str">
        <f t="shared" si="260"/>
        <v/>
      </c>
      <c r="JV39" s="1456" t="str">
        <f t="shared" si="261"/>
        <v/>
      </c>
      <c r="JW39" s="1456" t="str">
        <f t="shared" si="262"/>
        <v/>
      </c>
      <c r="JX39" s="1456" t="str">
        <f t="shared" si="263"/>
        <v/>
      </c>
      <c r="JY39" s="1456" t="str">
        <f t="shared" si="264"/>
        <v/>
      </c>
      <c r="JZ39" s="1456" t="str">
        <f t="shared" si="265"/>
        <v/>
      </c>
      <c r="KA39" s="1456" t="str">
        <f t="shared" si="266"/>
        <v/>
      </c>
      <c r="KB39" s="1456" t="str">
        <f t="shared" si="267"/>
        <v/>
      </c>
      <c r="KC39" s="1456" t="str">
        <f t="shared" si="268"/>
        <v/>
      </c>
      <c r="KD39" s="1456" t="str">
        <f t="shared" si="269"/>
        <v/>
      </c>
      <c r="KE39" s="1456" t="str">
        <f t="shared" si="270"/>
        <v/>
      </c>
      <c r="KF39" s="1456" t="str">
        <f t="shared" si="271"/>
        <v/>
      </c>
      <c r="KG39" s="1456" t="str">
        <f t="shared" si="272"/>
        <v/>
      </c>
      <c r="KH39" s="1456" t="str">
        <f t="shared" si="273"/>
        <v/>
      </c>
      <c r="KI39" s="1456" t="str">
        <f t="shared" si="274"/>
        <v/>
      </c>
      <c r="KJ39" s="1456" t="str">
        <f t="shared" si="275"/>
        <v/>
      </c>
      <c r="KK39" s="1456" t="str">
        <f t="shared" si="276"/>
        <v/>
      </c>
      <c r="KL39" s="1456" t="str">
        <f t="shared" si="277"/>
        <v/>
      </c>
      <c r="KM39" s="1456" t="str">
        <f t="shared" si="278"/>
        <v/>
      </c>
      <c r="KN39" s="1456" t="str">
        <f t="shared" si="279"/>
        <v/>
      </c>
      <c r="KO39" s="1456" t="str">
        <f t="shared" si="280"/>
        <v/>
      </c>
      <c r="KP39" s="1456" t="str">
        <f t="shared" si="281"/>
        <v/>
      </c>
      <c r="KQ39" s="1456" t="str">
        <f t="shared" si="282"/>
        <v/>
      </c>
      <c r="KR39" s="1456" t="str">
        <f t="shared" si="283"/>
        <v/>
      </c>
      <c r="KS39" s="1456" t="str">
        <f t="shared" si="284"/>
        <v/>
      </c>
      <c r="KT39" s="1456" t="str">
        <f t="shared" si="285"/>
        <v/>
      </c>
      <c r="KU39" s="1456" t="str">
        <f t="shared" si="286"/>
        <v/>
      </c>
      <c r="KV39" s="1456" t="str">
        <f t="shared" si="287"/>
        <v/>
      </c>
      <c r="KW39" s="1456" t="str">
        <f t="shared" si="288"/>
        <v/>
      </c>
      <c r="KX39" s="1456" t="str">
        <f t="shared" si="289"/>
        <v/>
      </c>
      <c r="KY39" s="1456" t="str">
        <f t="shared" si="290"/>
        <v/>
      </c>
      <c r="KZ39" s="1456" t="str">
        <f t="shared" si="291"/>
        <v/>
      </c>
      <c r="LA39" s="1456" t="str">
        <f t="shared" si="292"/>
        <v/>
      </c>
      <c r="LB39" s="1456" t="str">
        <f t="shared" si="293"/>
        <v/>
      </c>
      <c r="LC39" s="1456" t="str">
        <f t="shared" si="294"/>
        <v/>
      </c>
      <c r="LD39" s="1456" t="str">
        <f t="shared" si="295"/>
        <v/>
      </c>
      <c r="LE39" s="1456" t="str">
        <f t="shared" si="296"/>
        <v/>
      </c>
      <c r="LF39" s="1456" t="str">
        <f t="shared" si="297"/>
        <v/>
      </c>
      <c r="LG39" s="1446" t="str">
        <f t="shared" si="298"/>
        <v/>
      </c>
      <c r="LH39" s="1446" t="str">
        <f t="shared" si="299"/>
        <v/>
      </c>
      <c r="LI39" s="1446" t="str">
        <f t="shared" si="300"/>
        <v/>
      </c>
      <c r="LJ39" s="1446" t="str">
        <f t="shared" si="301"/>
        <v/>
      </c>
      <c r="LK39" s="1446"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318">
        <f t="shared" si="323"/>
        <v>0</v>
      </c>
      <c r="MG39" s="1318">
        <f t="shared" si="324"/>
        <v>0</v>
      </c>
      <c r="MH39" s="1318">
        <f t="shared" si="325"/>
        <v>0</v>
      </c>
      <c r="MI39" s="1318">
        <f t="shared" si="326"/>
        <v>0</v>
      </c>
      <c r="MJ39" s="1318">
        <f t="shared" si="327"/>
        <v>0</v>
      </c>
      <c r="MK39" s="1318">
        <f t="shared" si="333"/>
        <v>0</v>
      </c>
      <c r="ML39" s="1318">
        <f t="shared" si="334"/>
        <v>0</v>
      </c>
      <c r="MM39" s="1318">
        <f t="shared" si="335"/>
        <v>0</v>
      </c>
      <c r="MN39" s="1318">
        <f t="shared" si="336"/>
        <v>0</v>
      </c>
      <c r="MO39" s="1318">
        <f t="shared" si="337"/>
        <v>0</v>
      </c>
      <c r="MP39" s="1318">
        <f t="shared" si="328"/>
        <v>0</v>
      </c>
      <c r="MQ39" s="1318">
        <f t="shared" si="329"/>
        <v>0</v>
      </c>
      <c r="MR39" s="1318">
        <f t="shared" si="330"/>
        <v>0</v>
      </c>
      <c r="MS39" s="1318">
        <f t="shared" si="331"/>
        <v>0</v>
      </c>
      <c r="MT39" s="1318">
        <f t="shared" si="332"/>
        <v>0</v>
      </c>
      <c r="NP39" s="1292" t="s">
        <v>1180</v>
      </c>
      <c r="NQ39" s="2082">
        <v>39</v>
      </c>
    </row>
    <row r="40" spans="1:381" ht="13.9" customHeight="1">
      <c r="A40" s="53" t="str">
        <f t="shared" si="0"/>
        <v/>
      </c>
      <c r="B40" s="819"/>
      <c r="C40" s="85"/>
      <c r="D40" s="1320"/>
      <c r="E40" s="86"/>
      <c r="F40" s="86"/>
      <c r="G40" s="86"/>
      <c r="H40" s="86"/>
      <c r="I40" s="86"/>
      <c r="J40" s="570">
        <f>IF(C40="",0,HLOOKUP(C40,'Part IV-Utility Allowances'!$I$11:$M$22,12))</f>
        <v>0</v>
      </c>
      <c r="K40" s="486"/>
      <c r="L40" s="339">
        <f t="shared" si="1"/>
        <v>0</v>
      </c>
      <c r="M40" s="339">
        <f t="shared" si="2"/>
        <v>0</v>
      </c>
      <c r="N40" s="523"/>
      <c r="O40" s="1256"/>
      <c r="P40" s="523"/>
      <c r="Q40" s="87"/>
      <c r="R40" s="559"/>
      <c r="S40" s="560"/>
      <c r="T40" s="3359"/>
      <c r="U40" s="3360"/>
      <c r="V40" s="3360"/>
      <c r="W40" s="3361"/>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456" t="str">
        <f t="shared" si="213"/>
        <v/>
      </c>
      <c r="IA40" s="1456" t="str">
        <f t="shared" si="214"/>
        <v/>
      </c>
      <c r="IB40" s="1456" t="str">
        <f t="shared" si="215"/>
        <v/>
      </c>
      <c r="IC40" s="1456" t="str">
        <f t="shared" si="216"/>
        <v/>
      </c>
      <c r="ID40" s="1456" t="str">
        <f t="shared" si="217"/>
        <v/>
      </c>
      <c r="IE40" s="1456" t="str">
        <f t="shared" si="218"/>
        <v/>
      </c>
      <c r="IF40" s="1456" t="str">
        <f t="shared" si="219"/>
        <v/>
      </c>
      <c r="IG40" s="1456" t="str">
        <f t="shared" si="220"/>
        <v/>
      </c>
      <c r="IH40" s="1456" t="str">
        <f t="shared" si="221"/>
        <v/>
      </c>
      <c r="II40" s="1456" t="str">
        <f t="shared" si="222"/>
        <v/>
      </c>
      <c r="IJ40" s="1456" t="str">
        <f t="shared" si="223"/>
        <v/>
      </c>
      <c r="IK40" s="1456" t="str">
        <f t="shared" si="224"/>
        <v/>
      </c>
      <c r="IL40" s="1456" t="str">
        <f t="shared" si="225"/>
        <v/>
      </c>
      <c r="IM40" s="1456" t="str">
        <f t="shared" si="226"/>
        <v/>
      </c>
      <c r="IN40" s="1456" t="str">
        <f t="shared" si="227"/>
        <v/>
      </c>
      <c r="IO40" s="1456" t="str">
        <f t="shared" si="228"/>
        <v/>
      </c>
      <c r="IP40" s="1456" t="str">
        <f t="shared" si="229"/>
        <v/>
      </c>
      <c r="IQ40" s="1456" t="str">
        <f t="shared" si="230"/>
        <v/>
      </c>
      <c r="IR40" s="1456" t="str">
        <f t="shared" si="231"/>
        <v/>
      </c>
      <c r="IS40" s="1456" t="str">
        <f t="shared" si="232"/>
        <v/>
      </c>
      <c r="IT40" s="1456" t="str">
        <f t="shared" si="233"/>
        <v/>
      </c>
      <c r="IU40" s="1456" t="str">
        <f t="shared" si="234"/>
        <v/>
      </c>
      <c r="IV40" s="1456" t="str">
        <f t="shared" si="235"/>
        <v/>
      </c>
      <c r="IW40" s="1456" t="str">
        <f t="shared" si="236"/>
        <v/>
      </c>
      <c r="IX40" s="1456" t="str">
        <f t="shared" si="237"/>
        <v/>
      </c>
      <c r="IY40" s="1456" t="str">
        <f t="shared" si="238"/>
        <v/>
      </c>
      <c r="IZ40" s="1456" t="str">
        <f t="shared" si="239"/>
        <v/>
      </c>
      <c r="JA40" s="1456" t="str">
        <f t="shared" si="240"/>
        <v/>
      </c>
      <c r="JB40" s="1456" t="str">
        <f t="shared" si="241"/>
        <v/>
      </c>
      <c r="JC40" s="1456" t="str">
        <f t="shared" si="242"/>
        <v/>
      </c>
      <c r="JD40" s="1456" t="str">
        <f t="shared" si="243"/>
        <v/>
      </c>
      <c r="JE40" s="1456" t="str">
        <f t="shared" si="244"/>
        <v/>
      </c>
      <c r="JF40" s="1456" t="str">
        <f t="shared" si="245"/>
        <v/>
      </c>
      <c r="JG40" s="1456" t="str">
        <f t="shared" si="246"/>
        <v/>
      </c>
      <c r="JH40" s="1456" t="str">
        <f t="shared" si="247"/>
        <v/>
      </c>
      <c r="JI40" s="1456" t="str">
        <f t="shared" si="248"/>
        <v/>
      </c>
      <c r="JJ40" s="1456" t="str">
        <f t="shared" si="249"/>
        <v/>
      </c>
      <c r="JK40" s="1456" t="str">
        <f t="shared" si="250"/>
        <v/>
      </c>
      <c r="JL40" s="1456" t="str">
        <f t="shared" si="251"/>
        <v/>
      </c>
      <c r="JM40" s="1456" t="str">
        <f t="shared" si="252"/>
        <v/>
      </c>
      <c r="JN40" s="1456" t="str">
        <f t="shared" si="253"/>
        <v/>
      </c>
      <c r="JO40" s="1456" t="str">
        <f t="shared" si="254"/>
        <v/>
      </c>
      <c r="JP40" s="1456" t="str">
        <f t="shared" si="255"/>
        <v/>
      </c>
      <c r="JQ40" s="1456" t="str">
        <f t="shared" si="256"/>
        <v/>
      </c>
      <c r="JR40" s="1456" t="str">
        <f t="shared" si="257"/>
        <v/>
      </c>
      <c r="JS40" s="1456" t="str">
        <f t="shared" si="258"/>
        <v/>
      </c>
      <c r="JT40" s="1456" t="str">
        <f t="shared" si="259"/>
        <v/>
      </c>
      <c r="JU40" s="1456" t="str">
        <f t="shared" si="260"/>
        <v/>
      </c>
      <c r="JV40" s="1456" t="str">
        <f t="shared" si="261"/>
        <v/>
      </c>
      <c r="JW40" s="1456" t="str">
        <f t="shared" si="262"/>
        <v/>
      </c>
      <c r="JX40" s="1456" t="str">
        <f t="shared" si="263"/>
        <v/>
      </c>
      <c r="JY40" s="1456" t="str">
        <f t="shared" si="264"/>
        <v/>
      </c>
      <c r="JZ40" s="1456" t="str">
        <f t="shared" si="265"/>
        <v/>
      </c>
      <c r="KA40" s="1456" t="str">
        <f t="shared" si="266"/>
        <v/>
      </c>
      <c r="KB40" s="1456" t="str">
        <f t="shared" si="267"/>
        <v/>
      </c>
      <c r="KC40" s="1456" t="str">
        <f t="shared" si="268"/>
        <v/>
      </c>
      <c r="KD40" s="1456" t="str">
        <f t="shared" si="269"/>
        <v/>
      </c>
      <c r="KE40" s="1456" t="str">
        <f t="shared" si="270"/>
        <v/>
      </c>
      <c r="KF40" s="1456" t="str">
        <f t="shared" si="271"/>
        <v/>
      </c>
      <c r="KG40" s="1456" t="str">
        <f t="shared" si="272"/>
        <v/>
      </c>
      <c r="KH40" s="1456" t="str">
        <f t="shared" si="273"/>
        <v/>
      </c>
      <c r="KI40" s="1456" t="str">
        <f t="shared" si="274"/>
        <v/>
      </c>
      <c r="KJ40" s="1456" t="str">
        <f t="shared" si="275"/>
        <v/>
      </c>
      <c r="KK40" s="1456" t="str">
        <f t="shared" si="276"/>
        <v/>
      </c>
      <c r="KL40" s="1456" t="str">
        <f t="shared" si="277"/>
        <v/>
      </c>
      <c r="KM40" s="1456" t="str">
        <f t="shared" si="278"/>
        <v/>
      </c>
      <c r="KN40" s="1456" t="str">
        <f t="shared" si="279"/>
        <v/>
      </c>
      <c r="KO40" s="1456" t="str">
        <f t="shared" si="280"/>
        <v/>
      </c>
      <c r="KP40" s="1456" t="str">
        <f t="shared" si="281"/>
        <v/>
      </c>
      <c r="KQ40" s="1456" t="str">
        <f t="shared" si="282"/>
        <v/>
      </c>
      <c r="KR40" s="1456" t="str">
        <f t="shared" si="283"/>
        <v/>
      </c>
      <c r="KS40" s="1456" t="str">
        <f t="shared" si="284"/>
        <v/>
      </c>
      <c r="KT40" s="1456" t="str">
        <f t="shared" si="285"/>
        <v/>
      </c>
      <c r="KU40" s="1456" t="str">
        <f t="shared" si="286"/>
        <v/>
      </c>
      <c r="KV40" s="1456" t="str">
        <f t="shared" si="287"/>
        <v/>
      </c>
      <c r="KW40" s="1456" t="str">
        <f t="shared" si="288"/>
        <v/>
      </c>
      <c r="KX40" s="1456" t="str">
        <f t="shared" si="289"/>
        <v/>
      </c>
      <c r="KY40" s="1456" t="str">
        <f t="shared" si="290"/>
        <v/>
      </c>
      <c r="KZ40" s="1456" t="str">
        <f t="shared" si="291"/>
        <v/>
      </c>
      <c r="LA40" s="1456" t="str">
        <f t="shared" si="292"/>
        <v/>
      </c>
      <c r="LB40" s="1456" t="str">
        <f t="shared" si="293"/>
        <v/>
      </c>
      <c r="LC40" s="1456" t="str">
        <f t="shared" si="294"/>
        <v/>
      </c>
      <c r="LD40" s="1456" t="str">
        <f t="shared" si="295"/>
        <v/>
      </c>
      <c r="LE40" s="1456" t="str">
        <f t="shared" si="296"/>
        <v/>
      </c>
      <c r="LF40" s="1456" t="str">
        <f t="shared" si="297"/>
        <v/>
      </c>
      <c r="LG40" s="1446" t="str">
        <f t="shared" si="298"/>
        <v/>
      </c>
      <c r="LH40" s="1446" t="str">
        <f t="shared" si="299"/>
        <v/>
      </c>
      <c r="LI40" s="1446" t="str">
        <f t="shared" si="300"/>
        <v/>
      </c>
      <c r="LJ40" s="1446" t="str">
        <f t="shared" si="301"/>
        <v/>
      </c>
      <c r="LK40" s="1446"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318">
        <f t="shared" si="323"/>
        <v>0</v>
      </c>
      <c r="MG40" s="1318">
        <f t="shared" si="324"/>
        <v>0</v>
      </c>
      <c r="MH40" s="1318">
        <f t="shared" si="325"/>
        <v>0</v>
      </c>
      <c r="MI40" s="1318">
        <f t="shared" si="326"/>
        <v>0</v>
      </c>
      <c r="MJ40" s="1318">
        <f t="shared" si="327"/>
        <v>0</v>
      </c>
      <c r="MK40" s="1318">
        <f t="shared" si="333"/>
        <v>0</v>
      </c>
      <c r="ML40" s="1318">
        <f t="shared" si="334"/>
        <v>0</v>
      </c>
      <c r="MM40" s="1318">
        <f t="shared" si="335"/>
        <v>0</v>
      </c>
      <c r="MN40" s="1318">
        <f t="shared" si="336"/>
        <v>0</v>
      </c>
      <c r="MO40" s="1318">
        <f t="shared" si="337"/>
        <v>0</v>
      </c>
      <c r="MP40" s="1318">
        <f t="shared" si="328"/>
        <v>0</v>
      </c>
      <c r="MQ40" s="1318">
        <f t="shared" si="329"/>
        <v>0</v>
      </c>
      <c r="MR40" s="1318">
        <f t="shared" si="330"/>
        <v>0</v>
      </c>
      <c r="MS40" s="1318">
        <f t="shared" si="331"/>
        <v>0</v>
      </c>
      <c r="MT40" s="1318">
        <f t="shared" si="332"/>
        <v>0</v>
      </c>
      <c r="NP40" s="1292" t="s">
        <v>1181</v>
      </c>
      <c r="NQ40" s="2082">
        <v>40</v>
      </c>
    </row>
    <row r="41" spans="1:381" ht="13.9" customHeight="1">
      <c r="A41" s="53" t="str">
        <f t="shared" si="0"/>
        <v/>
      </c>
      <c r="B41" s="819"/>
      <c r="C41" s="85"/>
      <c r="D41" s="1320"/>
      <c r="E41" s="86"/>
      <c r="F41" s="86"/>
      <c r="G41" s="86"/>
      <c r="H41" s="86"/>
      <c r="I41" s="86"/>
      <c r="J41" s="570">
        <f>IF(C41="",0,HLOOKUP(C41,'Part IV-Utility Allowances'!$I$11:$M$22,12))</f>
        <v>0</v>
      </c>
      <c r="K41" s="486"/>
      <c r="L41" s="339">
        <f t="shared" si="1"/>
        <v>0</v>
      </c>
      <c r="M41" s="339">
        <f t="shared" si="2"/>
        <v>0</v>
      </c>
      <c r="N41" s="523"/>
      <c r="O41" s="1256"/>
      <c r="P41" s="523"/>
      <c r="Q41" s="87"/>
      <c r="R41" s="559"/>
      <c r="S41" s="560"/>
      <c r="T41" s="3359"/>
      <c r="U41" s="3360"/>
      <c r="V41" s="3360"/>
      <c r="W41" s="3361"/>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456" t="str">
        <f t="shared" si="213"/>
        <v/>
      </c>
      <c r="IA41" s="1456" t="str">
        <f t="shared" si="214"/>
        <v/>
      </c>
      <c r="IB41" s="1456" t="str">
        <f t="shared" si="215"/>
        <v/>
      </c>
      <c r="IC41" s="1456" t="str">
        <f t="shared" si="216"/>
        <v/>
      </c>
      <c r="ID41" s="1456" t="str">
        <f t="shared" si="217"/>
        <v/>
      </c>
      <c r="IE41" s="1456" t="str">
        <f t="shared" si="218"/>
        <v/>
      </c>
      <c r="IF41" s="1456" t="str">
        <f t="shared" si="219"/>
        <v/>
      </c>
      <c r="IG41" s="1456" t="str">
        <f t="shared" si="220"/>
        <v/>
      </c>
      <c r="IH41" s="1456" t="str">
        <f t="shared" si="221"/>
        <v/>
      </c>
      <c r="II41" s="1456" t="str">
        <f t="shared" si="222"/>
        <v/>
      </c>
      <c r="IJ41" s="1456" t="str">
        <f t="shared" si="223"/>
        <v/>
      </c>
      <c r="IK41" s="1456" t="str">
        <f t="shared" si="224"/>
        <v/>
      </c>
      <c r="IL41" s="1456" t="str">
        <f t="shared" si="225"/>
        <v/>
      </c>
      <c r="IM41" s="1456" t="str">
        <f t="shared" si="226"/>
        <v/>
      </c>
      <c r="IN41" s="1456" t="str">
        <f t="shared" si="227"/>
        <v/>
      </c>
      <c r="IO41" s="1456" t="str">
        <f t="shared" si="228"/>
        <v/>
      </c>
      <c r="IP41" s="1456" t="str">
        <f t="shared" si="229"/>
        <v/>
      </c>
      <c r="IQ41" s="1456" t="str">
        <f t="shared" si="230"/>
        <v/>
      </c>
      <c r="IR41" s="1456" t="str">
        <f t="shared" si="231"/>
        <v/>
      </c>
      <c r="IS41" s="1456" t="str">
        <f t="shared" si="232"/>
        <v/>
      </c>
      <c r="IT41" s="1456" t="str">
        <f t="shared" si="233"/>
        <v/>
      </c>
      <c r="IU41" s="1456" t="str">
        <f t="shared" si="234"/>
        <v/>
      </c>
      <c r="IV41" s="1456" t="str">
        <f t="shared" si="235"/>
        <v/>
      </c>
      <c r="IW41" s="1456" t="str">
        <f t="shared" si="236"/>
        <v/>
      </c>
      <c r="IX41" s="1456" t="str">
        <f t="shared" si="237"/>
        <v/>
      </c>
      <c r="IY41" s="1456" t="str">
        <f t="shared" si="238"/>
        <v/>
      </c>
      <c r="IZ41" s="1456" t="str">
        <f t="shared" si="239"/>
        <v/>
      </c>
      <c r="JA41" s="1456" t="str">
        <f t="shared" si="240"/>
        <v/>
      </c>
      <c r="JB41" s="1456" t="str">
        <f t="shared" si="241"/>
        <v/>
      </c>
      <c r="JC41" s="1456" t="str">
        <f t="shared" si="242"/>
        <v/>
      </c>
      <c r="JD41" s="1456" t="str">
        <f t="shared" si="243"/>
        <v/>
      </c>
      <c r="JE41" s="1456" t="str">
        <f t="shared" si="244"/>
        <v/>
      </c>
      <c r="JF41" s="1456" t="str">
        <f t="shared" si="245"/>
        <v/>
      </c>
      <c r="JG41" s="1456" t="str">
        <f t="shared" si="246"/>
        <v/>
      </c>
      <c r="JH41" s="1456" t="str">
        <f t="shared" si="247"/>
        <v/>
      </c>
      <c r="JI41" s="1456" t="str">
        <f t="shared" si="248"/>
        <v/>
      </c>
      <c r="JJ41" s="1456" t="str">
        <f t="shared" si="249"/>
        <v/>
      </c>
      <c r="JK41" s="1456" t="str">
        <f t="shared" si="250"/>
        <v/>
      </c>
      <c r="JL41" s="1456" t="str">
        <f t="shared" si="251"/>
        <v/>
      </c>
      <c r="JM41" s="1456" t="str">
        <f t="shared" si="252"/>
        <v/>
      </c>
      <c r="JN41" s="1456" t="str">
        <f t="shared" si="253"/>
        <v/>
      </c>
      <c r="JO41" s="1456" t="str">
        <f t="shared" si="254"/>
        <v/>
      </c>
      <c r="JP41" s="1456" t="str">
        <f t="shared" si="255"/>
        <v/>
      </c>
      <c r="JQ41" s="1456" t="str">
        <f t="shared" si="256"/>
        <v/>
      </c>
      <c r="JR41" s="1456" t="str">
        <f t="shared" si="257"/>
        <v/>
      </c>
      <c r="JS41" s="1456" t="str">
        <f t="shared" si="258"/>
        <v/>
      </c>
      <c r="JT41" s="1456" t="str">
        <f t="shared" si="259"/>
        <v/>
      </c>
      <c r="JU41" s="1456" t="str">
        <f t="shared" si="260"/>
        <v/>
      </c>
      <c r="JV41" s="1456" t="str">
        <f t="shared" si="261"/>
        <v/>
      </c>
      <c r="JW41" s="1456" t="str">
        <f t="shared" si="262"/>
        <v/>
      </c>
      <c r="JX41" s="1456" t="str">
        <f t="shared" si="263"/>
        <v/>
      </c>
      <c r="JY41" s="1456" t="str">
        <f t="shared" si="264"/>
        <v/>
      </c>
      <c r="JZ41" s="1456" t="str">
        <f t="shared" si="265"/>
        <v/>
      </c>
      <c r="KA41" s="1456" t="str">
        <f t="shared" si="266"/>
        <v/>
      </c>
      <c r="KB41" s="1456" t="str">
        <f t="shared" si="267"/>
        <v/>
      </c>
      <c r="KC41" s="1456" t="str">
        <f t="shared" si="268"/>
        <v/>
      </c>
      <c r="KD41" s="1456" t="str">
        <f t="shared" si="269"/>
        <v/>
      </c>
      <c r="KE41" s="1456" t="str">
        <f t="shared" si="270"/>
        <v/>
      </c>
      <c r="KF41" s="1456" t="str">
        <f t="shared" si="271"/>
        <v/>
      </c>
      <c r="KG41" s="1456" t="str">
        <f t="shared" si="272"/>
        <v/>
      </c>
      <c r="KH41" s="1456" t="str">
        <f t="shared" si="273"/>
        <v/>
      </c>
      <c r="KI41" s="1456" t="str">
        <f t="shared" si="274"/>
        <v/>
      </c>
      <c r="KJ41" s="1456" t="str">
        <f t="shared" si="275"/>
        <v/>
      </c>
      <c r="KK41" s="1456" t="str">
        <f t="shared" si="276"/>
        <v/>
      </c>
      <c r="KL41" s="1456" t="str">
        <f t="shared" si="277"/>
        <v/>
      </c>
      <c r="KM41" s="1456" t="str">
        <f t="shared" si="278"/>
        <v/>
      </c>
      <c r="KN41" s="1456" t="str">
        <f t="shared" si="279"/>
        <v/>
      </c>
      <c r="KO41" s="1456" t="str">
        <f t="shared" si="280"/>
        <v/>
      </c>
      <c r="KP41" s="1456" t="str">
        <f t="shared" si="281"/>
        <v/>
      </c>
      <c r="KQ41" s="1456" t="str">
        <f t="shared" si="282"/>
        <v/>
      </c>
      <c r="KR41" s="1456" t="str">
        <f t="shared" si="283"/>
        <v/>
      </c>
      <c r="KS41" s="1456" t="str">
        <f t="shared" si="284"/>
        <v/>
      </c>
      <c r="KT41" s="1456" t="str">
        <f t="shared" si="285"/>
        <v/>
      </c>
      <c r="KU41" s="1456" t="str">
        <f t="shared" si="286"/>
        <v/>
      </c>
      <c r="KV41" s="1456" t="str">
        <f t="shared" si="287"/>
        <v/>
      </c>
      <c r="KW41" s="1456" t="str">
        <f t="shared" si="288"/>
        <v/>
      </c>
      <c r="KX41" s="1456" t="str">
        <f t="shared" si="289"/>
        <v/>
      </c>
      <c r="KY41" s="1456" t="str">
        <f t="shared" si="290"/>
        <v/>
      </c>
      <c r="KZ41" s="1456" t="str">
        <f t="shared" si="291"/>
        <v/>
      </c>
      <c r="LA41" s="1456" t="str">
        <f t="shared" si="292"/>
        <v/>
      </c>
      <c r="LB41" s="1456" t="str">
        <f t="shared" si="293"/>
        <v/>
      </c>
      <c r="LC41" s="1456" t="str">
        <f t="shared" si="294"/>
        <v/>
      </c>
      <c r="LD41" s="1456" t="str">
        <f t="shared" si="295"/>
        <v/>
      </c>
      <c r="LE41" s="1456" t="str">
        <f t="shared" si="296"/>
        <v/>
      </c>
      <c r="LF41" s="1456" t="str">
        <f t="shared" si="297"/>
        <v/>
      </c>
      <c r="LG41" s="1446" t="str">
        <f t="shared" si="298"/>
        <v/>
      </c>
      <c r="LH41" s="1446" t="str">
        <f t="shared" si="299"/>
        <v/>
      </c>
      <c r="LI41" s="1446" t="str">
        <f t="shared" si="300"/>
        <v/>
      </c>
      <c r="LJ41" s="1446" t="str">
        <f t="shared" si="301"/>
        <v/>
      </c>
      <c r="LK41" s="1446"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318">
        <f t="shared" si="323"/>
        <v>0</v>
      </c>
      <c r="MG41" s="1318">
        <f t="shared" si="324"/>
        <v>0</v>
      </c>
      <c r="MH41" s="1318">
        <f t="shared" si="325"/>
        <v>0</v>
      </c>
      <c r="MI41" s="1318">
        <f t="shared" si="326"/>
        <v>0</v>
      </c>
      <c r="MJ41" s="1318">
        <f t="shared" si="327"/>
        <v>0</v>
      </c>
      <c r="MK41" s="1318">
        <f t="shared" si="333"/>
        <v>0</v>
      </c>
      <c r="ML41" s="1318">
        <f t="shared" si="334"/>
        <v>0</v>
      </c>
      <c r="MM41" s="1318">
        <f t="shared" si="335"/>
        <v>0</v>
      </c>
      <c r="MN41" s="1318">
        <f t="shared" si="336"/>
        <v>0</v>
      </c>
      <c r="MO41" s="1318">
        <f t="shared" si="337"/>
        <v>0</v>
      </c>
      <c r="MP41" s="1318">
        <f t="shared" si="328"/>
        <v>0</v>
      </c>
      <c r="MQ41" s="1318">
        <f t="shared" si="329"/>
        <v>0</v>
      </c>
      <c r="MR41" s="1318">
        <f t="shared" si="330"/>
        <v>0</v>
      </c>
      <c r="MS41" s="1318">
        <f t="shared" si="331"/>
        <v>0</v>
      </c>
      <c r="MT41" s="1318">
        <f t="shared" si="332"/>
        <v>0</v>
      </c>
      <c r="NP41" s="1292" t="s">
        <v>1182</v>
      </c>
      <c r="NQ41" s="2082">
        <v>41</v>
      </c>
    </row>
    <row r="42" spans="1:381" ht="13.9" customHeight="1">
      <c r="A42" s="53" t="str">
        <f t="shared" si="0"/>
        <v/>
      </c>
      <c r="B42" s="819"/>
      <c r="C42" s="85"/>
      <c r="D42" s="1320"/>
      <c r="E42" s="86"/>
      <c r="F42" s="86"/>
      <c r="G42" s="86"/>
      <c r="H42" s="86"/>
      <c r="I42" s="86"/>
      <c r="J42" s="570">
        <f>IF(C42="",0,HLOOKUP(C42,'Part IV-Utility Allowances'!$I$11:$M$22,12))</f>
        <v>0</v>
      </c>
      <c r="K42" s="486"/>
      <c r="L42" s="339">
        <f t="shared" si="1"/>
        <v>0</v>
      </c>
      <c r="M42" s="339">
        <f t="shared" si="2"/>
        <v>0</v>
      </c>
      <c r="N42" s="523"/>
      <c r="O42" s="1256"/>
      <c r="P42" s="523"/>
      <c r="Q42" s="87"/>
      <c r="R42" s="559"/>
      <c r="S42" s="560"/>
      <c r="T42" s="3359"/>
      <c r="U42" s="3360"/>
      <c r="V42" s="3360"/>
      <c r="W42" s="3361"/>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456" t="str">
        <f t="shared" si="213"/>
        <v/>
      </c>
      <c r="IA42" s="1456" t="str">
        <f t="shared" si="214"/>
        <v/>
      </c>
      <c r="IB42" s="1456" t="str">
        <f t="shared" si="215"/>
        <v/>
      </c>
      <c r="IC42" s="1456" t="str">
        <f t="shared" si="216"/>
        <v/>
      </c>
      <c r="ID42" s="1456" t="str">
        <f t="shared" si="217"/>
        <v/>
      </c>
      <c r="IE42" s="1456" t="str">
        <f t="shared" si="218"/>
        <v/>
      </c>
      <c r="IF42" s="1456" t="str">
        <f t="shared" si="219"/>
        <v/>
      </c>
      <c r="IG42" s="1456" t="str">
        <f t="shared" si="220"/>
        <v/>
      </c>
      <c r="IH42" s="1456" t="str">
        <f t="shared" si="221"/>
        <v/>
      </c>
      <c r="II42" s="1456" t="str">
        <f t="shared" si="222"/>
        <v/>
      </c>
      <c r="IJ42" s="1456" t="str">
        <f t="shared" si="223"/>
        <v/>
      </c>
      <c r="IK42" s="1456" t="str">
        <f t="shared" si="224"/>
        <v/>
      </c>
      <c r="IL42" s="1456" t="str">
        <f t="shared" si="225"/>
        <v/>
      </c>
      <c r="IM42" s="1456" t="str">
        <f t="shared" si="226"/>
        <v/>
      </c>
      <c r="IN42" s="1456" t="str">
        <f t="shared" si="227"/>
        <v/>
      </c>
      <c r="IO42" s="1456" t="str">
        <f t="shared" si="228"/>
        <v/>
      </c>
      <c r="IP42" s="1456" t="str">
        <f t="shared" si="229"/>
        <v/>
      </c>
      <c r="IQ42" s="1456" t="str">
        <f t="shared" si="230"/>
        <v/>
      </c>
      <c r="IR42" s="1456" t="str">
        <f t="shared" si="231"/>
        <v/>
      </c>
      <c r="IS42" s="1456" t="str">
        <f t="shared" si="232"/>
        <v/>
      </c>
      <c r="IT42" s="1456" t="str">
        <f t="shared" si="233"/>
        <v/>
      </c>
      <c r="IU42" s="1456" t="str">
        <f t="shared" si="234"/>
        <v/>
      </c>
      <c r="IV42" s="1456" t="str">
        <f t="shared" si="235"/>
        <v/>
      </c>
      <c r="IW42" s="1456" t="str">
        <f t="shared" si="236"/>
        <v/>
      </c>
      <c r="IX42" s="1456" t="str">
        <f t="shared" si="237"/>
        <v/>
      </c>
      <c r="IY42" s="1456" t="str">
        <f t="shared" si="238"/>
        <v/>
      </c>
      <c r="IZ42" s="1456" t="str">
        <f t="shared" si="239"/>
        <v/>
      </c>
      <c r="JA42" s="1456" t="str">
        <f t="shared" si="240"/>
        <v/>
      </c>
      <c r="JB42" s="1456" t="str">
        <f t="shared" si="241"/>
        <v/>
      </c>
      <c r="JC42" s="1456" t="str">
        <f t="shared" si="242"/>
        <v/>
      </c>
      <c r="JD42" s="1456" t="str">
        <f t="shared" si="243"/>
        <v/>
      </c>
      <c r="JE42" s="1456" t="str">
        <f t="shared" si="244"/>
        <v/>
      </c>
      <c r="JF42" s="1456" t="str">
        <f t="shared" si="245"/>
        <v/>
      </c>
      <c r="JG42" s="1456" t="str">
        <f t="shared" si="246"/>
        <v/>
      </c>
      <c r="JH42" s="1456" t="str">
        <f t="shared" si="247"/>
        <v/>
      </c>
      <c r="JI42" s="1456" t="str">
        <f t="shared" si="248"/>
        <v/>
      </c>
      <c r="JJ42" s="1456" t="str">
        <f t="shared" si="249"/>
        <v/>
      </c>
      <c r="JK42" s="1456" t="str">
        <f t="shared" si="250"/>
        <v/>
      </c>
      <c r="JL42" s="1456" t="str">
        <f t="shared" si="251"/>
        <v/>
      </c>
      <c r="JM42" s="1456" t="str">
        <f t="shared" si="252"/>
        <v/>
      </c>
      <c r="JN42" s="1456" t="str">
        <f t="shared" si="253"/>
        <v/>
      </c>
      <c r="JO42" s="1456" t="str">
        <f t="shared" si="254"/>
        <v/>
      </c>
      <c r="JP42" s="1456" t="str">
        <f t="shared" si="255"/>
        <v/>
      </c>
      <c r="JQ42" s="1456" t="str">
        <f t="shared" si="256"/>
        <v/>
      </c>
      <c r="JR42" s="1456" t="str">
        <f t="shared" si="257"/>
        <v/>
      </c>
      <c r="JS42" s="1456" t="str">
        <f t="shared" si="258"/>
        <v/>
      </c>
      <c r="JT42" s="1456" t="str">
        <f t="shared" si="259"/>
        <v/>
      </c>
      <c r="JU42" s="1456" t="str">
        <f t="shared" si="260"/>
        <v/>
      </c>
      <c r="JV42" s="1456" t="str">
        <f t="shared" si="261"/>
        <v/>
      </c>
      <c r="JW42" s="1456" t="str">
        <f t="shared" si="262"/>
        <v/>
      </c>
      <c r="JX42" s="1456" t="str">
        <f t="shared" si="263"/>
        <v/>
      </c>
      <c r="JY42" s="1456" t="str">
        <f t="shared" si="264"/>
        <v/>
      </c>
      <c r="JZ42" s="1456" t="str">
        <f t="shared" si="265"/>
        <v/>
      </c>
      <c r="KA42" s="1456" t="str">
        <f t="shared" si="266"/>
        <v/>
      </c>
      <c r="KB42" s="1456" t="str">
        <f t="shared" si="267"/>
        <v/>
      </c>
      <c r="KC42" s="1456" t="str">
        <f t="shared" si="268"/>
        <v/>
      </c>
      <c r="KD42" s="1456" t="str">
        <f t="shared" si="269"/>
        <v/>
      </c>
      <c r="KE42" s="1456" t="str">
        <f t="shared" si="270"/>
        <v/>
      </c>
      <c r="KF42" s="1456" t="str">
        <f t="shared" si="271"/>
        <v/>
      </c>
      <c r="KG42" s="1456" t="str">
        <f t="shared" si="272"/>
        <v/>
      </c>
      <c r="KH42" s="1456" t="str">
        <f t="shared" si="273"/>
        <v/>
      </c>
      <c r="KI42" s="1456" t="str">
        <f t="shared" si="274"/>
        <v/>
      </c>
      <c r="KJ42" s="1456" t="str">
        <f t="shared" si="275"/>
        <v/>
      </c>
      <c r="KK42" s="1456" t="str">
        <f t="shared" si="276"/>
        <v/>
      </c>
      <c r="KL42" s="1456" t="str">
        <f t="shared" si="277"/>
        <v/>
      </c>
      <c r="KM42" s="1456" t="str">
        <f t="shared" si="278"/>
        <v/>
      </c>
      <c r="KN42" s="1456" t="str">
        <f t="shared" si="279"/>
        <v/>
      </c>
      <c r="KO42" s="1456" t="str">
        <f t="shared" si="280"/>
        <v/>
      </c>
      <c r="KP42" s="1456" t="str">
        <f t="shared" si="281"/>
        <v/>
      </c>
      <c r="KQ42" s="1456" t="str">
        <f t="shared" si="282"/>
        <v/>
      </c>
      <c r="KR42" s="1456" t="str">
        <f t="shared" si="283"/>
        <v/>
      </c>
      <c r="KS42" s="1456" t="str">
        <f t="shared" si="284"/>
        <v/>
      </c>
      <c r="KT42" s="1456" t="str">
        <f t="shared" si="285"/>
        <v/>
      </c>
      <c r="KU42" s="1456" t="str">
        <f t="shared" si="286"/>
        <v/>
      </c>
      <c r="KV42" s="1456" t="str">
        <f t="shared" si="287"/>
        <v/>
      </c>
      <c r="KW42" s="1456" t="str">
        <f t="shared" si="288"/>
        <v/>
      </c>
      <c r="KX42" s="1456" t="str">
        <f t="shared" si="289"/>
        <v/>
      </c>
      <c r="KY42" s="1456" t="str">
        <f t="shared" si="290"/>
        <v/>
      </c>
      <c r="KZ42" s="1456" t="str">
        <f t="shared" si="291"/>
        <v/>
      </c>
      <c r="LA42" s="1456" t="str">
        <f t="shared" si="292"/>
        <v/>
      </c>
      <c r="LB42" s="1456" t="str">
        <f t="shared" si="293"/>
        <v/>
      </c>
      <c r="LC42" s="1456" t="str">
        <f t="shared" si="294"/>
        <v/>
      </c>
      <c r="LD42" s="1456" t="str">
        <f t="shared" si="295"/>
        <v/>
      </c>
      <c r="LE42" s="1456" t="str">
        <f t="shared" si="296"/>
        <v/>
      </c>
      <c r="LF42" s="1456" t="str">
        <f t="shared" si="297"/>
        <v/>
      </c>
      <c r="LG42" s="1446" t="str">
        <f t="shared" si="298"/>
        <v/>
      </c>
      <c r="LH42" s="1446" t="str">
        <f t="shared" si="299"/>
        <v/>
      </c>
      <c r="LI42" s="1446" t="str">
        <f t="shared" si="300"/>
        <v/>
      </c>
      <c r="LJ42" s="1446" t="str">
        <f t="shared" si="301"/>
        <v/>
      </c>
      <c r="LK42" s="1446"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318">
        <f t="shared" si="323"/>
        <v>0</v>
      </c>
      <c r="MG42" s="1318">
        <f t="shared" si="324"/>
        <v>0</v>
      </c>
      <c r="MH42" s="1318">
        <f t="shared" si="325"/>
        <v>0</v>
      </c>
      <c r="MI42" s="1318">
        <f t="shared" si="326"/>
        <v>0</v>
      </c>
      <c r="MJ42" s="1318">
        <f t="shared" si="327"/>
        <v>0</v>
      </c>
      <c r="MK42" s="1318">
        <f t="shared" si="333"/>
        <v>0</v>
      </c>
      <c r="ML42" s="1318">
        <f t="shared" si="334"/>
        <v>0</v>
      </c>
      <c r="MM42" s="1318">
        <f t="shared" si="335"/>
        <v>0</v>
      </c>
      <c r="MN42" s="1318">
        <f t="shared" si="336"/>
        <v>0</v>
      </c>
      <c r="MO42" s="1318">
        <f t="shared" si="337"/>
        <v>0</v>
      </c>
      <c r="MP42" s="1318">
        <f t="shared" si="328"/>
        <v>0</v>
      </c>
      <c r="MQ42" s="1318">
        <f t="shared" si="329"/>
        <v>0</v>
      </c>
      <c r="MR42" s="1318">
        <f t="shared" si="330"/>
        <v>0</v>
      </c>
      <c r="MS42" s="1318">
        <f t="shared" si="331"/>
        <v>0</v>
      </c>
      <c r="MT42" s="1318">
        <f t="shared" si="332"/>
        <v>0</v>
      </c>
      <c r="NP42" s="1292" t="s">
        <v>1183</v>
      </c>
      <c r="NQ42" s="2083">
        <v>42</v>
      </c>
    </row>
    <row r="43" spans="1:381" ht="13.9" customHeight="1">
      <c r="A43" s="53" t="str">
        <f t="shared" si="0"/>
        <v/>
      </c>
      <c r="B43" s="819"/>
      <c r="C43" s="85"/>
      <c r="D43" s="1320"/>
      <c r="E43" s="86"/>
      <c r="F43" s="86"/>
      <c r="G43" s="86"/>
      <c r="H43" s="86"/>
      <c r="I43" s="86"/>
      <c r="J43" s="570">
        <f>IF(C43="",0,HLOOKUP(C43,'Part IV-Utility Allowances'!$I$11:$M$22,12))</f>
        <v>0</v>
      </c>
      <c r="K43" s="486"/>
      <c r="L43" s="339">
        <f t="shared" si="1"/>
        <v>0</v>
      </c>
      <c r="M43" s="339">
        <f t="shared" si="2"/>
        <v>0</v>
      </c>
      <c r="N43" s="523"/>
      <c r="O43" s="1256"/>
      <c r="P43" s="523"/>
      <c r="Q43" s="87"/>
      <c r="R43" s="559"/>
      <c r="S43" s="560"/>
      <c r="T43" s="3359"/>
      <c r="U43" s="3360"/>
      <c r="V43" s="3360"/>
      <c r="W43" s="3361"/>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456" t="str">
        <f t="shared" si="213"/>
        <v/>
      </c>
      <c r="IA43" s="1456" t="str">
        <f t="shared" si="214"/>
        <v/>
      </c>
      <c r="IB43" s="1456" t="str">
        <f t="shared" si="215"/>
        <v/>
      </c>
      <c r="IC43" s="1456" t="str">
        <f t="shared" si="216"/>
        <v/>
      </c>
      <c r="ID43" s="1456" t="str">
        <f t="shared" si="217"/>
        <v/>
      </c>
      <c r="IE43" s="1456" t="str">
        <f t="shared" si="218"/>
        <v/>
      </c>
      <c r="IF43" s="1456" t="str">
        <f t="shared" si="219"/>
        <v/>
      </c>
      <c r="IG43" s="1456" t="str">
        <f t="shared" si="220"/>
        <v/>
      </c>
      <c r="IH43" s="1456" t="str">
        <f t="shared" si="221"/>
        <v/>
      </c>
      <c r="II43" s="1456" t="str">
        <f t="shared" si="222"/>
        <v/>
      </c>
      <c r="IJ43" s="1456" t="str">
        <f t="shared" si="223"/>
        <v/>
      </c>
      <c r="IK43" s="1456" t="str">
        <f t="shared" si="224"/>
        <v/>
      </c>
      <c r="IL43" s="1456" t="str">
        <f t="shared" si="225"/>
        <v/>
      </c>
      <c r="IM43" s="1456" t="str">
        <f t="shared" si="226"/>
        <v/>
      </c>
      <c r="IN43" s="1456" t="str">
        <f t="shared" si="227"/>
        <v/>
      </c>
      <c r="IO43" s="1456" t="str">
        <f t="shared" si="228"/>
        <v/>
      </c>
      <c r="IP43" s="1456" t="str">
        <f t="shared" si="229"/>
        <v/>
      </c>
      <c r="IQ43" s="1456" t="str">
        <f t="shared" si="230"/>
        <v/>
      </c>
      <c r="IR43" s="1456" t="str">
        <f t="shared" si="231"/>
        <v/>
      </c>
      <c r="IS43" s="1456" t="str">
        <f t="shared" si="232"/>
        <v/>
      </c>
      <c r="IT43" s="1456" t="str">
        <f t="shared" si="233"/>
        <v/>
      </c>
      <c r="IU43" s="1456" t="str">
        <f t="shared" si="234"/>
        <v/>
      </c>
      <c r="IV43" s="1456" t="str">
        <f t="shared" si="235"/>
        <v/>
      </c>
      <c r="IW43" s="1456" t="str">
        <f t="shared" si="236"/>
        <v/>
      </c>
      <c r="IX43" s="1456" t="str">
        <f t="shared" si="237"/>
        <v/>
      </c>
      <c r="IY43" s="1456" t="str">
        <f t="shared" si="238"/>
        <v/>
      </c>
      <c r="IZ43" s="1456" t="str">
        <f t="shared" si="239"/>
        <v/>
      </c>
      <c r="JA43" s="1456" t="str">
        <f t="shared" si="240"/>
        <v/>
      </c>
      <c r="JB43" s="1456" t="str">
        <f t="shared" si="241"/>
        <v/>
      </c>
      <c r="JC43" s="1456" t="str">
        <f t="shared" si="242"/>
        <v/>
      </c>
      <c r="JD43" s="1456" t="str">
        <f t="shared" si="243"/>
        <v/>
      </c>
      <c r="JE43" s="1456" t="str">
        <f t="shared" si="244"/>
        <v/>
      </c>
      <c r="JF43" s="1456" t="str">
        <f t="shared" si="245"/>
        <v/>
      </c>
      <c r="JG43" s="1456" t="str">
        <f t="shared" si="246"/>
        <v/>
      </c>
      <c r="JH43" s="1456" t="str">
        <f t="shared" si="247"/>
        <v/>
      </c>
      <c r="JI43" s="1456" t="str">
        <f t="shared" si="248"/>
        <v/>
      </c>
      <c r="JJ43" s="1456" t="str">
        <f t="shared" si="249"/>
        <v/>
      </c>
      <c r="JK43" s="1456" t="str">
        <f t="shared" si="250"/>
        <v/>
      </c>
      <c r="JL43" s="1456" t="str">
        <f t="shared" si="251"/>
        <v/>
      </c>
      <c r="JM43" s="1456" t="str">
        <f t="shared" si="252"/>
        <v/>
      </c>
      <c r="JN43" s="1456" t="str">
        <f t="shared" si="253"/>
        <v/>
      </c>
      <c r="JO43" s="1456" t="str">
        <f t="shared" si="254"/>
        <v/>
      </c>
      <c r="JP43" s="1456" t="str">
        <f t="shared" si="255"/>
        <v/>
      </c>
      <c r="JQ43" s="1456" t="str">
        <f t="shared" si="256"/>
        <v/>
      </c>
      <c r="JR43" s="1456" t="str">
        <f t="shared" si="257"/>
        <v/>
      </c>
      <c r="JS43" s="1456" t="str">
        <f t="shared" si="258"/>
        <v/>
      </c>
      <c r="JT43" s="1456" t="str">
        <f t="shared" si="259"/>
        <v/>
      </c>
      <c r="JU43" s="1456" t="str">
        <f t="shared" si="260"/>
        <v/>
      </c>
      <c r="JV43" s="1456" t="str">
        <f t="shared" si="261"/>
        <v/>
      </c>
      <c r="JW43" s="1456" t="str">
        <f t="shared" si="262"/>
        <v/>
      </c>
      <c r="JX43" s="1456" t="str">
        <f t="shared" si="263"/>
        <v/>
      </c>
      <c r="JY43" s="1456" t="str">
        <f t="shared" si="264"/>
        <v/>
      </c>
      <c r="JZ43" s="1456" t="str">
        <f t="shared" si="265"/>
        <v/>
      </c>
      <c r="KA43" s="1456" t="str">
        <f t="shared" si="266"/>
        <v/>
      </c>
      <c r="KB43" s="1456" t="str">
        <f t="shared" si="267"/>
        <v/>
      </c>
      <c r="KC43" s="1456" t="str">
        <f t="shared" si="268"/>
        <v/>
      </c>
      <c r="KD43" s="1456" t="str">
        <f t="shared" si="269"/>
        <v/>
      </c>
      <c r="KE43" s="1456" t="str">
        <f t="shared" si="270"/>
        <v/>
      </c>
      <c r="KF43" s="1456" t="str">
        <f t="shared" si="271"/>
        <v/>
      </c>
      <c r="KG43" s="1456" t="str">
        <f t="shared" si="272"/>
        <v/>
      </c>
      <c r="KH43" s="1456" t="str">
        <f t="shared" si="273"/>
        <v/>
      </c>
      <c r="KI43" s="1456" t="str">
        <f t="shared" si="274"/>
        <v/>
      </c>
      <c r="KJ43" s="1456" t="str">
        <f t="shared" si="275"/>
        <v/>
      </c>
      <c r="KK43" s="1456" t="str">
        <f t="shared" si="276"/>
        <v/>
      </c>
      <c r="KL43" s="1456" t="str">
        <f t="shared" si="277"/>
        <v/>
      </c>
      <c r="KM43" s="1456" t="str">
        <f t="shared" si="278"/>
        <v/>
      </c>
      <c r="KN43" s="1456" t="str">
        <f t="shared" si="279"/>
        <v/>
      </c>
      <c r="KO43" s="1456" t="str">
        <f t="shared" si="280"/>
        <v/>
      </c>
      <c r="KP43" s="1456" t="str">
        <f t="shared" si="281"/>
        <v/>
      </c>
      <c r="KQ43" s="1456" t="str">
        <f t="shared" si="282"/>
        <v/>
      </c>
      <c r="KR43" s="1456" t="str">
        <f t="shared" si="283"/>
        <v/>
      </c>
      <c r="KS43" s="1456" t="str">
        <f t="shared" si="284"/>
        <v/>
      </c>
      <c r="KT43" s="1456" t="str">
        <f t="shared" si="285"/>
        <v/>
      </c>
      <c r="KU43" s="1456" t="str">
        <f t="shared" si="286"/>
        <v/>
      </c>
      <c r="KV43" s="1456" t="str">
        <f t="shared" si="287"/>
        <v/>
      </c>
      <c r="KW43" s="1456" t="str">
        <f t="shared" si="288"/>
        <v/>
      </c>
      <c r="KX43" s="1456" t="str">
        <f t="shared" si="289"/>
        <v/>
      </c>
      <c r="KY43" s="1456" t="str">
        <f t="shared" si="290"/>
        <v/>
      </c>
      <c r="KZ43" s="1456" t="str">
        <f t="shared" si="291"/>
        <v/>
      </c>
      <c r="LA43" s="1456" t="str">
        <f t="shared" si="292"/>
        <v/>
      </c>
      <c r="LB43" s="1456" t="str">
        <f t="shared" si="293"/>
        <v/>
      </c>
      <c r="LC43" s="1456" t="str">
        <f t="shared" si="294"/>
        <v/>
      </c>
      <c r="LD43" s="1456" t="str">
        <f t="shared" si="295"/>
        <v/>
      </c>
      <c r="LE43" s="1456" t="str">
        <f t="shared" si="296"/>
        <v/>
      </c>
      <c r="LF43" s="1456" t="str">
        <f t="shared" si="297"/>
        <v/>
      </c>
      <c r="LG43" s="1446" t="str">
        <f t="shared" si="298"/>
        <v/>
      </c>
      <c r="LH43" s="1446" t="str">
        <f t="shared" si="299"/>
        <v/>
      </c>
      <c r="LI43" s="1446" t="str">
        <f t="shared" si="300"/>
        <v/>
      </c>
      <c r="LJ43" s="1446" t="str">
        <f t="shared" si="301"/>
        <v/>
      </c>
      <c r="LK43" s="1446"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318">
        <f t="shared" si="323"/>
        <v>0</v>
      </c>
      <c r="MG43" s="1318">
        <f t="shared" si="324"/>
        <v>0</v>
      </c>
      <c r="MH43" s="1318">
        <f t="shared" si="325"/>
        <v>0</v>
      </c>
      <c r="MI43" s="1318">
        <f t="shared" si="326"/>
        <v>0</v>
      </c>
      <c r="MJ43" s="1318">
        <f t="shared" si="327"/>
        <v>0</v>
      </c>
      <c r="MK43" s="1318">
        <f t="shared" si="333"/>
        <v>0</v>
      </c>
      <c r="ML43" s="1318">
        <f t="shared" si="334"/>
        <v>0</v>
      </c>
      <c r="MM43" s="1318">
        <f t="shared" si="335"/>
        <v>0</v>
      </c>
      <c r="MN43" s="1318">
        <f t="shared" si="336"/>
        <v>0</v>
      </c>
      <c r="MO43" s="1318">
        <f t="shared" si="337"/>
        <v>0</v>
      </c>
      <c r="MP43" s="1318">
        <f t="shared" si="328"/>
        <v>0</v>
      </c>
      <c r="MQ43" s="1318">
        <f t="shared" si="329"/>
        <v>0</v>
      </c>
      <c r="MR43" s="1318">
        <f t="shared" si="330"/>
        <v>0</v>
      </c>
      <c r="MS43" s="1318">
        <f t="shared" si="331"/>
        <v>0</v>
      </c>
      <c r="MT43" s="1318">
        <f t="shared" si="332"/>
        <v>0</v>
      </c>
      <c r="NP43" s="1292" t="s">
        <v>1184</v>
      </c>
      <c r="NQ43" s="2082">
        <v>43</v>
      </c>
    </row>
    <row r="44" spans="1:381" ht="13.9" customHeight="1">
      <c r="A44" s="53" t="str">
        <f t="shared" si="0"/>
        <v/>
      </c>
      <c r="B44" s="819"/>
      <c r="C44" s="85"/>
      <c r="D44" s="1320"/>
      <c r="E44" s="86"/>
      <c r="F44" s="86"/>
      <c r="G44" s="86"/>
      <c r="H44" s="86"/>
      <c r="I44" s="86"/>
      <c r="J44" s="570">
        <f>IF(C44="",0,HLOOKUP(C44,'Part IV-Utility Allowances'!$I$11:$M$22,12))</f>
        <v>0</v>
      </c>
      <c r="K44" s="486"/>
      <c r="L44" s="339">
        <f t="shared" si="1"/>
        <v>0</v>
      </c>
      <c r="M44" s="339">
        <f t="shared" si="2"/>
        <v>0</v>
      </c>
      <c r="N44" s="523"/>
      <c r="O44" s="1256"/>
      <c r="P44" s="523"/>
      <c r="Q44" s="87"/>
      <c r="R44" s="559"/>
      <c r="S44" s="560"/>
      <c r="T44" s="3359"/>
      <c r="U44" s="3360"/>
      <c r="V44" s="3360"/>
      <c r="W44" s="3361"/>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456" t="str">
        <f t="shared" si="213"/>
        <v/>
      </c>
      <c r="IA44" s="1456" t="str">
        <f t="shared" si="214"/>
        <v/>
      </c>
      <c r="IB44" s="1456" t="str">
        <f t="shared" si="215"/>
        <v/>
      </c>
      <c r="IC44" s="1456" t="str">
        <f t="shared" si="216"/>
        <v/>
      </c>
      <c r="ID44" s="1456" t="str">
        <f t="shared" si="217"/>
        <v/>
      </c>
      <c r="IE44" s="1456" t="str">
        <f t="shared" si="218"/>
        <v/>
      </c>
      <c r="IF44" s="1456" t="str">
        <f t="shared" si="219"/>
        <v/>
      </c>
      <c r="IG44" s="1456" t="str">
        <f t="shared" si="220"/>
        <v/>
      </c>
      <c r="IH44" s="1456" t="str">
        <f t="shared" si="221"/>
        <v/>
      </c>
      <c r="II44" s="1456" t="str">
        <f t="shared" si="222"/>
        <v/>
      </c>
      <c r="IJ44" s="1456" t="str">
        <f t="shared" si="223"/>
        <v/>
      </c>
      <c r="IK44" s="1456" t="str">
        <f t="shared" si="224"/>
        <v/>
      </c>
      <c r="IL44" s="1456" t="str">
        <f t="shared" si="225"/>
        <v/>
      </c>
      <c r="IM44" s="1456" t="str">
        <f t="shared" si="226"/>
        <v/>
      </c>
      <c r="IN44" s="1456" t="str">
        <f t="shared" si="227"/>
        <v/>
      </c>
      <c r="IO44" s="1456" t="str">
        <f t="shared" si="228"/>
        <v/>
      </c>
      <c r="IP44" s="1456" t="str">
        <f t="shared" si="229"/>
        <v/>
      </c>
      <c r="IQ44" s="1456" t="str">
        <f t="shared" si="230"/>
        <v/>
      </c>
      <c r="IR44" s="1456" t="str">
        <f t="shared" si="231"/>
        <v/>
      </c>
      <c r="IS44" s="1456" t="str">
        <f t="shared" si="232"/>
        <v/>
      </c>
      <c r="IT44" s="1456" t="str">
        <f t="shared" si="233"/>
        <v/>
      </c>
      <c r="IU44" s="1456" t="str">
        <f t="shared" si="234"/>
        <v/>
      </c>
      <c r="IV44" s="1456" t="str">
        <f t="shared" si="235"/>
        <v/>
      </c>
      <c r="IW44" s="1456" t="str">
        <f t="shared" si="236"/>
        <v/>
      </c>
      <c r="IX44" s="1456" t="str">
        <f t="shared" si="237"/>
        <v/>
      </c>
      <c r="IY44" s="1456" t="str">
        <f t="shared" si="238"/>
        <v/>
      </c>
      <c r="IZ44" s="1456" t="str">
        <f t="shared" si="239"/>
        <v/>
      </c>
      <c r="JA44" s="1456" t="str">
        <f t="shared" si="240"/>
        <v/>
      </c>
      <c r="JB44" s="1456" t="str">
        <f t="shared" si="241"/>
        <v/>
      </c>
      <c r="JC44" s="1456" t="str">
        <f t="shared" si="242"/>
        <v/>
      </c>
      <c r="JD44" s="1456" t="str">
        <f t="shared" si="243"/>
        <v/>
      </c>
      <c r="JE44" s="1456" t="str">
        <f t="shared" si="244"/>
        <v/>
      </c>
      <c r="JF44" s="1456" t="str">
        <f t="shared" si="245"/>
        <v/>
      </c>
      <c r="JG44" s="1456" t="str">
        <f t="shared" si="246"/>
        <v/>
      </c>
      <c r="JH44" s="1456" t="str">
        <f t="shared" si="247"/>
        <v/>
      </c>
      <c r="JI44" s="1456" t="str">
        <f t="shared" si="248"/>
        <v/>
      </c>
      <c r="JJ44" s="1456" t="str">
        <f t="shared" si="249"/>
        <v/>
      </c>
      <c r="JK44" s="1456" t="str">
        <f t="shared" si="250"/>
        <v/>
      </c>
      <c r="JL44" s="1456" t="str">
        <f t="shared" si="251"/>
        <v/>
      </c>
      <c r="JM44" s="1456" t="str">
        <f t="shared" si="252"/>
        <v/>
      </c>
      <c r="JN44" s="1456" t="str">
        <f t="shared" si="253"/>
        <v/>
      </c>
      <c r="JO44" s="1456" t="str">
        <f t="shared" si="254"/>
        <v/>
      </c>
      <c r="JP44" s="1456" t="str">
        <f t="shared" si="255"/>
        <v/>
      </c>
      <c r="JQ44" s="1456" t="str">
        <f t="shared" si="256"/>
        <v/>
      </c>
      <c r="JR44" s="1456" t="str">
        <f t="shared" si="257"/>
        <v/>
      </c>
      <c r="JS44" s="1456" t="str">
        <f t="shared" si="258"/>
        <v/>
      </c>
      <c r="JT44" s="1456" t="str">
        <f t="shared" si="259"/>
        <v/>
      </c>
      <c r="JU44" s="1456" t="str">
        <f t="shared" si="260"/>
        <v/>
      </c>
      <c r="JV44" s="1456" t="str">
        <f t="shared" si="261"/>
        <v/>
      </c>
      <c r="JW44" s="1456" t="str">
        <f t="shared" si="262"/>
        <v/>
      </c>
      <c r="JX44" s="1456" t="str">
        <f t="shared" si="263"/>
        <v/>
      </c>
      <c r="JY44" s="1456" t="str">
        <f t="shared" si="264"/>
        <v/>
      </c>
      <c r="JZ44" s="1456" t="str">
        <f t="shared" si="265"/>
        <v/>
      </c>
      <c r="KA44" s="1456" t="str">
        <f t="shared" si="266"/>
        <v/>
      </c>
      <c r="KB44" s="1456" t="str">
        <f t="shared" si="267"/>
        <v/>
      </c>
      <c r="KC44" s="1456" t="str">
        <f t="shared" si="268"/>
        <v/>
      </c>
      <c r="KD44" s="1456" t="str">
        <f t="shared" si="269"/>
        <v/>
      </c>
      <c r="KE44" s="1456" t="str">
        <f t="shared" si="270"/>
        <v/>
      </c>
      <c r="KF44" s="1456" t="str">
        <f t="shared" si="271"/>
        <v/>
      </c>
      <c r="KG44" s="1456" t="str">
        <f t="shared" si="272"/>
        <v/>
      </c>
      <c r="KH44" s="1456" t="str">
        <f t="shared" si="273"/>
        <v/>
      </c>
      <c r="KI44" s="1456" t="str">
        <f t="shared" si="274"/>
        <v/>
      </c>
      <c r="KJ44" s="1456" t="str">
        <f t="shared" si="275"/>
        <v/>
      </c>
      <c r="KK44" s="1456" t="str">
        <f t="shared" si="276"/>
        <v/>
      </c>
      <c r="KL44" s="1456" t="str">
        <f t="shared" si="277"/>
        <v/>
      </c>
      <c r="KM44" s="1456" t="str">
        <f t="shared" si="278"/>
        <v/>
      </c>
      <c r="KN44" s="1456" t="str">
        <f t="shared" si="279"/>
        <v/>
      </c>
      <c r="KO44" s="1456" t="str">
        <f t="shared" si="280"/>
        <v/>
      </c>
      <c r="KP44" s="1456" t="str">
        <f t="shared" si="281"/>
        <v/>
      </c>
      <c r="KQ44" s="1456" t="str">
        <f t="shared" si="282"/>
        <v/>
      </c>
      <c r="KR44" s="1456" t="str">
        <f t="shared" si="283"/>
        <v/>
      </c>
      <c r="KS44" s="1456" t="str">
        <f t="shared" si="284"/>
        <v/>
      </c>
      <c r="KT44" s="1456" t="str">
        <f t="shared" si="285"/>
        <v/>
      </c>
      <c r="KU44" s="1456" t="str">
        <f t="shared" si="286"/>
        <v/>
      </c>
      <c r="KV44" s="1456" t="str">
        <f t="shared" si="287"/>
        <v/>
      </c>
      <c r="KW44" s="1456" t="str">
        <f t="shared" si="288"/>
        <v/>
      </c>
      <c r="KX44" s="1456" t="str">
        <f t="shared" si="289"/>
        <v/>
      </c>
      <c r="KY44" s="1456" t="str">
        <f t="shared" si="290"/>
        <v/>
      </c>
      <c r="KZ44" s="1456" t="str">
        <f t="shared" si="291"/>
        <v/>
      </c>
      <c r="LA44" s="1456" t="str">
        <f t="shared" si="292"/>
        <v/>
      </c>
      <c r="LB44" s="1456" t="str">
        <f t="shared" si="293"/>
        <v/>
      </c>
      <c r="LC44" s="1456" t="str">
        <f t="shared" si="294"/>
        <v/>
      </c>
      <c r="LD44" s="1456" t="str">
        <f t="shared" si="295"/>
        <v/>
      </c>
      <c r="LE44" s="1456" t="str">
        <f t="shared" si="296"/>
        <v/>
      </c>
      <c r="LF44" s="1456" t="str">
        <f t="shared" si="297"/>
        <v/>
      </c>
      <c r="LG44" s="1446" t="str">
        <f t="shared" si="298"/>
        <v/>
      </c>
      <c r="LH44" s="1446" t="str">
        <f t="shared" si="299"/>
        <v/>
      </c>
      <c r="LI44" s="1446" t="str">
        <f t="shared" si="300"/>
        <v/>
      </c>
      <c r="LJ44" s="1446" t="str">
        <f t="shared" si="301"/>
        <v/>
      </c>
      <c r="LK44" s="1446"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318">
        <f t="shared" si="323"/>
        <v>0</v>
      </c>
      <c r="MG44" s="1318">
        <f t="shared" si="324"/>
        <v>0</v>
      </c>
      <c r="MH44" s="1318">
        <f t="shared" si="325"/>
        <v>0</v>
      </c>
      <c r="MI44" s="1318">
        <f t="shared" si="326"/>
        <v>0</v>
      </c>
      <c r="MJ44" s="1318">
        <f t="shared" si="327"/>
        <v>0</v>
      </c>
      <c r="MK44" s="1318">
        <f t="shared" si="333"/>
        <v>0</v>
      </c>
      <c r="ML44" s="1318">
        <f t="shared" si="334"/>
        <v>0</v>
      </c>
      <c r="MM44" s="1318">
        <f t="shared" si="335"/>
        <v>0</v>
      </c>
      <c r="MN44" s="1318">
        <f t="shared" si="336"/>
        <v>0</v>
      </c>
      <c r="MO44" s="1318">
        <f t="shared" si="337"/>
        <v>0</v>
      </c>
      <c r="MP44" s="1318">
        <f t="shared" si="328"/>
        <v>0</v>
      </c>
      <c r="MQ44" s="1318">
        <f t="shared" si="329"/>
        <v>0</v>
      </c>
      <c r="MR44" s="1318">
        <f t="shared" si="330"/>
        <v>0</v>
      </c>
      <c r="MS44" s="1318">
        <f t="shared" si="331"/>
        <v>0</v>
      </c>
      <c r="MT44" s="1318">
        <f t="shared" si="332"/>
        <v>0</v>
      </c>
      <c r="NP44" s="1292" t="s">
        <v>1185</v>
      </c>
      <c r="NQ44" s="2080">
        <v>44</v>
      </c>
    </row>
    <row r="45" spans="1:381" ht="13.9" customHeight="1">
      <c r="A45" s="53" t="str">
        <f t="shared" si="0"/>
        <v/>
      </c>
      <c r="B45" s="819"/>
      <c r="C45" s="85"/>
      <c r="D45" s="1320"/>
      <c r="E45" s="86"/>
      <c r="F45" s="86"/>
      <c r="G45" s="86"/>
      <c r="H45" s="86"/>
      <c r="I45" s="86"/>
      <c r="J45" s="570">
        <f>IF(C45="",0,HLOOKUP(C45,'Part IV-Utility Allowances'!$I$11:$M$22,12))</f>
        <v>0</v>
      </c>
      <c r="K45" s="486"/>
      <c r="L45" s="339">
        <f t="shared" si="1"/>
        <v>0</v>
      </c>
      <c r="M45" s="339">
        <f t="shared" si="2"/>
        <v>0</v>
      </c>
      <c r="N45" s="523"/>
      <c r="O45" s="1256"/>
      <c r="P45" s="523"/>
      <c r="Q45" s="87"/>
      <c r="R45" s="559"/>
      <c r="S45" s="560"/>
      <c r="T45" s="3359"/>
      <c r="U45" s="3360"/>
      <c r="V45" s="3360"/>
      <c r="W45" s="3361"/>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456" t="str">
        <f t="shared" si="213"/>
        <v/>
      </c>
      <c r="IA45" s="1456" t="str">
        <f t="shared" si="214"/>
        <v/>
      </c>
      <c r="IB45" s="1456" t="str">
        <f t="shared" si="215"/>
        <v/>
      </c>
      <c r="IC45" s="1456" t="str">
        <f t="shared" si="216"/>
        <v/>
      </c>
      <c r="ID45" s="1456" t="str">
        <f t="shared" si="217"/>
        <v/>
      </c>
      <c r="IE45" s="1456" t="str">
        <f t="shared" si="218"/>
        <v/>
      </c>
      <c r="IF45" s="1456" t="str">
        <f t="shared" si="219"/>
        <v/>
      </c>
      <c r="IG45" s="1456" t="str">
        <f t="shared" si="220"/>
        <v/>
      </c>
      <c r="IH45" s="1456" t="str">
        <f t="shared" si="221"/>
        <v/>
      </c>
      <c r="II45" s="1456" t="str">
        <f t="shared" si="222"/>
        <v/>
      </c>
      <c r="IJ45" s="1456" t="str">
        <f t="shared" si="223"/>
        <v/>
      </c>
      <c r="IK45" s="1456" t="str">
        <f t="shared" si="224"/>
        <v/>
      </c>
      <c r="IL45" s="1456" t="str">
        <f t="shared" si="225"/>
        <v/>
      </c>
      <c r="IM45" s="1456" t="str">
        <f t="shared" si="226"/>
        <v/>
      </c>
      <c r="IN45" s="1456" t="str">
        <f t="shared" si="227"/>
        <v/>
      </c>
      <c r="IO45" s="1456" t="str">
        <f t="shared" si="228"/>
        <v/>
      </c>
      <c r="IP45" s="1456" t="str">
        <f t="shared" si="229"/>
        <v/>
      </c>
      <c r="IQ45" s="1456" t="str">
        <f t="shared" si="230"/>
        <v/>
      </c>
      <c r="IR45" s="1456" t="str">
        <f t="shared" si="231"/>
        <v/>
      </c>
      <c r="IS45" s="1456" t="str">
        <f t="shared" si="232"/>
        <v/>
      </c>
      <c r="IT45" s="1456" t="str">
        <f t="shared" si="233"/>
        <v/>
      </c>
      <c r="IU45" s="1456" t="str">
        <f t="shared" si="234"/>
        <v/>
      </c>
      <c r="IV45" s="1456" t="str">
        <f t="shared" si="235"/>
        <v/>
      </c>
      <c r="IW45" s="1456" t="str">
        <f t="shared" si="236"/>
        <v/>
      </c>
      <c r="IX45" s="1456" t="str">
        <f t="shared" si="237"/>
        <v/>
      </c>
      <c r="IY45" s="1456" t="str">
        <f t="shared" si="238"/>
        <v/>
      </c>
      <c r="IZ45" s="1456" t="str">
        <f t="shared" si="239"/>
        <v/>
      </c>
      <c r="JA45" s="1456" t="str">
        <f t="shared" si="240"/>
        <v/>
      </c>
      <c r="JB45" s="1456" t="str">
        <f t="shared" si="241"/>
        <v/>
      </c>
      <c r="JC45" s="1456" t="str">
        <f t="shared" si="242"/>
        <v/>
      </c>
      <c r="JD45" s="1456" t="str">
        <f t="shared" si="243"/>
        <v/>
      </c>
      <c r="JE45" s="1456" t="str">
        <f t="shared" si="244"/>
        <v/>
      </c>
      <c r="JF45" s="1456" t="str">
        <f t="shared" si="245"/>
        <v/>
      </c>
      <c r="JG45" s="1456" t="str">
        <f t="shared" si="246"/>
        <v/>
      </c>
      <c r="JH45" s="1456" t="str">
        <f t="shared" si="247"/>
        <v/>
      </c>
      <c r="JI45" s="1456" t="str">
        <f t="shared" si="248"/>
        <v/>
      </c>
      <c r="JJ45" s="1456" t="str">
        <f t="shared" si="249"/>
        <v/>
      </c>
      <c r="JK45" s="1456" t="str">
        <f t="shared" si="250"/>
        <v/>
      </c>
      <c r="JL45" s="1456" t="str">
        <f t="shared" si="251"/>
        <v/>
      </c>
      <c r="JM45" s="1456" t="str">
        <f t="shared" si="252"/>
        <v/>
      </c>
      <c r="JN45" s="1456" t="str">
        <f t="shared" si="253"/>
        <v/>
      </c>
      <c r="JO45" s="1456" t="str">
        <f t="shared" si="254"/>
        <v/>
      </c>
      <c r="JP45" s="1456" t="str">
        <f t="shared" si="255"/>
        <v/>
      </c>
      <c r="JQ45" s="1456" t="str">
        <f t="shared" si="256"/>
        <v/>
      </c>
      <c r="JR45" s="1456" t="str">
        <f t="shared" si="257"/>
        <v/>
      </c>
      <c r="JS45" s="1456" t="str">
        <f t="shared" si="258"/>
        <v/>
      </c>
      <c r="JT45" s="1456" t="str">
        <f t="shared" si="259"/>
        <v/>
      </c>
      <c r="JU45" s="1456" t="str">
        <f t="shared" si="260"/>
        <v/>
      </c>
      <c r="JV45" s="1456" t="str">
        <f t="shared" si="261"/>
        <v/>
      </c>
      <c r="JW45" s="1456" t="str">
        <f t="shared" si="262"/>
        <v/>
      </c>
      <c r="JX45" s="1456" t="str">
        <f t="shared" si="263"/>
        <v/>
      </c>
      <c r="JY45" s="1456" t="str">
        <f t="shared" si="264"/>
        <v/>
      </c>
      <c r="JZ45" s="1456" t="str">
        <f t="shared" si="265"/>
        <v/>
      </c>
      <c r="KA45" s="1456" t="str">
        <f t="shared" si="266"/>
        <v/>
      </c>
      <c r="KB45" s="1456" t="str">
        <f t="shared" si="267"/>
        <v/>
      </c>
      <c r="KC45" s="1456" t="str">
        <f t="shared" si="268"/>
        <v/>
      </c>
      <c r="KD45" s="1456" t="str">
        <f t="shared" si="269"/>
        <v/>
      </c>
      <c r="KE45" s="1456" t="str">
        <f t="shared" si="270"/>
        <v/>
      </c>
      <c r="KF45" s="1456" t="str">
        <f t="shared" si="271"/>
        <v/>
      </c>
      <c r="KG45" s="1456" t="str">
        <f t="shared" si="272"/>
        <v/>
      </c>
      <c r="KH45" s="1456" t="str">
        <f t="shared" si="273"/>
        <v/>
      </c>
      <c r="KI45" s="1456" t="str">
        <f t="shared" si="274"/>
        <v/>
      </c>
      <c r="KJ45" s="1456" t="str">
        <f t="shared" si="275"/>
        <v/>
      </c>
      <c r="KK45" s="1456" t="str">
        <f t="shared" si="276"/>
        <v/>
      </c>
      <c r="KL45" s="1456" t="str">
        <f t="shared" si="277"/>
        <v/>
      </c>
      <c r="KM45" s="1456" t="str">
        <f t="shared" si="278"/>
        <v/>
      </c>
      <c r="KN45" s="1456" t="str">
        <f t="shared" si="279"/>
        <v/>
      </c>
      <c r="KO45" s="1456" t="str">
        <f t="shared" si="280"/>
        <v/>
      </c>
      <c r="KP45" s="1456" t="str">
        <f t="shared" si="281"/>
        <v/>
      </c>
      <c r="KQ45" s="1456" t="str">
        <f t="shared" si="282"/>
        <v/>
      </c>
      <c r="KR45" s="1456" t="str">
        <f t="shared" si="283"/>
        <v/>
      </c>
      <c r="KS45" s="1456" t="str">
        <f t="shared" si="284"/>
        <v/>
      </c>
      <c r="KT45" s="1456" t="str">
        <f t="shared" si="285"/>
        <v/>
      </c>
      <c r="KU45" s="1456" t="str">
        <f t="shared" si="286"/>
        <v/>
      </c>
      <c r="KV45" s="1456" t="str">
        <f t="shared" si="287"/>
        <v/>
      </c>
      <c r="KW45" s="1456" t="str">
        <f t="shared" si="288"/>
        <v/>
      </c>
      <c r="KX45" s="1456" t="str">
        <f t="shared" si="289"/>
        <v/>
      </c>
      <c r="KY45" s="1456" t="str">
        <f t="shared" si="290"/>
        <v/>
      </c>
      <c r="KZ45" s="1456" t="str">
        <f t="shared" si="291"/>
        <v/>
      </c>
      <c r="LA45" s="1456" t="str">
        <f t="shared" si="292"/>
        <v/>
      </c>
      <c r="LB45" s="1456" t="str">
        <f t="shared" si="293"/>
        <v/>
      </c>
      <c r="LC45" s="1456" t="str">
        <f t="shared" si="294"/>
        <v/>
      </c>
      <c r="LD45" s="1456" t="str">
        <f t="shared" si="295"/>
        <v/>
      </c>
      <c r="LE45" s="1456" t="str">
        <f t="shared" si="296"/>
        <v/>
      </c>
      <c r="LF45" s="1456" t="str">
        <f t="shared" si="297"/>
        <v/>
      </c>
      <c r="LG45" s="1446" t="str">
        <f t="shared" si="298"/>
        <v/>
      </c>
      <c r="LH45" s="1446" t="str">
        <f t="shared" si="299"/>
        <v/>
      </c>
      <c r="LI45" s="1446" t="str">
        <f t="shared" si="300"/>
        <v/>
      </c>
      <c r="LJ45" s="1446" t="str">
        <f t="shared" si="301"/>
        <v/>
      </c>
      <c r="LK45" s="1446"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318">
        <f t="shared" si="323"/>
        <v>0</v>
      </c>
      <c r="MG45" s="1318">
        <f t="shared" si="324"/>
        <v>0</v>
      </c>
      <c r="MH45" s="1318">
        <f t="shared" si="325"/>
        <v>0</v>
      </c>
      <c r="MI45" s="1318">
        <f t="shared" si="326"/>
        <v>0</v>
      </c>
      <c r="MJ45" s="1318">
        <f t="shared" si="327"/>
        <v>0</v>
      </c>
      <c r="MK45" s="1318">
        <f t="shared" si="333"/>
        <v>0</v>
      </c>
      <c r="ML45" s="1318">
        <f t="shared" si="334"/>
        <v>0</v>
      </c>
      <c r="MM45" s="1318">
        <f t="shared" si="335"/>
        <v>0</v>
      </c>
      <c r="MN45" s="1318">
        <f t="shared" si="336"/>
        <v>0</v>
      </c>
      <c r="MO45" s="1318">
        <f t="shared" si="337"/>
        <v>0</v>
      </c>
      <c r="MP45" s="1318">
        <f t="shared" si="328"/>
        <v>0</v>
      </c>
      <c r="MQ45" s="1318">
        <f t="shared" si="329"/>
        <v>0</v>
      </c>
      <c r="MR45" s="1318">
        <f t="shared" si="330"/>
        <v>0</v>
      </c>
      <c r="MS45" s="1318">
        <f t="shared" si="331"/>
        <v>0</v>
      </c>
      <c r="MT45" s="1318">
        <f t="shared" si="332"/>
        <v>0</v>
      </c>
      <c r="NP45" s="1292" t="s">
        <v>1186</v>
      </c>
      <c r="NQ45" s="2082">
        <v>45</v>
      </c>
    </row>
    <row r="46" spans="1:381" ht="13.9" customHeight="1">
      <c r="A46" s="53" t="str">
        <f t="shared" si="0"/>
        <v/>
      </c>
      <c r="B46" s="819"/>
      <c r="C46" s="85"/>
      <c r="D46" s="1320"/>
      <c r="E46" s="86"/>
      <c r="F46" s="86"/>
      <c r="G46" s="86"/>
      <c r="H46" s="86"/>
      <c r="I46" s="86"/>
      <c r="J46" s="570">
        <f>IF(C46="",0,HLOOKUP(C46,'Part IV-Utility Allowances'!$I$11:$M$22,12))</f>
        <v>0</v>
      </c>
      <c r="K46" s="486"/>
      <c r="L46" s="339">
        <f t="shared" si="1"/>
        <v>0</v>
      </c>
      <c r="M46" s="339">
        <f t="shared" si="2"/>
        <v>0</v>
      </c>
      <c r="N46" s="523"/>
      <c r="O46" s="1256"/>
      <c r="P46" s="523"/>
      <c r="Q46" s="87"/>
      <c r="R46" s="559"/>
      <c r="S46" s="560"/>
      <c r="T46" s="3359"/>
      <c r="U46" s="3360"/>
      <c r="V46" s="3360"/>
      <c r="W46" s="3361"/>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456" t="str">
        <f t="shared" si="213"/>
        <v/>
      </c>
      <c r="IA46" s="1456" t="str">
        <f t="shared" si="214"/>
        <v/>
      </c>
      <c r="IB46" s="1456" t="str">
        <f t="shared" si="215"/>
        <v/>
      </c>
      <c r="IC46" s="1456" t="str">
        <f t="shared" si="216"/>
        <v/>
      </c>
      <c r="ID46" s="1456" t="str">
        <f t="shared" si="217"/>
        <v/>
      </c>
      <c r="IE46" s="1456" t="str">
        <f t="shared" si="218"/>
        <v/>
      </c>
      <c r="IF46" s="1456" t="str">
        <f t="shared" si="219"/>
        <v/>
      </c>
      <c r="IG46" s="1456" t="str">
        <f t="shared" si="220"/>
        <v/>
      </c>
      <c r="IH46" s="1456" t="str">
        <f t="shared" si="221"/>
        <v/>
      </c>
      <c r="II46" s="1456" t="str">
        <f t="shared" si="222"/>
        <v/>
      </c>
      <c r="IJ46" s="1456" t="str">
        <f t="shared" si="223"/>
        <v/>
      </c>
      <c r="IK46" s="1456" t="str">
        <f t="shared" si="224"/>
        <v/>
      </c>
      <c r="IL46" s="1456" t="str">
        <f t="shared" si="225"/>
        <v/>
      </c>
      <c r="IM46" s="1456" t="str">
        <f t="shared" si="226"/>
        <v/>
      </c>
      <c r="IN46" s="1456" t="str">
        <f t="shared" si="227"/>
        <v/>
      </c>
      <c r="IO46" s="1456" t="str">
        <f t="shared" si="228"/>
        <v/>
      </c>
      <c r="IP46" s="1456" t="str">
        <f t="shared" si="229"/>
        <v/>
      </c>
      <c r="IQ46" s="1456" t="str">
        <f t="shared" si="230"/>
        <v/>
      </c>
      <c r="IR46" s="1456" t="str">
        <f t="shared" si="231"/>
        <v/>
      </c>
      <c r="IS46" s="1456" t="str">
        <f t="shared" si="232"/>
        <v/>
      </c>
      <c r="IT46" s="1456" t="str">
        <f t="shared" si="233"/>
        <v/>
      </c>
      <c r="IU46" s="1456" t="str">
        <f t="shared" si="234"/>
        <v/>
      </c>
      <c r="IV46" s="1456" t="str">
        <f t="shared" si="235"/>
        <v/>
      </c>
      <c r="IW46" s="1456" t="str">
        <f t="shared" si="236"/>
        <v/>
      </c>
      <c r="IX46" s="1456" t="str">
        <f t="shared" si="237"/>
        <v/>
      </c>
      <c r="IY46" s="1456" t="str">
        <f t="shared" si="238"/>
        <v/>
      </c>
      <c r="IZ46" s="1456" t="str">
        <f t="shared" si="239"/>
        <v/>
      </c>
      <c r="JA46" s="1456" t="str">
        <f t="shared" si="240"/>
        <v/>
      </c>
      <c r="JB46" s="1456" t="str">
        <f t="shared" si="241"/>
        <v/>
      </c>
      <c r="JC46" s="1456" t="str">
        <f t="shared" si="242"/>
        <v/>
      </c>
      <c r="JD46" s="1456" t="str">
        <f t="shared" si="243"/>
        <v/>
      </c>
      <c r="JE46" s="1456" t="str">
        <f t="shared" si="244"/>
        <v/>
      </c>
      <c r="JF46" s="1456" t="str">
        <f t="shared" si="245"/>
        <v/>
      </c>
      <c r="JG46" s="1456" t="str">
        <f t="shared" si="246"/>
        <v/>
      </c>
      <c r="JH46" s="1456" t="str">
        <f t="shared" si="247"/>
        <v/>
      </c>
      <c r="JI46" s="1456" t="str">
        <f t="shared" si="248"/>
        <v/>
      </c>
      <c r="JJ46" s="1456" t="str">
        <f t="shared" si="249"/>
        <v/>
      </c>
      <c r="JK46" s="1456" t="str">
        <f t="shared" si="250"/>
        <v/>
      </c>
      <c r="JL46" s="1456" t="str">
        <f t="shared" si="251"/>
        <v/>
      </c>
      <c r="JM46" s="1456" t="str">
        <f t="shared" si="252"/>
        <v/>
      </c>
      <c r="JN46" s="1456" t="str">
        <f t="shared" si="253"/>
        <v/>
      </c>
      <c r="JO46" s="1456" t="str">
        <f t="shared" si="254"/>
        <v/>
      </c>
      <c r="JP46" s="1456" t="str">
        <f t="shared" si="255"/>
        <v/>
      </c>
      <c r="JQ46" s="1456" t="str">
        <f t="shared" si="256"/>
        <v/>
      </c>
      <c r="JR46" s="1456" t="str">
        <f t="shared" si="257"/>
        <v/>
      </c>
      <c r="JS46" s="1456" t="str">
        <f t="shared" si="258"/>
        <v/>
      </c>
      <c r="JT46" s="1456" t="str">
        <f t="shared" si="259"/>
        <v/>
      </c>
      <c r="JU46" s="1456" t="str">
        <f t="shared" si="260"/>
        <v/>
      </c>
      <c r="JV46" s="1456" t="str">
        <f t="shared" si="261"/>
        <v/>
      </c>
      <c r="JW46" s="1456" t="str">
        <f t="shared" si="262"/>
        <v/>
      </c>
      <c r="JX46" s="1456" t="str">
        <f t="shared" si="263"/>
        <v/>
      </c>
      <c r="JY46" s="1456" t="str">
        <f t="shared" si="264"/>
        <v/>
      </c>
      <c r="JZ46" s="1456" t="str">
        <f t="shared" si="265"/>
        <v/>
      </c>
      <c r="KA46" s="1456" t="str">
        <f t="shared" si="266"/>
        <v/>
      </c>
      <c r="KB46" s="1456" t="str">
        <f t="shared" si="267"/>
        <v/>
      </c>
      <c r="KC46" s="1456" t="str">
        <f t="shared" si="268"/>
        <v/>
      </c>
      <c r="KD46" s="1456" t="str">
        <f t="shared" si="269"/>
        <v/>
      </c>
      <c r="KE46" s="1456" t="str">
        <f t="shared" si="270"/>
        <v/>
      </c>
      <c r="KF46" s="1456" t="str">
        <f t="shared" si="271"/>
        <v/>
      </c>
      <c r="KG46" s="1456" t="str">
        <f t="shared" si="272"/>
        <v/>
      </c>
      <c r="KH46" s="1456" t="str">
        <f t="shared" si="273"/>
        <v/>
      </c>
      <c r="KI46" s="1456" t="str">
        <f t="shared" si="274"/>
        <v/>
      </c>
      <c r="KJ46" s="1456" t="str">
        <f t="shared" si="275"/>
        <v/>
      </c>
      <c r="KK46" s="1456" t="str">
        <f t="shared" si="276"/>
        <v/>
      </c>
      <c r="KL46" s="1456" t="str">
        <f t="shared" si="277"/>
        <v/>
      </c>
      <c r="KM46" s="1456" t="str">
        <f t="shared" si="278"/>
        <v/>
      </c>
      <c r="KN46" s="1456" t="str">
        <f t="shared" si="279"/>
        <v/>
      </c>
      <c r="KO46" s="1456" t="str">
        <f t="shared" si="280"/>
        <v/>
      </c>
      <c r="KP46" s="1456" t="str">
        <f t="shared" si="281"/>
        <v/>
      </c>
      <c r="KQ46" s="1456" t="str">
        <f t="shared" si="282"/>
        <v/>
      </c>
      <c r="KR46" s="1456" t="str">
        <f t="shared" si="283"/>
        <v/>
      </c>
      <c r="KS46" s="1456" t="str">
        <f t="shared" si="284"/>
        <v/>
      </c>
      <c r="KT46" s="1456" t="str">
        <f t="shared" si="285"/>
        <v/>
      </c>
      <c r="KU46" s="1456" t="str">
        <f t="shared" si="286"/>
        <v/>
      </c>
      <c r="KV46" s="1456" t="str">
        <f t="shared" si="287"/>
        <v/>
      </c>
      <c r="KW46" s="1456" t="str">
        <f t="shared" si="288"/>
        <v/>
      </c>
      <c r="KX46" s="1456" t="str">
        <f t="shared" si="289"/>
        <v/>
      </c>
      <c r="KY46" s="1456" t="str">
        <f t="shared" si="290"/>
        <v/>
      </c>
      <c r="KZ46" s="1456" t="str">
        <f t="shared" si="291"/>
        <v/>
      </c>
      <c r="LA46" s="1456" t="str">
        <f t="shared" si="292"/>
        <v/>
      </c>
      <c r="LB46" s="1456" t="str">
        <f t="shared" si="293"/>
        <v/>
      </c>
      <c r="LC46" s="1456" t="str">
        <f t="shared" si="294"/>
        <v/>
      </c>
      <c r="LD46" s="1456" t="str">
        <f t="shared" si="295"/>
        <v/>
      </c>
      <c r="LE46" s="1456" t="str">
        <f t="shared" si="296"/>
        <v/>
      </c>
      <c r="LF46" s="1456" t="str">
        <f t="shared" si="297"/>
        <v/>
      </c>
      <c r="LG46" s="1446" t="str">
        <f t="shared" si="298"/>
        <v/>
      </c>
      <c r="LH46" s="1446" t="str">
        <f t="shared" si="299"/>
        <v/>
      </c>
      <c r="LI46" s="1446" t="str">
        <f t="shared" si="300"/>
        <v/>
      </c>
      <c r="LJ46" s="1446" t="str">
        <f t="shared" si="301"/>
        <v/>
      </c>
      <c r="LK46" s="1446"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318">
        <f t="shared" si="323"/>
        <v>0</v>
      </c>
      <c r="MG46" s="1318">
        <f t="shared" si="324"/>
        <v>0</v>
      </c>
      <c r="MH46" s="1318">
        <f t="shared" si="325"/>
        <v>0</v>
      </c>
      <c r="MI46" s="1318">
        <f t="shared" si="326"/>
        <v>0</v>
      </c>
      <c r="MJ46" s="1318">
        <f t="shared" si="327"/>
        <v>0</v>
      </c>
      <c r="MK46" s="1318">
        <f t="shared" si="333"/>
        <v>0</v>
      </c>
      <c r="ML46" s="1318">
        <f t="shared" si="334"/>
        <v>0</v>
      </c>
      <c r="MM46" s="1318">
        <f t="shared" si="335"/>
        <v>0</v>
      </c>
      <c r="MN46" s="1318">
        <f t="shared" si="336"/>
        <v>0</v>
      </c>
      <c r="MO46" s="1318">
        <f t="shared" si="337"/>
        <v>0</v>
      </c>
      <c r="MP46" s="1318">
        <f t="shared" si="328"/>
        <v>0</v>
      </c>
      <c r="MQ46" s="1318">
        <f t="shared" si="329"/>
        <v>0</v>
      </c>
      <c r="MR46" s="1318">
        <f t="shared" si="330"/>
        <v>0</v>
      </c>
      <c r="MS46" s="1318">
        <f t="shared" si="331"/>
        <v>0</v>
      </c>
      <c r="MT46" s="1318">
        <f t="shared" si="332"/>
        <v>0</v>
      </c>
      <c r="NP46" s="1292" t="s">
        <v>1187</v>
      </c>
      <c r="NQ46" s="2082">
        <v>46</v>
      </c>
    </row>
    <row r="47" spans="1:381" ht="13.9" customHeight="1">
      <c r="A47" s="53" t="str">
        <f t="shared" si="0"/>
        <v/>
      </c>
      <c r="B47" s="819"/>
      <c r="C47" s="85"/>
      <c r="D47" s="1320"/>
      <c r="E47" s="86"/>
      <c r="F47" s="86"/>
      <c r="G47" s="86"/>
      <c r="H47" s="86"/>
      <c r="I47" s="86"/>
      <c r="J47" s="570">
        <f>IF(C47="",0,HLOOKUP(C47,'Part IV-Utility Allowances'!$I$11:$M$22,12))</f>
        <v>0</v>
      </c>
      <c r="K47" s="486"/>
      <c r="L47" s="339">
        <f t="shared" si="1"/>
        <v>0</v>
      </c>
      <c r="M47" s="339">
        <f t="shared" si="2"/>
        <v>0</v>
      </c>
      <c r="N47" s="523"/>
      <c r="O47" s="1256"/>
      <c r="P47" s="523"/>
      <c r="Q47" s="87"/>
      <c r="R47" s="559"/>
      <c r="S47" s="560"/>
      <c r="T47" s="3359"/>
      <c r="U47" s="3360"/>
      <c r="V47" s="3360"/>
      <c r="W47" s="3361"/>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456" t="str">
        <f t="shared" si="213"/>
        <v/>
      </c>
      <c r="IA47" s="1456" t="str">
        <f t="shared" si="214"/>
        <v/>
      </c>
      <c r="IB47" s="1456" t="str">
        <f t="shared" si="215"/>
        <v/>
      </c>
      <c r="IC47" s="1456" t="str">
        <f t="shared" si="216"/>
        <v/>
      </c>
      <c r="ID47" s="1456" t="str">
        <f t="shared" si="217"/>
        <v/>
      </c>
      <c r="IE47" s="1456" t="str">
        <f t="shared" si="218"/>
        <v/>
      </c>
      <c r="IF47" s="1456" t="str">
        <f t="shared" si="219"/>
        <v/>
      </c>
      <c r="IG47" s="1456" t="str">
        <f t="shared" si="220"/>
        <v/>
      </c>
      <c r="IH47" s="1456" t="str">
        <f t="shared" si="221"/>
        <v/>
      </c>
      <c r="II47" s="1456" t="str">
        <f t="shared" si="222"/>
        <v/>
      </c>
      <c r="IJ47" s="1456" t="str">
        <f t="shared" si="223"/>
        <v/>
      </c>
      <c r="IK47" s="1456" t="str">
        <f t="shared" si="224"/>
        <v/>
      </c>
      <c r="IL47" s="1456" t="str">
        <f t="shared" si="225"/>
        <v/>
      </c>
      <c r="IM47" s="1456" t="str">
        <f t="shared" si="226"/>
        <v/>
      </c>
      <c r="IN47" s="1456" t="str">
        <f t="shared" si="227"/>
        <v/>
      </c>
      <c r="IO47" s="1456" t="str">
        <f t="shared" si="228"/>
        <v/>
      </c>
      <c r="IP47" s="1456" t="str">
        <f t="shared" si="229"/>
        <v/>
      </c>
      <c r="IQ47" s="1456" t="str">
        <f t="shared" si="230"/>
        <v/>
      </c>
      <c r="IR47" s="1456" t="str">
        <f t="shared" si="231"/>
        <v/>
      </c>
      <c r="IS47" s="1456" t="str">
        <f t="shared" si="232"/>
        <v/>
      </c>
      <c r="IT47" s="1456" t="str">
        <f t="shared" si="233"/>
        <v/>
      </c>
      <c r="IU47" s="1456" t="str">
        <f t="shared" si="234"/>
        <v/>
      </c>
      <c r="IV47" s="1456" t="str">
        <f t="shared" si="235"/>
        <v/>
      </c>
      <c r="IW47" s="1456" t="str">
        <f t="shared" si="236"/>
        <v/>
      </c>
      <c r="IX47" s="1456" t="str">
        <f t="shared" si="237"/>
        <v/>
      </c>
      <c r="IY47" s="1456" t="str">
        <f t="shared" si="238"/>
        <v/>
      </c>
      <c r="IZ47" s="1456" t="str">
        <f t="shared" si="239"/>
        <v/>
      </c>
      <c r="JA47" s="1456" t="str">
        <f t="shared" si="240"/>
        <v/>
      </c>
      <c r="JB47" s="1456" t="str">
        <f t="shared" si="241"/>
        <v/>
      </c>
      <c r="JC47" s="1456" t="str">
        <f t="shared" si="242"/>
        <v/>
      </c>
      <c r="JD47" s="1456" t="str">
        <f t="shared" si="243"/>
        <v/>
      </c>
      <c r="JE47" s="1456" t="str">
        <f t="shared" si="244"/>
        <v/>
      </c>
      <c r="JF47" s="1456" t="str">
        <f t="shared" si="245"/>
        <v/>
      </c>
      <c r="JG47" s="1456" t="str">
        <f t="shared" si="246"/>
        <v/>
      </c>
      <c r="JH47" s="1456" t="str">
        <f t="shared" si="247"/>
        <v/>
      </c>
      <c r="JI47" s="1456" t="str">
        <f t="shared" si="248"/>
        <v/>
      </c>
      <c r="JJ47" s="1456" t="str">
        <f t="shared" si="249"/>
        <v/>
      </c>
      <c r="JK47" s="1456" t="str">
        <f t="shared" si="250"/>
        <v/>
      </c>
      <c r="JL47" s="1456" t="str">
        <f t="shared" si="251"/>
        <v/>
      </c>
      <c r="JM47" s="1456" t="str">
        <f t="shared" si="252"/>
        <v/>
      </c>
      <c r="JN47" s="1456" t="str">
        <f t="shared" si="253"/>
        <v/>
      </c>
      <c r="JO47" s="1456" t="str">
        <f t="shared" si="254"/>
        <v/>
      </c>
      <c r="JP47" s="1456" t="str">
        <f t="shared" si="255"/>
        <v/>
      </c>
      <c r="JQ47" s="1456" t="str">
        <f t="shared" si="256"/>
        <v/>
      </c>
      <c r="JR47" s="1456" t="str">
        <f t="shared" si="257"/>
        <v/>
      </c>
      <c r="JS47" s="1456" t="str">
        <f t="shared" si="258"/>
        <v/>
      </c>
      <c r="JT47" s="1456" t="str">
        <f t="shared" si="259"/>
        <v/>
      </c>
      <c r="JU47" s="1456" t="str">
        <f t="shared" si="260"/>
        <v/>
      </c>
      <c r="JV47" s="1456" t="str">
        <f t="shared" si="261"/>
        <v/>
      </c>
      <c r="JW47" s="1456" t="str">
        <f t="shared" si="262"/>
        <v/>
      </c>
      <c r="JX47" s="1456" t="str">
        <f t="shared" si="263"/>
        <v/>
      </c>
      <c r="JY47" s="1456" t="str">
        <f t="shared" si="264"/>
        <v/>
      </c>
      <c r="JZ47" s="1456" t="str">
        <f t="shared" si="265"/>
        <v/>
      </c>
      <c r="KA47" s="1456" t="str">
        <f t="shared" si="266"/>
        <v/>
      </c>
      <c r="KB47" s="1456" t="str">
        <f t="shared" si="267"/>
        <v/>
      </c>
      <c r="KC47" s="1456" t="str">
        <f t="shared" si="268"/>
        <v/>
      </c>
      <c r="KD47" s="1456" t="str">
        <f t="shared" si="269"/>
        <v/>
      </c>
      <c r="KE47" s="1456" t="str">
        <f t="shared" si="270"/>
        <v/>
      </c>
      <c r="KF47" s="1456" t="str">
        <f t="shared" si="271"/>
        <v/>
      </c>
      <c r="KG47" s="1456" t="str">
        <f t="shared" si="272"/>
        <v/>
      </c>
      <c r="KH47" s="1456" t="str">
        <f t="shared" si="273"/>
        <v/>
      </c>
      <c r="KI47" s="1456" t="str">
        <f t="shared" si="274"/>
        <v/>
      </c>
      <c r="KJ47" s="1456" t="str">
        <f t="shared" si="275"/>
        <v/>
      </c>
      <c r="KK47" s="1456" t="str">
        <f t="shared" si="276"/>
        <v/>
      </c>
      <c r="KL47" s="1456" t="str">
        <f t="shared" si="277"/>
        <v/>
      </c>
      <c r="KM47" s="1456" t="str">
        <f t="shared" si="278"/>
        <v/>
      </c>
      <c r="KN47" s="1456" t="str">
        <f t="shared" si="279"/>
        <v/>
      </c>
      <c r="KO47" s="1456" t="str">
        <f t="shared" si="280"/>
        <v/>
      </c>
      <c r="KP47" s="1456" t="str">
        <f t="shared" si="281"/>
        <v/>
      </c>
      <c r="KQ47" s="1456" t="str">
        <f t="shared" si="282"/>
        <v/>
      </c>
      <c r="KR47" s="1456" t="str">
        <f t="shared" si="283"/>
        <v/>
      </c>
      <c r="KS47" s="1456" t="str">
        <f t="shared" si="284"/>
        <v/>
      </c>
      <c r="KT47" s="1456" t="str">
        <f t="shared" si="285"/>
        <v/>
      </c>
      <c r="KU47" s="1456" t="str">
        <f t="shared" si="286"/>
        <v/>
      </c>
      <c r="KV47" s="1456" t="str">
        <f t="shared" si="287"/>
        <v/>
      </c>
      <c r="KW47" s="1456" t="str">
        <f t="shared" si="288"/>
        <v/>
      </c>
      <c r="KX47" s="1456" t="str">
        <f t="shared" si="289"/>
        <v/>
      </c>
      <c r="KY47" s="1456" t="str">
        <f t="shared" si="290"/>
        <v/>
      </c>
      <c r="KZ47" s="1456" t="str">
        <f t="shared" si="291"/>
        <v/>
      </c>
      <c r="LA47" s="1456" t="str">
        <f t="shared" si="292"/>
        <v/>
      </c>
      <c r="LB47" s="1456" t="str">
        <f t="shared" si="293"/>
        <v/>
      </c>
      <c r="LC47" s="1456" t="str">
        <f t="shared" si="294"/>
        <v/>
      </c>
      <c r="LD47" s="1456" t="str">
        <f t="shared" si="295"/>
        <v/>
      </c>
      <c r="LE47" s="1456" t="str">
        <f t="shared" si="296"/>
        <v/>
      </c>
      <c r="LF47" s="1456" t="str">
        <f t="shared" si="297"/>
        <v/>
      </c>
      <c r="LG47" s="1446" t="str">
        <f t="shared" si="298"/>
        <v/>
      </c>
      <c r="LH47" s="1446" t="str">
        <f t="shared" si="299"/>
        <v/>
      </c>
      <c r="LI47" s="1446" t="str">
        <f t="shared" si="300"/>
        <v/>
      </c>
      <c r="LJ47" s="1446" t="str">
        <f t="shared" si="301"/>
        <v/>
      </c>
      <c r="LK47" s="1446"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318">
        <f t="shared" si="323"/>
        <v>0</v>
      </c>
      <c r="MG47" s="1318">
        <f t="shared" si="324"/>
        <v>0</v>
      </c>
      <c r="MH47" s="1318">
        <f t="shared" si="325"/>
        <v>0</v>
      </c>
      <c r="MI47" s="1318">
        <f t="shared" si="326"/>
        <v>0</v>
      </c>
      <c r="MJ47" s="1318">
        <f t="shared" si="327"/>
        <v>0</v>
      </c>
      <c r="MK47" s="1318">
        <f t="shared" si="333"/>
        <v>0</v>
      </c>
      <c r="ML47" s="1318">
        <f t="shared" si="334"/>
        <v>0</v>
      </c>
      <c r="MM47" s="1318">
        <f t="shared" si="335"/>
        <v>0</v>
      </c>
      <c r="MN47" s="1318">
        <f t="shared" si="336"/>
        <v>0</v>
      </c>
      <c r="MO47" s="1318">
        <f t="shared" si="337"/>
        <v>0</v>
      </c>
      <c r="MP47" s="1318">
        <f t="shared" si="328"/>
        <v>0</v>
      </c>
      <c r="MQ47" s="1318">
        <f t="shared" si="329"/>
        <v>0</v>
      </c>
      <c r="MR47" s="1318">
        <f t="shared" si="330"/>
        <v>0</v>
      </c>
      <c r="MS47" s="1318">
        <f t="shared" si="331"/>
        <v>0</v>
      </c>
      <c r="MT47" s="1318">
        <f t="shared" si="332"/>
        <v>0</v>
      </c>
      <c r="NP47" s="1292" t="s">
        <v>1188</v>
      </c>
      <c r="NQ47" s="2080">
        <v>47</v>
      </c>
    </row>
    <row r="48" spans="1:381" ht="13.9" customHeight="1">
      <c r="A48" s="53" t="str">
        <f t="shared" si="0"/>
        <v/>
      </c>
      <c r="B48" s="820"/>
      <c r="C48" s="88"/>
      <c r="D48" s="1323"/>
      <c r="E48" s="89"/>
      <c r="F48" s="89"/>
      <c r="G48" s="89"/>
      <c r="H48" s="89"/>
      <c r="I48" s="89"/>
      <c r="J48" s="571">
        <f>IF(C48="",0,HLOOKUP(C48,'Part IV-Utility Allowances'!$I$11:$M$22,12))</f>
        <v>0</v>
      </c>
      <c r="K48" s="487"/>
      <c r="L48" s="340">
        <f t="shared" si="1"/>
        <v>0</v>
      </c>
      <c r="M48" s="340">
        <f t="shared" si="2"/>
        <v>0</v>
      </c>
      <c r="N48" s="524"/>
      <c r="O48" s="1189"/>
      <c r="P48" s="524"/>
      <c r="Q48" s="90"/>
      <c r="R48" s="561"/>
      <c r="S48" s="562"/>
      <c r="T48" s="3371"/>
      <c r="U48" s="3372"/>
      <c r="V48" s="3372"/>
      <c r="W48" s="3373"/>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456" t="str">
        <f t="shared" si="213"/>
        <v/>
      </c>
      <c r="IA48" s="1456" t="str">
        <f t="shared" si="214"/>
        <v/>
      </c>
      <c r="IB48" s="1456" t="str">
        <f t="shared" si="215"/>
        <v/>
      </c>
      <c r="IC48" s="1456" t="str">
        <f t="shared" si="216"/>
        <v/>
      </c>
      <c r="ID48" s="1456" t="str">
        <f t="shared" si="217"/>
        <v/>
      </c>
      <c r="IE48" s="1456" t="str">
        <f t="shared" si="218"/>
        <v/>
      </c>
      <c r="IF48" s="1456" t="str">
        <f t="shared" si="219"/>
        <v/>
      </c>
      <c r="IG48" s="1456" t="str">
        <f t="shared" si="220"/>
        <v/>
      </c>
      <c r="IH48" s="1456" t="str">
        <f t="shared" si="221"/>
        <v/>
      </c>
      <c r="II48" s="1456" t="str">
        <f t="shared" si="222"/>
        <v/>
      </c>
      <c r="IJ48" s="1456" t="str">
        <f t="shared" si="223"/>
        <v/>
      </c>
      <c r="IK48" s="1456" t="str">
        <f t="shared" si="224"/>
        <v/>
      </c>
      <c r="IL48" s="1456" t="str">
        <f t="shared" si="225"/>
        <v/>
      </c>
      <c r="IM48" s="1456" t="str">
        <f t="shared" si="226"/>
        <v/>
      </c>
      <c r="IN48" s="1456" t="str">
        <f t="shared" si="227"/>
        <v/>
      </c>
      <c r="IO48" s="1456" t="str">
        <f t="shared" si="228"/>
        <v/>
      </c>
      <c r="IP48" s="1456" t="str">
        <f t="shared" si="229"/>
        <v/>
      </c>
      <c r="IQ48" s="1456" t="str">
        <f t="shared" si="230"/>
        <v/>
      </c>
      <c r="IR48" s="1456" t="str">
        <f t="shared" si="231"/>
        <v/>
      </c>
      <c r="IS48" s="1456" t="str">
        <f t="shared" si="232"/>
        <v/>
      </c>
      <c r="IT48" s="1456" t="str">
        <f t="shared" si="233"/>
        <v/>
      </c>
      <c r="IU48" s="1456" t="str">
        <f t="shared" si="234"/>
        <v/>
      </c>
      <c r="IV48" s="1456" t="str">
        <f t="shared" si="235"/>
        <v/>
      </c>
      <c r="IW48" s="1456" t="str">
        <f t="shared" si="236"/>
        <v/>
      </c>
      <c r="IX48" s="1456" t="str">
        <f t="shared" si="237"/>
        <v/>
      </c>
      <c r="IY48" s="1456" t="str">
        <f t="shared" si="238"/>
        <v/>
      </c>
      <c r="IZ48" s="1456" t="str">
        <f t="shared" si="239"/>
        <v/>
      </c>
      <c r="JA48" s="1456" t="str">
        <f t="shared" si="240"/>
        <v/>
      </c>
      <c r="JB48" s="1456" t="str">
        <f t="shared" si="241"/>
        <v/>
      </c>
      <c r="JC48" s="1456" t="str">
        <f t="shared" si="242"/>
        <v/>
      </c>
      <c r="JD48" s="1456" t="str">
        <f t="shared" si="243"/>
        <v/>
      </c>
      <c r="JE48" s="1456" t="str">
        <f t="shared" si="244"/>
        <v/>
      </c>
      <c r="JF48" s="1456" t="str">
        <f t="shared" si="245"/>
        <v/>
      </c>
      <c r="JG48" s="1456" t="str">
        <f t="shared" si="246"/>
        <v/>
      </c>
      <c r="JH48" s="1456" t="str">
        <f t="shared" si="247"/>
        <v/>
      </c>
      <c r="JI48" s="1456" t="str">
        <f t="shared" si="248"/>
        <v/>
      </c>
      <c r="JJ48" s="1456" t="str">
        <f t="shared" si="249"/>
        <v/>
      </c>
      <c r="JK48" s="1456" t="str">
        <f t="shared" si="250"/>
        <v/>
      </c>
      <c r="JL48" s="1456" t="str">
        <f t="shared" si="251"/>
        <v/>
      </c>
      <c r="JM48" s="1456" t="str">
        <f t="shared" si="252"/>
        <v/>
      </c>
      <c r="JN48" s="1456" t="str">
        <f t="shared" si="253"/>
        <v/>
      </c>
      <c r="JO48" s="1456" t="str">
        <f t="shared" si="254"/>
        <v/>
      </c>
      <c r="JP48" s="1456" t="str">
        <f t="shared" si="255"/>
        <v/>
      </c>
      <c r="JQ48" s="1456" t="str">
        <f t="shared" si="256"/>
        <v/>
      </c>
      <c r="JR48" s="1456" t="str">
        <f t="shared" si="257"/>
        <v/>
      </c>
      <c r="JS48" s="1456" t="str">
        <f t="shared" si="258"/>
        <v/>
      </c>
      <c r="JT48" s="1456" t="str">
        <f t="shared" si="259"/>
        <v/>
      </c>
      <c r="JU48" s="1456" t="str">
        <f t="shared" si="260"/>
        <v/>
      </c>
      <c r="JV48" s="1456" t="str">
        <f t="shared" si="261"/>
        <v/>
      </c>
      <c r="JW48" s="1456" t="str">
        <f t="shared" si="262"/>
        <v/>
      </c>
      <c r="JX48" s="1456" t="str">
        <f t="shared" si="263"/>
        <v/>
      </c>
      <c r="JY48" s="1456" t="str">
        <f t="shared" si="264"/>
        <v/>
      </c>
      <c r="JZ48" s="1456" t="str">
        <f t="shared" si="265"/>
        <v/>
      </c>
      <c r="KA48" s="1456" t="str">
        <f t="shared" si="266"/>
        <v/>
      </c>
      <c r="KB48" s="1456" t="str">
        <f t="shared" si="267"/>
        <v/>
      </c>
      <c r="KC48" s="1456" t="str">
        <f t="shared" si="268"/>
        <v/>
      </c>
      <c r="KD48" s="1456" t="str">
        <f t="shared" si="269"/>
        <v/>
      </c>
      <c r="KE48" s="1456" t="str">
        <f t="shared" si="270"/>
        <v/>
      </c>
      <c r="KF48" s="1456" t="str">
        <f t="shared" si="271"/>
        <v/>
      </c>
      <c r="KG48" s="1456" t="str">
        <f t="shared" si="272"/>
        <v/>
      </c>
      <c r="KH48" s="1456" t="str">
        <f t="shared" si="273"/>
        <v/>
      </c>
      <c r="KI48" s="1456" t="str">
        <f t="shared" si="274"/>
        <v/>
      </c>
      <c r="KJ48" s="1456" t="str">
        <f t="shared" si="275"/>
        <v/>
      </c>
      <c r="KK48" s="1456" t="str">
        <f t="shared" si="276"/>
        <v/>
      </c>
      <c r="KL48" s="1456" t="str">
        <f t="shared" si="277"/>
        <v/>
      </c>
      <c r="KM48" s="1456" t="str">
        <f t="shared" si="278"/>
        <v/>
      </c>
      <c r="KN48" s="1456" t="str">
        <f t="shared" si="279"/>
        <v/>
      </c>
      <c r="KO48" s="1456" t="str">
        <f t="shared" si="280"/>
        <v/>
      </c>
      <c r="KP48" s="1456" t="str">
        <f t="shared" si="281"/>
        <v/>
      </c>
      <c r="KQ48" s="1456" t="str">
        <f t="shared" si="282"/>
        <v/>
      </c>
      <c r="KR48" s="1456" t="str">
        <f t="shared" si="283"/>
        <v/>
      </c>
      <c r="KS48" s="1456" t="str">
        <f t="shared" si="284"/>
        <v/>
      </c>
      <c r="KT48" s="1456" t="str">
        <f t="shared" si="285"/>
        <v/>
      </c>
      <c r="KU48" s="1456" t="str">
        <f t="shared" si="286"/>
        <v/>
      </c>
      <c r="KV48" s="1456" t="str">
        <f t="shared" si="287"/>
        <v/>
      </c>
      <c r="KW48" s="1456" t="str">
        <f t="shared" si="288"/>
        <v/>
      </c>
      <c r="KX48" s="1456" t="str">
        <f t="shared" si="289"/>
        <v/>
      </c>
      <c r="KY48" s="1456" t="str">
        <f t="shared" si="290"/>
        <v/>
      </c>
      <c r="KZ48" s="1456" t="str">
        <f t="shared" si="291"/>
        <v/>
      </c>
      <c r="LA48" s="1456" t="str">
        <f t="shared" si="292"/>
        <v/>
      </c>
      <c r="LB48" s="1456" t="str">
        <f t="shared" si="293"/>
        <v/>
      </c>
      <c r="LC48" s="1456" t="str">
        <f t="shared" si="294"/>
        <v/>
      </c>
      <c r="LD48" s="1456" t="str">
        <f t="shared" si="295"/>
        <v/>
      </c>
      <c r="LE48" s="1456" t="str">
        <f t="shared" si="296"/>
        <v/>
      </c>
      <c r="LF48" s="1456" t="str">
        <f t="shared" si="297"/>
        <v/>
      </c>
      <c r="LG48" s="1446" t="str">
        <f t="shared" si="298"/>
        <v/>
      </c>
      <c r="LH48" s="1446" t="str">
        <f t="shared" si="299"/>
        <v/>
      </c>
      <c r="LI48" s="1446" t="str">
        <f t="shared" si="300"/>
        <v/>
      </c>
      <c r="LJ48" s="1446" t="str">
        <f t="shared" si="301"/>
        <v/>
      </c>
      <c r="LK48" s="1446"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318">
        <f t="shared" si="323"/>
        <v>0</v>
      </c>
      <c r="MG48" s="1318">
        <f t="shared" si="324"/>
        <v>0</v>
      </c>
      <c r="MH48" s="1318">
        <f t="shared" si="325"/>
        <v>0</v>
      </c>
      <c r="MI48" s="1318">
        <f t="shared" si="326"/>
        <v>0</v>
      </c>
      <c r="MJ48" s="1318">
        <f t="shared" si="327"/>
        <v>0</v>
      </c>
      <c r="MK48" s="1318">
        <f t="shared" si="333"/>
        <v>0</v>
      </c>
      <c r="ML48" s="1318">
        <f t="shared" si="334"/>
        <v>0</v>
      </c>
      <c r="MM48" s="1318">
        <f t="shared" si="335"/>
        <v>0</v>
      </c>
      <c r="MN48" s="1318">
        <f t="shared" si="336"/>
        <v>0</v>
      </c>
      <c r="MO48" s="1318">
        <f t="shared" si="337"/>
        <v>0</v>
      </c>
      <c r="MP48" s="1318">
        <f t="shared" si="328"/>
        <v>0</v>
      </c>
      <c r="MQ48" s="1318">
        <f t="shared" si="329"/>
        <v>0</v>
      </c>
      <c r="MR48" s="1318">
        <f t="shared" si="330"/>
        <v>0</v>
      </c>
      <c r="MS48" s="1318">
        <f t="shared" si="331"/>
        <v>0</v>
      </c>
      <c r="MT48" s="1318">
        <f t="shared" si="332"/>
        <v>0</v>
      </c>
      <c r="NP48" s="1292" t="s">
        <v>1189</v>
      </c>
      <c r="NQ48" s="2082">
        <v>48</v>
      </c>
    </row>
    <row r="49" spans="1:381" s="77" customFormat="1" ht="13.9" customHeight="1">
      <c r="A49" s="2602">
        <f>COUNT(A11,A12,A13,A14,A15,A16,A17,A18,A19,A20,A21,A22,A23,A24,A25,A26,A27,A28,A29,A30,A31,A32,A33,A34,A35,A36,A37,A38,A39,A40)</f>
        <v>0</v>
      </c>
      <c r="B49" s="3370" t="s">
        <v>1190</v>
      </c>
      <c r="C49" s="4714"/>
      <c r="D49" s="72" t="s">
        <v>1191</v>
      </c>
      <c r="E49" s="815">
        <f>SUM(E11:E48)</f>
        <v>58</v>
      </c>
      <c r="F49" s="813">
        <f>(E11*F11+E12*F12+E13*F13+E14*F14+E15*F15+E16*F16+E17*F17+E18*F18+E19*F19+E20*F20+E21*F21+E22*F22+E23*F23+E24*F24+E25*F25+E26*F26+E27*F27+E28*F28+E29*F29+E30*F30+E31*F31+E32*F32+E33*F33+E34*F34+E35*F35+E36*F36+E37*F37+E38*F38+E39*F39+E40*F40+E41*F41+E42*F42+E43*F43+E44*F44+E45*F45+E46*F46+E47*F47+E48*F48)</f>
        <v>43144</v>
      </c>
      <c r="H49" s="3374" t="s">
        <v>1192</v>
      </c>
      <c r="I49" s="2705" t="s">
        <v>1193</v>
      </c>
      <c r="J49" s="2706" t="str">
        <f>IF(P67=0,"",IF(SUM(P58:P62)/P67&gt;=0.4,"Pass","Fail"))</f>
        <v>Pass</v>
      </c>
      <c r="K49" s="328"/>
      <c r="L49" s="527" t="s">
        <v>1194</v>
      </c>
      <c r="M49" s="2707">
        <f>SUM(M11:M48)</f>
        <v>67752</v>
      </c>
      <c r="N49" s="43"/>
      <c r="O49" s="43"/>
      <c r="P49" s="43"/>
      <c r="Q49" s="43"/>
      <c r="R49" s="43"/>
      <c r="S49" s="43"/>
      <c r="T49" s="43"/>
      <c r="U49" s="43"/>
      <c r="V49" s="517"/>
      <c r="W49" s="329"/>
      <c r="X49" s="1319">
        <f t="shared" ref="X49:FA49" si="338">SUM(X11:X48)</f>
        <v>0</v>
      </c>
      <c r="Y49" s="1319">
        <f t="shared" si="338"/>
        <v>0</v>
      </c>
      <c r="Z49" s="1319">
        <f t="shared" si="338"/>
        <v>0</v>
      </c>
      <c r="AA49" s="1319">
        <f t="shared" si="338"/>
        <v>0</v>
      </c>
      <c r="AB49" s="1319">
        <f t="shared" si="338"/>
        <v>0</v>
      </c>
      <c r="AC49" s="1319">
        <f t="shared" si="338"/>
        <v>0</v>
      </c>
      <c r="AD49" s="1319">
        <f t="shared" si="338"/>
        <v>0</v>
      </c>
      <c r="AE49" s="1319">
        <f t="shared" si="338"/>
        <v>0</v>
      </c>
      <c r="AF49" s="1319">
        <f t="shared" si="338"/>
        <v>0</v>
      </c>
      <c r="AG49" s="1319">
        <f t="shared" si="338"/>
        <v>0</v>
      </c>
      <c r="AH49" s="1319">
        <f t="shared" si="338"/>
        <v>0</v>
      </c>
      <c r="AI49" s="1319">
        <f t="shared" si="338"/>
        <v>14</v>
      </c>
      <c r="AJ49" s="1319">
        <f t="shared" si="338"/>
        <v>15</v>
      </c>
      <c r="AK49" s="1319">
        <f t="shared" si="338"/>
        <v>0</v>
      </c>
      <c r="AL49" s="1319">
        <f t="shared" si="338"/>
        <v>0</v>
      </c>
      <c r="AM49" s="1319">
        <f>SUM(AM11:AM48)</f>
        <v>0</v>
      </c>
      <c r="AN49" s="1319">
        <f>SUM(AN11:AN48)</f>
        <v>17</v>
      </c>
      <c r="AO49" s="1319">
        <f>SUM(AO11:AO48)</f>
        <v>0</v>
      </c>
      <c r="AP49" s="1319">
        <f>SUM(AP11:AP48)</f>
        <v>0</v>
      </c>
      <c r="AQ49" s="1319">
        <f>SUM(AQ11:AQ48)</f>
        <v>0</v>
      </c>
      <c r="AR49" s="1319">
        <f t="shared" si="338"/>
        <v>0</v>
      </c>
      <c r="AS49" s="1319">
        <f t="shared" si="338"/>
        <v>0</v>
      </c>
      <c r="AT49" s="1319">
        <f t="shared" si="338"/>
        <v>0</v>
      </c>
      <c r="AU49" s="1319">
        <f t="shared" si="338"/>
        <v>0</v>
      </c>
      <c r="AV49" s="1319">
        <f t="shared" si="338"/>
        <v>0</v>
      </c>
      <c r="AW49" s="1319">
        <f t="shared" si="338"/>
        <v>0</v>
      </c>
      <c r="AX49" s="1319">
        <f t="shared" si="338"/>
        <v>6</v>
      </c>
      <c r="AY49" s="1319">
        <f t="shared" si="338"/>
        <v>0</v>
      </c>
      <c r="AZ49" s="1319">
        <f t="shared" si="338"/>
        <v>0</v>
      </c>
      <c r="BA49" s="1319">
        <f t="shared" si="338"/>
        <v>0</v>
      </c>
      <c r="BB49" s="1319">
        <f>SUM(BB11:BB48)</f>
        <v>0</v>
      </c>
      <c r="BC49" s="1319">
        <f>SUM(BC11:BC48)</f>
        <v>0</v>
      </c>
      <c r="BD49" s="1319">
        <f>SUM(BD11:BD48)</f>
        <v>0</v>
      </c>
      <c r="BE49" s="1319">
        <f>SUM(BE11:BE48)</f>
        <v>0</v>
      </c>
      <c r="BF49" s="1319">
        <f>SUM(BF11:BF48)</f>
        <v>0</v>
      </c>
      <c r="BG49" s="1319">
        <f t="shared" si="338"/>
        <v>0</v>
      </c>
      <c r="BH49" s="1319">
        <f t="shared" si="338"/>
        <v>4</v>
      </c>
      <c r="BI49" s="1319">
        <f t="shared" si="338"/>
        <v>2</v>
      </c>
      <c r="BJ49" s="1319">
        <f t="shared" si="338"/>
        <v>0</v>
      </c>
      <c r="BK49" s="1319">
        <f t="shared" si="338"/>
        <v>0</v>
      </c>
      <c r="BL49" s="1319">
        <f>SUM(BL11:BL48)</f>
        <v>0</v>
      </c>
      <c r="BM49" s="1319">
        <f>SUM(BM11:BM48)</f>
        <v>0</v>
      </c>
      <c r="BN49" s="1319">
        <f>SUM(BN11:BN48)</f>
        <v>0</v>
      </c>
      <c r="BO49" s="1319">
        <f>SUM(BO11:BO48)</f>
        <v>0</v>
      </c>
      <c r="BP49" s="1319">
        <f>SUM(BP11:BP48)</f>
        <v>0</v>
      </c>
      <c r="BQ49" s="1319">
        <f t="shared" si="338"/>
        <v>0</v>
      </c>
      <c r="BR49" s="1319">
        <f t="shared" si="338"/>
        <v>6</v>
      </c>
      <c r="BS49" s="1319">
        <f t="shared" si="338"/>
        <v>0</v>
      </c>
      <c r="BT49" s="1319">
        <f t="shared" si="338"/>
        <v>0</v>
      </c>
      <c r="BU49" s="1319">
        <f t="shared" si="338"/>
        <v>0</v>
      </c>
      <c r="BV49" s="1319">
        <f>SUM(BV11:BV48)</f>
        <v>0</v>
      </c>
      <c r="BW49" s="1319">
        <f>SUM(BW11:BW48)</f>
        <v>0</v>
      </c>
      <c r="BX49" s="1319">
        <f>SUM(BX11:BX48)</f>
        <v>0</v>
      </c>
      <c r="BY49" s="1319">
        <f>SUM(BY11:BY48)</f>
        <v>0</v>
      </c>
      <c r="BZ49" s="1319">
        <f>SUM(BZ11:BZ48)</f>
        <v>0</v>
      </c>
      <c r="CA49" s="1319">
        <f t="shared" si="338"/>
        <v>0</v>
      </c>
      <c r="CB49" s="1319">
        <f t="shared" si="338"/>
        <v>17</v>
      </c>
      <c r="CC49" s="1319">
        <f t="shared" si="338"/>
        <v>0</v>
      </c>
      <c r="CD49" s="1319">
        <f t="shared" si="338"/>
        <v>0</v>
      </c>
      <c r="CE49" s="1319">
        <f t="shared" si="338"/>
        <v>0</v>
      </c>
      <c r="CF49" s="1319">
        <f t="shared" si="338"/>
        <v>0</v>
      </c>
      <c r="CG49" s="1319">
        <f t="shared" si="338"/>
        <v>0</v>
      </c>
      <c r="CH49" s="1319">
        <f t="shared" si="338"/>
        <v>0</v>
      </c>
      <c r="CI49" s="1319">
        <f t="shared" si="338"/>
        <v>0</v>
      </c>
      <c r="CJ49" s="1319">
        <f t="shared" si="338"/>
        <v>0</v>
      </c>
      <c r="CK49" s="1319">
        <f>SUM(CK11:CK48)</f>
        <v>0</v>
      </c>
      <c r="CL49" s="1319">
        <f>SUM(CL11:CL48)</f>
        <v>0</v>
      </c>
      <c r="CM49" s="1319">
        <f>SUM(CM11:CM48)</f>
        <v>0</v>
      </c>
      <c r="CN49" s="1319">
        <f>SUM(CN11:CN48)</f>
        <v>0</v>
      </c>
      <c r="CO49" s="1319">
        <f>SUM(CO11:CO48)</f>
        <v>0</v>
      </c>
      <c r="CP49" s="1319">
        <f t="shared" ref="CP49:CY49" si="339">SUM(CP11:CP48)</f>
        <v>0</v>
      </c>
      <c r="CQ49" s="1319">
        <f t="shared" si="339"/>
        <v>0</v>
      </c>
      <c r="CR49" s="1319">
        <f t="shared" si="339"/>
        <v>0</v>
      </c>
      <c r="CS49" s="1319">
        <f t="shared" si="339"/>
        <v>0</v>
      </c>
      <c r="CT49" s="1319">
        <f t="shared" si="339"/>
        <v>0</v>
      </c>
      <c r="CU49" s="1319">
        <f t="shared" si="339"/>
        <v>0</v>
      </c>
      <c r="CV49" s="1319">
        <f t="shared" si="339"/>
        <v>0</v>
      </c>
      <c r="CW49" s="1319">
        <f t="shared" si="339"/>
        <v>0</v>
      </c>
      <c r="CX49" s="1319">
        <f t="shared" si="339"/>
        <v>0</v>
      </c>
      <c r="CY49" s="1319">
        <f t="shared" si="339"/>
        <v>0</v>
      </c>
      <c r="CZ49" s="1319">
        <f t="shared" si="338"/>
        <v>0</v>
      </c>
      <c r="DA49" s="1319">
        <f t="shared" si="338"/>
        <v>0</v>
      </c>
      <c r="DB49" s="1319">
        <f t="shared" si="338"/>
        <v>0</v>
      </c>
      <c r="DC49" s="1319">
        <f t="shared" si="338"/>
        <v>0</v>
      </c>
      <c r="DD49" s="1319">
        <f t="shared" si="338"/>
        <v>0</v>
      </c>
      <c r="DE49" s="1319">
        <f t="shared" si="338"/>
        <v>0</v>
      </c>
      <c r="DF49" s="1319">
        <f t="shared" si="338"/>
        <v>0</v>
      </c>
      <c r="DG49" s="1319">
        <f t="shared" si="338"/>
        <v>0</v>
      </c>
      <c r="DH49" s="1319">
        <f t="shared" si="338"/>
        <v>0</v>
      </c>
      <c r="DI49" s="1319">
        <f t="shared" si="338"/>
        <v>0</v>
      </c>
      <c r="DJ49" s="1319">
        <f t="shared" si="338"/>
        <v>0</v>
      </c>
      <c r="DK49" s="1319">
        <f t="shared" si="338"/>
        <v>0</v>
      </c>
      <c r="DL49" s="1319">
        <f t="shared" si="338"/>
        <v>0</v>
      </c>
      <c r="DM49" s="1319">
        <f t="shared" si="338"/>
        <v>0</v>
      </c>
      <c r="DN49" s="1319">
        <f t="shared" si="338"/>
        <v>0</v>
      </c>
      <c r="DO49" s="1319">
        <f t="shared" si="338"/>
        <v>0</v>
      </c>
      <c r="DP49" s="1319">
        <f t="shared" si="338"/>
        <v>0</v>
      </c>
      <c r="DQ49" s="1319">
        <f t="shared" si="338"/>
        <v>0</v>
      </c>
      <c r="DR49" s="1319">
        <f t="shared" si="338"/>
        <v>0</v>
      </c>
      <c r="DS49" s="1319">
        <f t="shared" si="338"/>
        <v>0</v>
      </c>
      <c r="DT49" s="1319">
        <f t="shared" si="338"/>
        <v>0</v>
      </c>
      <c r="DU49" s="1319">
        <f t="shared" si="338"/>
        <v>0</v>
      </c>
      <c r="DV49" s="1319">
        <f t="shared" si="338"/>
        <v>0</v>
      </c>
      <c r="DW49" s="1319">
        <f t="shared" si="338"/>
        <v>0</v>
      </c>
      <c r="DX49" s="1319">
        <f t="shared" si="338"/>
        <v>0</v>
      </c>
      <c r="DY49" s="1319">
        <f t="shared" si="338"/>
        <v>0</v>
      </c>
      <c r="DZ49" s="1319">
        <f t="shared" si="338"/>
        <v>0</v>
      </c>
      <c r="EA49" s="1319">
        <f t="shared" si="338"/>
        <v>0</v>
      </c>
      <c r="EB49" s="1319">
        <f t="shared" si="338"/>
        <v>0</v>
      </c>
      <c r="EC49" s="1319">
        <f t="shared" si="338"/>
        <v>0</v>
      </c>
      <c r="ED49" s="1319">
        <f t="shared" si="338"/>
        <v>0</v>
      </c>
      <c r="EE49" s="1319">
        <f t="shared" si="338"/>
        <v>0</v>
      </c>
      <c r="EF49" s="1319">
        <f t="shared" si="338"/>
        <v>0</v>
      </c>
      <c r="EG49" s="1319">
        <f t="shared" si="338"/>
        <v>0</v>
      </c>
      <c r="EH49" s="1319">
        <f t="shared" si="338"/>
        <v>0</v>
      </c>
      <c r="EI49" s="1319">
        <f t="shared" si="338"/>
        <v>0</v>
      </c>
      <c r="EJ49" s="1319">
        <f t="shared" si="338"/>
        <v>0</v>
      </c>
      <c r="EK49" s="1319">
        <f t="shared" si="338"/>
        <v>0</v>
      </c>
      <c r="EL49" s="1319">
        <f t="shared" si="338"/>
        <v>0</v>
      </c>
      <c r="EM49" s="1319">
        <f t="shared" si="338"/>
        <v>0</v>
      </c>
      <c r="EN49" s="1319">
        <f t="shared" si="338"/>
        <v>0</v>
      </c>
      <c r="EO49" s="1319">
        <f t="shared" si="338"/>
        <v>0</v>
      </c>
      <c r="EP49" s="1319">
        <f t="shared" si="338"/>
        <v>0</v>
      </c>
      <c r="EQ49" s="1319">
        <f t="shared" si="338"/>
        <v>0</v>
      </c>
      <c r="ER49" s="1319">
        <f t="shared" si="338"/>
        <v>0</v>
      </c>
      <c r="ES49" s="1319">
        <f t="shared" si="338"/>
        <v>0</v>
      </c>
      <c r="ET49" s="1319">
        <f t="shared" si="338"/>
        <v>9142</v>
      </c>
      <c r="EU49" s="1319">
        <f t="shared" si="338"/>
        <v>14445</v>
      </c>
      <c r="EV49" s="1319">
        <f t="shared" si="338"/>
        <v>0</v>
      </c>
      <c r="EW49" s="1319">
        <f t="shared" si="338"/>
        <v>0</v>
      </c>
      <c r="EX49" s="1319">
        <f t="shared" si="338"/>
        <v>0</v>
      </c>
      <c r="EY49" s="1319">
        <f t="shared" si="338"/>
        <v>11101</v>
      </c>
      <c r="EZ49" s="1319">
        <f t="shared" si="338"/>
        <v>0</v>
      </c>
      <c r="FA49" s="1319">
        <f t="shared" si="338"/>
        <v>0</v>
      </c>
      <c r="FB49" s="1319">
        <f t="shared" ref="FB49:HW49" si="340">SUM(FB11:FB48)</f>
        <v>0</v>
      </c>
      <c r="FC49" s="1319">
        <f>SUM(FC11:FC48)</f>
        <v>0</v>
      </c>
      <c r="FD49" s="1319">
        <f>SUM(FD11:FD48)</f>
        <v>0</v>
      </c>
      <c r="FE49" s="1319">
        <f>SUM(FE11:FE48)</f>
        <v>0</v>
      </c>
      <c r="FF49" s="1319">
        <f>SUM(FF11:FF48)</f>
        <v>0</v>
      </c>
      <c r="FG49" s="1319">
        <f>SUM(FG11:FG48)</f>
        <v>0</v>
      </c>
      <c r="FH49" s="1319">
        <f t="shared" si="340"/>
        <v>0</v>
      </c>
      <c r="FI49" s="1319">
        <f t="shared" si="340"/>
        <v>3918</v>
      </c>
      <c r="FJ49" s="1319">
        <f t="shared" si="340"/>
        <v>0</v>
      </c>
      <c r="FK49" s="1319">
        <f t="shared" si="340"/>
        <v>0</v>
      </c>
      <c r="FL49" s="1319">
        <f t="shared" si="340"/>
        <v>0</v>
      </c>
      <c r="FM49" s="1319">
        <f>SUM(FM11:FM48)</f>
        <v>0</v>
      </c>
      <c r="FN49" s="1319">
        <f>SUM(FN11:FN48)</f>
        <v>0</v>
      </c>
      <c r="FO49" s="1319">
        <f>SUM(FO11:FO48)</f>
        <v>0</v>
      </c>
      <c r="FP49" s="1319">
        <f>SUM(FP11:FP48)</f>
        <v>0</v>
      </c>
      <c r="FQ49" s="1319">
        <f>SUM(FQ11:FQ48)</f>
        <v>0</v>
      </c>
      <c r="FR49" s="1319">
        <f t="shared" si="340"/>
        <v>0</v>
      </c>
      <c r="FS49" s="1319">
        <f t="shared" si="340"/>
        <v>2612</v>
      </c>
      <c r="FT49" s="1319">
        <f t="shared" si="340"/>
        <v>1926</v>
      </c>
      <c r="FU49" s="1319">
        <f t="shared" si="340"/>
        <v>0</v>
      </c>
      <c r="FV49" s="1319">
        <f t="shared" si="340"/>
        <v>0</v>
      </c>
      <c r="FW49" s="1319">
        <f t="shared" si="340"/>
        <v>0</v>
      </c>
      <c r="FX49" s="1319">
        <f t="shared" si="340"/>
        <v>15019</v>
      </c>
      <c r="FY49" s="1319">
        <f t="shared" si="340"/>
        <v>0</v>
      </c>
      <c r="FZ49" s="1319">
        <f t="shared" si="340"/>
        <v>0</v>
      </c>
      <c r="GA49" s="1319">
        <f t="shared" si="340"/>
        <v>0</v>
      </c>
      <c r="GB49" s="1319">
        <f t="shared" si="340"/>
        <v>0</v>
      </c>
      <c r="GC49" s="1319">
        <f t="shared" si="340"/>
        <v>0</v>
      </c>
      <c r="GD49" s="1319">
        <f t="shared" si="340"/>
        <v>0</v>
      </c>
      <c r="GE49" s="1319">
        <f t="shared" si="340"/>
        <v>0</v>
      </c>
      <c r="GF49" s="1319">
        <f t="shared" si="340"/>
        <v>0</v>
      </c>
      <c r="GG49" s="1319">
        <f t="shared" si="340"/>
        <v>0</v>
      </c>
      <c r="GH49" s="1319">
        <f t="shared" si="340"/>
        <v>37</v>
      </c>
      <c r="GI49" s="1319">
        <f t="shared" si="340"/>
        <v>15</v>
      </c>
      <c r="GJ49" s="1319">
        <f t="shared" si="340"/>
        <v>0</v>
      </c>
      <c r="GK49" s="1319">
        <f t="shared" si="340"/>
        <v>0</v>
      </c>
      <c r="GL49" s="1319">
        <f t="shared" si="340"/>
        <v>0</v>
      </c>
      <c r="GM49" s="1319">
        <f t="shared" si="340"/>
        <v>4</v>
      </c>
      <c r="GN49" s="1319">
        <f t="shared" si="340"/>
        <v>2</v>
      </c>
      <c r="GO49" s="1319">
        <f t="shared" si="340"/>
        <v>0</v>
      </c>
      <c r="GP49" s="1319">
        <f t="shared" si="340"/>
        <v>0</v>
      </c>
      <c r="GQ49" s="1319">
        <f t="shared" si="340"/>
        <v>0</v>
      </c>
      <c r="GR49" s="1319">
        <f t="shared" si="340"/>
        <v>0</v>
      </c>
      <c r="GS49" s="1319">
        <f t="shared" si="340"/>
        <v>0</v>
      </c>
      <c r="GT49" s="1319">
        <f t="shared" si="340"/>
        <v>0</v>
      </c>
      <c r="GU49" s="1319">
        <f t="shared" si="340"/>
        <v>0</v>
      </c>
      <c r="GV49" s="1319">
        <f t="shared" si="340"/>
        <v>0</v>
      </c>
      <c r="GW49" s="1319">
        <f t="shared" si="340"/>
        <v>0</v>
      </c>
      <c r="GX49" s="1319">
        <f t="shared" si="340"/>
        <v>0</v>
      </c>
      <c r="GY49" s="1319">
        <f t="shared" si="340"/>
        <v>0</v>
      </c>
      <c r="GZ49" s="1319">
        <f t="shared" si="340"/>
        <v>0</v>
      </c>
      <c r="HA49" s="1319">
        <f t="shared" si="340"/>
        <v>0</v>
      </c>
      <c r="HB49" s="1319">
        <f t="shared" si="340"/>
        <v>0</v>
      </c>
      <c r="HC49" s="1319">
        <f t="shared" si="340"/>
        <v>0</v>
      </c>
      <c r="HD49" s="1319">
        <f t="shared" si="340"/>
        <v>0</v>
      </c>
      <c r="HE49" s="1319">
        <f t="shared" si="340"/>
        <v>0</v>
      </c>
      <c r="HF49" s="1319">
        <f t="shared" si="340"/>
        <v>0</v>
      </c>
      <c r="HG49" s="1319">
        <f t="shared" si="340"/>
        <v>0</v>
      </c>
      <c r="HH49" s="1319">
        <f t="shared" si="340"/>
        <v>0</v>
      </c>
      <c r="HI49" s="1319">
        <f t="shared" si="340"/>
        <v>0</v>
      </c>
      <c r="HJ49" s="1319">
        <f t="shared" si="340"/>
        <v>0</v>
      </c>
      <c r="HK49" s="1319">
        <f t="shared" si="340"/>
        <v>0</v>
      </c>
      <c r="HL49" s="1319">
        <f t="shared" si="340"/>
        <v>0</v>
      </c>
      <c r="HM49" s="1319">
        <f t="shared" si="340"/>
        <v>0</v>
      </c>
      <c r="HN49" s="1319">
        <f t="shared" si="340"/>
        <v>0</v>
      </c>
      <c r="HO49" s="1319">
        <f t="shared" si="340"/>
        <v>0</v>
      </c>
      <c r="HP49" s="1319">
        <f t="shared" si="340"/>
        <v>0</v>
      </c>
      <c r="HQ49" s="1319">
        <f t="shared" si="340"/>
        <v>0</v>
      </c>
      <c r="HR49" s="1319">
        <f t="shared" si="340"/>
        <v>0</v>
      </c>
      <c r="HS49" s="1319">
        <f t="shared" si="340"/>
        <v>0</v>
      </c>
      <c r="HT49" s="1319">
        <f t="shared" si="340"/>
        <v>0</v>
      </c>
      <c r="HU49" s="1319">
        <f t="shared" si="340"/>
        <v>0</v>
      </c>
      <c r="HV49" s="1319">
        <f t="shared" si="340"/>
        <v>0</v>
      </c>
      <c r="HW49" s="1319">
        <f t="shared" si="340"/>
        <v>0</v>
      </c>
      <c r="HX49" s="1319">
        <f t="shared" ref="HX49:KG49" si="341">SUM(HX11:HX48)</f>
        <v>0</v>
      </c>
      <c r="HY49" s="1319">
        <f t="shared" si="341"/>
        <v>0</v>
      </c>
      <c r="HZ49" s="1319">
        <f t="shared" si="341"/>
        <v>0</v>
      </c>
      <c r="IA49" s="1319">
        <f t="shared" si="341"/>
        <v>41</v>
      </c>
      <c r="IB49" s="1319">
        <f t="shared" si="341"/>
        <v>17</v>
      </c>
      <c r="IC49" s="1319">
        <f t="shared" si="341"/>
        <v>0</v>
      </c>
      <c r="ID49" s="1319">
        <f t="shared" si="341"/>
        <v>0</v>
      </c>
      <c r="IE49" s="1319">
        <f t="shared" si="341"/>
        <v>0</v>
      </c>
      <c r="IF49" s="1319">
        <f t="shared" si="341"/>
        <v>0</v>
      </c>
      <c r="IG49" s="1319">
        <f t="shared" si="341"/>
        <v>0</v>
      </c>
      <c r="IH49" s="1319">
        <f t="shared" si="341"/>
        <v>0</v>
      </c>
      <c r="II49" s="1319">
        <f t="shared" si="341"/>
        <v>0</v>
      </c>
      <c r="IJ49" s="1319">
        <f t="shared" si="341"/>
        <v>0</v>
      </c>
      <c r="IK49" s="1319">
        <f t="shared" si="341"/>
        <v>0</v>
      </c>
      <c r="IL49" s="1319">
        <f t="shared" si="341"/>
        <v>0</v>
      </c>
      <c r="IM49" s="1319">
        <f t="shared" si="341"/>
        <v>0</v>
      </c>
      <c r="IN49" s="1319">
        <f t="shared" si="341"/>
        <v>0</v>
      </c>
      <c r="IO49" s="1319">
        <f t="shared" si="341"/>
        <v>0</v>
      </c>
      <c r="IP49" s="1319">
        <f t="shared" si="341"/>
        <v>0</v>
      </c>
      <c r="IQ49" s="1319">
        <f t="shared" si="341"/>
        <v>0</v>
      </c>
      <c r="IR49" s="1319">
        <f t="shared" si="341"/>
        <v>0</v>
      </c>
      <c r="IS49" s="1319">
        <f t="shared" si="341"/>
        <v>0</v>
      </c>
      <c r="IT49" s="1319">
        <f t="shared" si="341"/>
        <v>0</v>
      </c>
      <c r="IU49" s="1319">
        <f t="shared" si="341"/>
        <v>0</v>
      </c>
      <c r="IV49" s="1319">
        <f t="shared" si="341"/>
        <v>0</v>
      </c>
      <c r="IW49" s="1319">
        <f t="shared" si="341"/>
        <v>0</v>
      </c>
      <c r="IX49" s="1319">
        <f t="shared" si="341"/>
        <v>0</v>
      </c>
      <c r="IY49" s="1319">
        <f t="shared" si="341"/>
        <v>0</v>
      </c>
      <c r="IZ49" s="1319">
        <f t="shared" si="341"/>
        <v>0</v>
      </c>
      <c r="JA49" s="1319">
        <f t="shared" si="341"/>
        <v>0</v>
      </c>
      <c r="JB49" s="1319">
        <f t="shared" si="341"/>
        <v>0</v>
      </c>
      <c r="JC49" s="1319">
        <f t="shared" si="341"/>
        <v>0</v>
      </c>
      <c r="JD49" s="1319">
        <f t="shared" si="341"/>
        <v>0</v>
      </c>
      <c r="JE49" s="1319">
        <f t="shared" si="341"/>
        <v>0</v>
      </c>
      <c r="JF49" s="1319">
        <f t="shared" si="341"/>
        <v>0</v>
      </c>
      <c r="JG49" s="1319">
        <f t="shared" si="341"/>
        <v>0</v>
      </c>
      <c r="JH49" s="1319">
        <f t="shared" si="341"/>
        <v>0</v>
      </c>
      <c r="JI49" s="1319">
        <f t="shared" si="341"/>
        <v>0</v>
      </c>
      <c r="JJ49" s="1319">
        <f t="shared" si="341"/>
        <v>0</v>
      </c>
      <c r="JK49" s="1319">
        <f t="shared" si="341"/>
        <v>0</v>
      </c>
      <c r="JL49" s="1319">
        <f t="shared" si="341"/>
        <v>0</v>
      </c>
      <c r="JM49" s="1319">
        <f t="shared" si="341"/>
        <v>0</v>
      </c>
      <c r="JN49" s="1319">
        <f t="shared" si="341"/>
        <v>0</v>
      </c>
      <c r="JO49" s="1319">
        <f t="shared" si="341"/>
        <v>0</v>
      </c>
      <c r="JP49" s="1319">
        <f t="shared" si="341"/>
        <v>0</v>
      </c>
      <c r="JQ49" s="1319">
        <f t="shared" si="341"/>
        <v>0</v>
      </c>
      <c r="JR49" s="1319">
        <f t="shared" si="341"/>
        <v>0</v>
      </c>
      <c r="JS49" s="1319">
        <f t="shared" si="341"/>
        <v>0</v>
      </c>
      <c r="JT49" s="1319">
        <f t="shared" si="341"/>
        <v>0</v>
      </c>
      <c r="JU49" s="1319">
        <f t="shared" si="341"/>
        <v>0</v>
      </c>
      <c r="JV49" s="1319">
        <f t="shared" si="341"/>
        <v>0</v>
      </c>
      <c r="JW49" s="1319">
        <f t="shared" si="341"/>
        <v>0</v>
      </c>
      <c r="JX49" s="1319">
        <f>SUM(JX11:JX48)</f>
        <v>0</v>
      </c>
      <c r="JY49" s="1319">
        <f>SUM(JY11:JY48)</f>
        <v>41</v>
      </c>
      <c r="JZ49" s="1319">
        <f>SUM(JZ11:JZ48)</f>
        <v>17</v>
      </c>
      <c r="KA49" s="1319">
        <f>SUM(KA11:KA48)</f>
        <v>0</v>
      </c>
      <c r="KB49" s="1319">
        <f>SUM(KB11:KB48)</f>
        <v>0</v>
      </c>
      <c r="KC49" s="1319">
        <f t="shared" si="341"/>
        <v>0</v>
      </c>
      <c r="KD49" s="1319">
        <f t="shared" si="341"/>
        <v>0</v>
      </c>
      <c r="KE49" s="1319">
        <f t="shared" si="341"/>
        <v>0</v>
      </c>
      <c r="KF49" s="1319">
        <f t="shared" si="341"/>
        <v>0</v>
      </c>
      <c r="KG49" s="1319">
        <f t="shared" si="341"/>
        <v>0</v>
      </c>
      <c r="KH49" s="1319">
        <f>SUM(KH11:KH48)</f>
        <v>0</v>
      </c>
      <c r="KI49" s="1319">
        <f>SUM(KI11:KI48)</f>
        <v>0</v>
      </c>
      <c r="KJ49" s="1319">
        <f>SUM(KJ11:KJ48)</f>
        <v>0</v>
      </c>
      <c r="KK49" s="1319">
        <f>SUM(KK11:KK48)</f>
        <v>0</v>
      </c>
      <c r="KL49" s="1319">
        <f>SUM(KL11:KL48)</f>
        <v>0</v>
      </c>
      <c r="KM49" s="1319">
        <f t="shared" ref="KM49:LA49" si="342">SUM(KM11:KM48)</f>
        <v>0</v>
      </c>
      <c r="KN49" s="1319">
        <f t="shared" si="342"/>
        <v>0</v>
      </c>
      <c r="KO49" s="1319">
        <f t="shared" si="342"/>
        <v>0</v>
      </c>
      <c r="KP49" s="1319">
        <f t="shared" si="342"/>
        <v>0</v>
      </c>
      <c r="KQ49" s="1319">
        <f t="shared" si="342"/>
        <v>0</v>
      </c>
      <c r="KR49" s="1319">
        <f>SUM(KR11:KR48)</f>
        <v>0</v>
      </c>
      <c r="KS49" s="1319">
        <f>SUM(KS11:KS48)</f>
        <v>0</v>
      </c>
      <c r="KT49" s="1319">
        <f>SUM(KT11:KT48)</f>
        <v>0</v>
      </c>
      <c r="KU49" s="1319">
        <f>SUM(KU11:KU48)</f>
        <v>0</v>
      </c>
      <c r="KV49" s="1319">
        <f>SUM(KV11:KV48)</f>
        <v>0</v>
      </c>
      <c r="KW49" s="1319">
        <f t="shared" si="342"/>
        <v>0</v>
      </c>
      <c r="KX49" s="1319">
        <f t="shared" si="342"/>
        <v>0</v>
      </c>
      <c r="KY49" s="1319">
        <f t="shared" si="342"/>
        <v>0</v>
      </c>
      <c r="KZ49" s="1319">
        <f t="shared" si="342"/>
        <v>0</v>
      </c>
      <c r="LA49" s="1319">
        <f t="shared" si="342"/>
        <v>0</v>
      </c>
      <c r="LB49" s="1319">
        <f>SUM(LB11:LB48)</f>
        <v>0</v>
      </c>
      <c r="LC49" s="1319">
        <f>SUM(LC11:LC48)</f>
        <v>0</v>
      </c>
      <c r="LD49" s="1319">
        <f>SUM(LD11:LD48)</f>
        <v>0</v>
      </c>
      <c r="LE49" s="1319">
        <f>SUM(LE11:LE48)</f>
        <v>0</v>
      </c>
      <c r="LF49" s="1319">
        <f>SUM(LF11:LF48)</f>
        <v>0</v>
      </c>
      <c r="LG49" s="1319">
        <f t="shared" ref="LG49:MU49" si="343">SUM(LG11:LG48)</f>
        <v>0</v>
      </c>
      <c r="LH49" s="1319">
        <f t="shared" si="343"/>
        <v>0</v>
      </c>
      <c r="LI49" s="1319">
        <f t="shared" si="343"/>
        <v>0</v>
      </c>
      <c r="LJ49" s="1319">
        <f t="shared" si="343"/>
        <v>0</v>
      </c>
      <c r="LK49" s="1319">
        <f t="shared" si="343"/>
        <v>0</v>
      </c>
      <c r="LL49" s="1319">
        <f t="shared" si="343"/>
        <v>0</v>
      </c>
      <c r="LM49" s="1319">
        <f t="shared" si="343"/>
        <v>0</v>
      </c>
      <c r="LN49" s="1319">
        <f t="shared" si="343"/>
        <v>0</v>
      </c>
      <c r="LO49" s="1319">
        <f t="shared" si="343"/>
        <v>0</v>
      </c>
      <c r="LP49" s="1319">
        <f t="shared" si="343"/>
        <v>0</v>
      </c>
      <c r="LQ49" s="1319">
        <f t="shared" si="343"/>
        <v>0</v>
      </c>
      <c r="LR49" s="1319">
        <f t="shared" si="343"/>
        <v>0</v>
      </c>
      <c r="LS49" s="1319">
        <f t="shared" si="343"/>
        <v>0</v>
      </c>
      <c r="LT49" s="1319">
        <f t="shared" si="343"/>
        <v>0</v>
      </c>
      <c r="LU49" s="1319">
        <f t="shared" si="343"/>
        <v>0</v>
      </c>
      <c r="LV49" s="1319">
        <f t="shared" si="343"/>
        <v>0</v>
      </c>
      <c r="LW49" s="1319">
        <f t="shared" si="343"/>
        <v>0</v>
      </c>
      <c r="LX49" s="1319">
        <f t="shared" si="343"/>
        <v>0</v>
      </c>
      <c r="LY49" s="1319">
        <f t="shared" si="343"/>
        <v>0</v>
      </c>
      <c r="LZ49" s="1319">
        <f t="shared" si="343"/>
        <v>0</v>
      </c>
      <c r="MA49" s="1319">
        <f t="shared" si="343"/>
        <v>0</v>
      </c>
      <c r="MB49" s="1319">
        <f t="shared" si="343"/>
        <v>0</v>
      </c>
      <c r="MC49" s="1319">
        <f t="shared" si="343"/>
        <v>0</v>
      </c>
      <c r="MD49" s="1319">
        <f t="shared" si="343"/>
        <v>0</v>
      </c>
      <c r="ME49" s="1319">
        <f t="shared" si="343"/>
        <v>0</v>
      </c>
      <c r="MF49" s="1319">
        <f t="shared" si="343"/>
        <v>0</v>
      </c>
      <c r="MG49" s="1319">
        <f t="shared" si="343"/>
        <v>0</v>
      </c>
      <c r="MH49" s="1319">
        <f t="shared" si="343"/>
        <v>0</v>
      </c>
      <c r="MI49" s="1319">
        <f t="shared" si="343"/>
        <v>0</v>
      </c>
      <c r="MJ49" s="1319">
        <f t="shared" si="343"/>
        <v>0</v>
      </c>
      <c r="MK49" s="1319">
        <f t="shared" si="343"/>
        <v>0</v>
      </c>
      <c r="ML49" s="1319">
        <f t="shared" si="343"/>
        <v>41</v>
      </c>
      <c r="MM49" s="1319">
        <f t="shared" si="343"/>
        <v>17</v>
      </c>
      <c r="MN49" s="1319">
        <f t="shared" si="343"/>
        <v>0</v>
      </c>
      <c r="MO49" s="1319">
        <f t="shared" si="343"/>
        <v>0</v>
      </c>
      <c r="MP49" s="1319">
        <f t="shared" si="343"/>
        <v>0</v>
      </c>
      <c r="MQ49" s="1319">
        <f t="shared" si="343"/>
        <v>0</v>
      </c>
      <c r="MR49" s="1319">
        <f t="shared" si="343"/>
        <v>0</v>
      </c>
      <c r="MS49" s="1319">
        <f t="shared" si="343"/>
        <v>0</v>
      </c>
      <c r="MT49" s="1319">
        <f t="shared" si="343"/>
        <v>0</v>
      </c>
      <c r="MU49" s="329">
        <f t="shared" si="343"/>
        <v>0</v>
      </c>
      <c r="NO49" s="251"/>
      <c r="NP49" s="1292" t="s">
        <v>1195</v>
      </c>
      <c r="NQ49" s="2082">
        <v>49</v>
      </c>
    </row>
    <row r="50" spans="1:381" s="77" customFormat="1" ht="13.9" customHeight="1">
      <c r="B50" s="3376">
        <f>IF(SUM(E18:E48)=0,"",(B18*E18+B19*E19+B20*E20+B21*E21+B22*E22+B23*E23+B24*E24+B25*E25+B26*E26+B27*E27+B28*E28+B29*E29+B30*E30+B31*E31+B32*E32+B33*E33+B34*E34+B35*E35+B36*E36+B37*E37+B38*E38+B39*E39+B40*E40+B41*E41+B42*E42+B43*E43+B44*E44+B45*E45+B46*E46+B47*E47+B48*E48)/SUM(E18:E48))</f>
        <v>53.269230769230766</v>
      </c>
      <c r="C50" s="3377"/>
      <c r="D50" s="2541" t="s">
        <v>1196</v>
      </c>
      <c r="E50" s="812">
        <f>SUM(E18:E48)</f>
        <v>52</v>
      </c>
      <c r="F50" s="814">
        <f>(E18*F18+E19*F19+E20*F20+E21*F21+E22*F22+E23*F23+E24*F24+E25*F25+E26*F26+E27*F27+E28*F28+E29*F29+E30*F30+E31*F31+E32*F32+E33*F33+E34*F34+E35*F35+E36*F36+E37*F37+E38*F38+E39*F39+E40*F40+E41*F41+E42*F42+E43*F43+E44*F44+E45*F45+E46*F46+E47*F47+E48*F48)</f>
        <v>38606</v>
      </c>
      <c r="H50" s="3375"/>
      <c r="I50" s="816" t="s">
        <v>1197</v>
      </c>
      <c r="J50" s="817" t="str">
        <f>IF(P67=0,"",IF(SUM(P59:P62)/P67&gt;=0.2,"Pass","Fail"))</f>
        <v>Pass</v>
      </c>
      <c r="K50" s="328"/>
      <c r="L50" s="72" t="s">
        <v>1198</v>
      </c>
      <c r="M50" s="2707">
        <f>M49*12</f>
        <v>813024</v>
      </c>
      <c r="N50" s="43"/>
      <c r="O50" s="43"/>
      <c r="P50" s="43"/>
      <c r="Q50" s="43"/>
      <c r="R50" s="43"/>
      <c r="S50" s="43"/>
      <c r="T50" s="43"/>
      <c r="U50" s="43"/>
      <c r="V50" s="43"/>
      <c r="W50" s="329"/>
      <c r="X50" s="1319"/>
      <c r="Y50" s="1319"/>
      <c r="Z50" s="1319"/>
      <c r="AA50" s="1319"/>
      <c r="AB50" s="1319"/>
      <c r="AC50" s="1319"/>
      <c r="AD50" s="1319"/>
      <c r="AE50" s="1319"/>
      <c r="AF50" s="1319"/>
      <c r="AG50" s="1319"/>
      <c r="AH50" s="1319"/>
      <c r="AI50" s="1319"/>
      <c r="AJ50" s="1319"/>
      <c r="AK50" s="1319"/>
      <c r="AL50" s="1319"/>
      <c r="AM50" s="1319"/>
      <c r="AN50" s="1319"/>
      <c r="AO50" s="1319"/>
      <c r="AP50" s="1319"/>
      <c r="AQ50" s="1319"/>
      <c r="AR50" s="1319"/>
      <c r="AS50" s="1319"/>
      <c r="AT50" s="1319"/>
      <c r="AU50" s="1319"/>
      <c r="AV50" s="1319"/>
      <c r="AW50" s="1319"/>
      <c r="AX50" s="1319"/>
      <c r="AY50" s="1319"/>
      <c r="AZ50" s="1319"/>
      <c r="BA50" s="1319"/>
      <c r="BB50" s="1319"/>
      <c r="BC50" s="1319"/>
      <c r="BD50" s="1319"/>
      <c r="BE50" s="1319"/>
      <c r="BF50" s="1319"/>
      <c r="BG50" s="1319"/>
      <c r="BH50" s="1319"/>
      <c r="BI50" s="1319"/>
      <c r="BJ50" s="1319"/>
      <c r="BK50" s="1319"/>
      <c r="BL50" s="1319"/>
      <c r="BM50" s="1319"/>
      <c r="BN50" s="1319"/>
      <c r="BO50" s="1319"/>
      <c r="BP50" s="1319"/>
      <c r="BQ50" s="1319"/>
      <c r="BR50" s="1319"/>
      <c r="BS50" s="1319"/>
      <c r="BT50" s="1319"/>
      <c r="BU50" s="1319"/>
      <c r="BV50" s="1319"/>
      <c r="BW50" s="1319"/>
      <c r="BX50" s="1319"/>
      <c r="BY50" s="1319"/>
      <c r="BZ50" s="1319"/>
      <c r="CA50" s="1319"/>
      <c r="CB50" s="1319"/>
      <c r="CC50" s="1319"/>
      <c r="CD50" s="1319"/>
      <c r="CE50" s="1319"/>
      <c r="CF50" s="1319"/>
      <c r="CG50" s="1319"/>
      <c r="CH50" s="1319"/>
      <c r="CI50" s="1319"/>
      <c r="CJ50" s="1319"/>
      <c r="CK50" s="1319"/>
      <c r="CL50" s="1319"/>
      <c r="CM50" s="1319"/>
      <c r="CN50" s="1319"/>
      <c r="CO50" s="1319"/>
      <c r="CP50" s="1319"/>
      <c r="CQ50" s="1319"/>
      <c r="CR50" s="1319"/>
      <c r="CS50" s="1319"/>
      <c r="CT50" s="1319"/>
      <c r="CU50" s="1319"/>
      <c r="CV50" s="1319"/>
      <c r="CW50" s="1319"/>
      <c r="CX50" s="1319"/>
      <c r="CY50" s="1319"/>
      <c r="CZ50" s="1319"/>
      <c r="DA50" s="1319"/>
      <c r="DB50" s="1319"/>
      <c r="DC50" s="1319"/>
      <c r="DD50" s="1319"/>
      <c r="DE50" s="1319"/>
      <c r="DF50" s="1319"/>
      <c r="DG50" s="1319"/>
      <c r="DH50" s="1319"/>
      <c r="DI50" s="1319"/>
      <c r="DJ50" s="1319"/>
      <c r="DK50" s="1319"/>
      <c r="DL50" s="1319"/>
      <c r="DM50" s="1319"/>
      <c r="DN50" s="1319"/>
      <c r="DO50" s="1319"/>
      <c r="DP50" s="1319"/>
      <c r="DQ50" s="1319"/>
      <c r="DR50" s="1319"/>
      <c r="DS50" s="1319"/>
      <c r="DT50" s="1319"/>
      <c r="DU50" s="1319"/>
      <c r="DV50" s="1319"/>
      <c r="DW50" s="1319"/>
      <c r="DX50" s="1319"/>
      <c r="DY50" s="1319"/>
      <c r="DZ50" s="1319"/>
      <c r="EA50" s="1319"/>
      <c r="EB50" s="1319"/>
      <c r="EC50" s="1319"/>
      <c r="ED50" s="1319"/>
      <c r="EE50" s="1319"/>
      <c r="EF50" s="1319"/>
      <c r="EG50" s="1319"/>
      <c r="EH50" s="1319"/>
      <c r="EI50" s="1319"/>
      <c r="EJ50" s="1319"/>
      <c r="EK50" s="1319"/>
      <c r="EL50" s="1319"/>
      <c r="EM50" s="1319"/>
      <c r="EN50" s="1319"/>
      <c r="EO50" s="1319"/>
      <c r="EP50" s="1319"/>
      <c r="EQ50" s="1319"/>
      <c r="ER50" s="1319"/>
      <c r="ES50" s="1319"/>
      <c r="ET50" s="1319"/>
      <c r="EU50" s="1319"/>
      <c r="EV50" s="1319"/>
      <c r="EW50" s="1319"/>
      <c r="EX50" s="1319"/>
      <c r="EY50" s="1319"/>
      <c r="EZ50" s="1319"/>
      <c r="FA50" s="1319"/>
      <c r="FB50" s="1319"/>
      <c r="FC50" s="1319"/>
      <c r="FD50" s="1319"/>
      <c r="FE50" s="1319"/>
      <c r="FF50" s="1319"/>
      <c r="FG50" s="1319"/>
      <c r="FH50" s="1319"/>
      <c r="FI50" s="1319"/>
      <c r="FJ50" s="1319"/>
      <c r="FK50" s="1319"/>
      <c r="FL50" s="1319"/>
      <c r="FM50" s="1319"/>
      <c r="FN50" s="1319"/>
      <c r="FO50" s="1319"/>
      <c r="FP50" s="1319"/>
      <c r="FQ50" s="1319"/>
      <c r="FR50" s="1319"/>
      <c r="FS50" s="1319"/>
      <c r="FT50" s="1319"/>
      <c r="FU50" s="1319"/>
      <c r="FV50" s="1319"/>
      <c r="FW50" s="1319"/>
      <c r="FX50" s="1319"/>
      <c r="FY50" s="1319"/>
      <c r="FZ50" s="1319"/>
      <c r="GA50" s="1319"/>
      <c r="GB50" s="1319"/>
      <c r="GC50" s="1319"/>
      <c r="GD50" s="1319"/>
      <c r="GE50" s="1319"/>
      <c r="GF50" s="1319"/>
      <c r="GG50" s="1319"/>
      <c r="GH50" s="1319"/>
      <c r="GI50" s="1319"/>
      <c r="GJ50" s="1319"/>
      <c r="GK50" s="1319"/>
      <c r="GL50" s="1319"/>
      <c r="GM50" s="1319"/>
      <c r="GN50" s="1319"/>
      <c r="GO50" s="1319"/>
      <c r="GP50" s="1319"/>
      <c r="GQ50" s="1319"/>
      <c r="GR50" s="1319"/>
      <c r="GS50" s="1319"/>
      <c r="GT50" s="1319"/>
      <c r="GU50" s="1319"/>
      <c r="GV50" s="1319"/>
      <c r="GW50" s="1319"/>
      <c r="GX50" s="1319"/>
      <c r="GY50" s="1319"/>
      <c r="GZ50" s="1319"/>
      <c r="HA50" s="1319"/>
      <c r="HB50" s="1319"/>
      <c r="HC50" s="1319"/>
      <c r="HD50" s="1319"/>
      <c r="HE50" s="1319"/>
      <c r="HF50" s="1319"/>
      <c r="HG50" s="1319"/>
      <c r="HH50" s="1319"/>
      <c r="HI50" s="1319"/>
      <c r="HJ50" s="1319"/>
      <c r="HK50" s="1319"/>
      <c r="HL50" s="1319"/>
      <c r="HM50" s="1319"/>
      <c r="HN50" s="1319"/>
      <c r="HO50" s="1319"/>
      <c r="HP50" s="1319"/>
      <c r="HQ50" s="1319"/>
      <c r="HR50" s="1319"/>
      <c r="HS50" s="1319"/>
      <c r="HT50" s="1319"/>
      <c r="HU50" s="1319"/>
      <c r="HV50" s="1319"/>
      <c r="HW50" s="1319"/>
      <c r="HX50" s="1319"/>
      <c r="HY50" s="1319"/>
      <c r="HZ50" s="1319"/>
      <c r="IA50" s="1319"/>
      <c r="IB50" s="1319"/>
      <c r="IC50" s="1319"/>
      <c r="ID50" s="1319"/>
      <c r="IE50" s="1319"/>
      <c r="IF50" s="1319"/>
      <c r="IG50" s="1319"/>
      <c r="IH50" s="1319"/>
      <c r="II50" s="1319"/>
      <c r="IJ50" s="1319"/>
      <c r="IK50" s="1319"/>
      <c r="IL50" s="1319"/>
      <c r="IM50" s="1319"/>
      <c r="IN50" s="1319"/>
      <c r="IO50" s="1319"/>
      <c r="IP50" s="1319"/>
      <c r="IQ50" s="1319"/>
      <c r="IR50" s="1319"/>
      <c r="IS50" s="1319"/>
      <c r="IT50" s="1319"/>
      <c r="IU50" s="1319"/>
      <c r="IV50" s="1319"/>
      <c r="IW50" s="1319"/>
      <c r="IX50" s="1319"/>
      <c r="IY50" s="1319"/>
      <c r="IZ50" s="1319"/>
      <c r="JA50" s="1319"/>
      <c r="JB50" s="1319"/>
      <c r="JC50" s="1319"/>
      <c r="JD50" s="1319"/>
      <c r="JE50" s="1319"/>
      <c r="JF50" s="1319"/>
      <c r="JG50" s="1319"/>
      <c r="JH50" s="1319"/>
      <c r="JI50" s="1319"/>
      <c r="JJ50" s="1319"/>
      <c r="JK50" s="1319"/>
      <c r="JL50" s="1319"/>
      <c r="JM50" s="1319"/>
      <c r="JN50" s="1319"/>
      <c r="JO50" s="1319"/>
      <c r="JP50" s="1319"/>
      <c r="JQ50" s="1319"/>
      <c r="JR50" s="1319"/>
      <c r="JS50" s="1319"/>
      <c r="JT50" s="1319"/>
      <c r="JU50" s="1319"/>
      <c r="JV50" s="1319"/>
      <c r="JW50" s="1319"/>
      <c r="JX50" s="1319"/>
      <c r="JY50" s="1319"/>
      <c r="JZ50" s="1319"/>
      <c r="KA50" s="1319"/>
      <c r="KB50" s="1319"/>
      <c r="KC50" s="1319"/>
      <c r="KD50" s="1319"/>
      <c r="KE50" s="1319"/>
      <c r="KF50" s="1319"/>
      <c r="KG50" s="1319"/>
      <c r="KH50" s="1319"/>
      <c r="KI50" s="1319"/>
      <c r="KJ50" s="1319"/>
      <c r="KK50" s="1319"/>
      <c r="KL50" s="1319"/>
      <c r="KM50" s="1319"/>
      <c r="KN50" s="1319"/>
      <c r="KO50" s="1319"/>
      <c r="KP50" s="1319"/>
      <c r="KQ50" s="1319"/>
      <c r="KR50" s="1319"/>
      <c r="KS50" s="1319"/>
      <c r="KT50" s="1319"/>
      <c r="KU50" s="1319"/>
      <c r="KV50" s="1319"/>
      <c r="KW50" s="1319"/>
      <c r="KX50" s="1319"/>
      <c r="KY50" s="1319"/>
      <c r="KZ50" s="1319"/>
      <c r="LA50" s="1319"/>
      <c r="LB50" s="1319"/>
      <c r="LC50" s="1319"/>
      <c r="LD50" s="1319"/>
      <c r="LE50" s="1319"/>
      <c r="LF50" s="1319"/>
      <c r="LG50" s="1319"/>
      <c r="LH50" s="1319"/>
      <c r="LI50" s="1319"/>
      <c r="LJ50" s="1319"/>
      <c r="LK50" s="1319"/>
      <c r="LL50" s="1319"/>
      <c r="LM50" s="1319"/>
      <c r="LN50" s="1319"/>
      <c r="LO50" s="1319"/>
      <c r="LP50" s="1319"/>
      <c r="LQ50" s="1319"/>
      <c r="LR50" s="1319"/>
      <c r="LS50" s="1319"/>
      <c r="LT50" s="1319"/>
      <c r="LU50" s="1319"/>
      <c r="LV50" s="1319"/>
      <c r="LW50" s="1319"/>
      <c r="LX50" s="1319"/>
      <c r="LY50" s="1319"/>
      <c r="LZ50" s="1319"/>
      <c r="MA50" s="1319"/>
      <c r="MB50" s="1319"/>
      <c r="MC50" s="1319"/>
      <c r="MD50" s="1319"/>
      <c r="ME50" s="1319"/>
      <c r="MF50" s="251"/>
      <c r="MG50" s="251"/>
      <c r="MH50" s="251"/>
      <c r="MI50" s="251"/>
      <c r="MJ50" s="251"/>
      <c r="MK50" s="251"/>
      <c r="ML50" s="251"/>
      <c r="MM50" s="251"/>
      <c r="MN50" s="251"/>
      <c r="MO50" s="251"/>
      <c r="MP50" s="251"/>
      <c r="MQ50" s="251"/>
      <c r="MR50" s="251"/>
      <c r="MS50" s="251"/>
      <c r="MT50" s="251"/>
      <c r="NO50" s="251"/>
      <c r="NP50" s="1292" t="s">
        <v>1199</v>
      </c>
      <c r="NQ50" s="2082">
        <v>50</v>
      </c>
    </row>
    <row r="51" spans="1:381" ht="6.95" customHeight="1">
      <c r="A51" s="3378" t="s">
        <v>1200</v>
      </c>
      <c r="B51" s="3379"/>
      <c r="C51" s="3379"/>
      <c r="D51" s="3379"/>
      <c r="E51" s="3379"/>
      <c r="F51" s="3379"/>
      <c r="G51" s="3379"/>
      <c r="H51" s="3379"/>
      <c r="I51" s="3379"/>
      <c r="J51" s="3379"/>
      <c r="K51" s="3379"/>
      <c r="L51" s="3379"/>
      <c r="M51" s="3379"/>
      <c r="N51" s="3379"/>
      <c r="O51" s="3379"/>
      <c r="P51" s="3379"/>
      <c r="Q51" s="3379"/>
      <c r="R51" s="2538"/>
      <c r="S51" s="41"/>
      <c r="T51" s="41"/>
      <c r="U51" s="41"/>
      <c r="V51" s="41"/>
      <c r="W51" s="149"/>
      <c r="X51" s="1319"/>
      <c r="Y51" s="1319"/>
      <c r="Z51" s="1319"/>
      <c r="AA51" s="1319"/>
      <c r="AB51" s="1319"/>
      <c r="AC51" s="1319"/>
      <c r="AD51" s="1319"/>
      <c r="AE51" s="1319"/>
      <c r="AF51" s="1319"/>
      <c r="AG51" s="1319"/>
      <c r="AH51" s="1319"/>
      <c r="AI51" s="1319"/>
      <c r="AJ51" s="1319"/>
      <c r="AK51" s="1319"/>
      <c r="AL51" s="1319"/>
      <c r="AM51" s="1319"/>
      <c r="AN51" s="1319"/>
      <c r="AO51" s="1319"/>
      <c r="AP51" s="1319"/>
      <c r="AQ51" s="1319"/>
      <c r="AR51" s="1319"/>
      <c r="AS51" s="1319"/>
      <c r="AT51" s="1319"/>
      <c r="AU51" s="1319"/>
      <c r="AV51" s="1319"/>
      <c r="AW51" s="1319"/>
      <c r="AX51" s="1319"/>
      <c r="AY51" s="1319"/>
      <c r="AZ51" s="1319"/>
      <c r="BA51" s="1319"/>
      <c r="BB51" s="1319"/>
      <c r="BC51" s="1319"/>
      <c r="BD51" s="1319"/>
      <c r="BE51" s="1319"/>
      <c r="BF51" s="1319"/>
      <c r="BG51" s="1319"/>
      <c r="BH51" s="1319"/>
      <c r="BI51" s="1319"/>
      <c r="BJ51" s="1319"/>
      <c r="BK51" s="1319"/>
      <c r="BL51" s="1319"/>
      <c r="BM51" s="1319"/>
      <c r="BN51" s="1319"/>
      <c r="BO51" s="1319"/>
      <c r="BP51" s="1319"/>
      <c r="BQ51" s="1319"/>
      <c r="BR51" s="1319"/>
      <c r="BS51" s="1319"/>
      <c r="BT51" s="1319"/>
      <c r="BU51" s="1319"/>
      <c r="BV51" s="1319"/>
      <c r="BW51" s="1319"/>
      <c r="BX51" s="1319"/>
      <c r="BY51" s="1319"/>
      <c r="BZ51" s="1319"/>
      <c r="CA51" s="1319"/>
      <c r="CB51" s="1319"/>
      <c r="CC51" s="1319"/>
      <c r="CD51" s="1319"/>
      <c r="CE51" s="1319"/>
      <c r="CF51" s="1319"/>
      <c r="CG51" s="1319"/>
      <c r="CH51" s="1319"/>
      <c r="CI51" s="1319"/>
      <c r="CJ51" s="1319"/>
      <c r="CK51" s="1319"/>
      <c r="CL51" s="1319"/>
      <c r="CM51" s="1319"/>
      <c r="CN51" s="1319"/>
      <c r="CO51" s="1319"/>
      <c r="CP51" s="1319"/>
      <c r="CQ51" s="1319"/>
      <c r="CR51" s="1319"/>
      <c r="CS51" s="1319"/>
      <c r="CT51" s="1319"/>
      <c r="CU51" s="1319"/>
      <c r="CV51" s="1319"/>
      <c r="CW51" s="1319"/>
      <c r="CX51" s="1319"/>
      <c r="CY51" s="1319"/>
      <c r="CZ51" s="1319"/>
      <c r="DA51" s="1319"/>
      <c r="DB51" s="1319"/>
      <c r="DC51" s="1319"/>
      <c r="DD51" s="1319"/>
      <c r="DE51" s="1319"/>
      <c r="DF51" s="1319"/>
      <c r="DG51" s="1319"/>
      <c r="DH51" s="1319"/>
      <c r="DI51" s="1319"/>
      <c r="DJ51" s="1319"/>
      <c r="DK51" s="1319"/>
      <c r="DL51" s="1319"/>
      <c r="DM51" s="1319"/>
      <c r="DN51" s="1319"/>
      <c r="DO51" s="1319"/>
      <c r="DP51" s="1319"/>
      <c r="DQ51" s="1319"/>
      <c r="DR51" s="1319"/>
      <c r="DS51" s="1319"/>
      <c r="DT51" s="1319"/>
      <c r="DU51" s="1319"/>
      <c r="DV51" s="1319"/>
      <c r="DW51" s="1319"/>
      <c r="DX51" s="1319"/>
      <c r="DY51" s="1319"/>
      <c r="DZ51" s="1319"/>
      <c r="EA51" s="1319"/>
      <c r="EB51" s="1319"/>
      <c r="EC51" s="1319"/>
      <c r="ED51" s="1319"/>
      <c r="EE51" s="1319"/>
      <c r="EF51" s="1319"/>
      <c r="EG51" s="1319"/>
      <c r="EH51" s="1319"/>
      <c r="EI51" s="1319"/>
      <c r="EJ51" s="1319"/>
      <c r="EK51" s="1319"/>
      <c r="EL51" s="1319"/>
      <c r="EM51" s="1319"/>
      <c r="EN51" s="1319"/>
      <c r="EO51" s="1319"/>
      <c r="EP51" s="1319"/>
      <c r="EQ51" s="1319"/>
      <c r="ER51" s="1319"/>
      <c r="ES51" s="1319"/>
      <c r="ET51" s="1319"/>
      <c r="EU51" s="1319"/>
      <c r="EV51" s="1319"/>
      <c r="EW51" s="1319"/>
      <c r="EX51" s="1319"/>
      <c r="EY51" s="1319"/>
      <c r="EZ51" s="1319"/>
      <c r="FA51" s="1319"/>
      <c r="FB51" s="1319"/>
      <c r="FC51" s="1319"/>
      <c r="FD51" s="1319"/>
      <c r="FE51" s="1319"/>
      <c r="FF51" s="1319"/>
      <c r="FG51" s="1319"/>
      <c r="FH51" s="1319"/>
      <c r="FI51" s="1319"/>
      <c r="FJ51" s="1319"/>
      <c r="FK51" s="1319"/>
      <c r="FL51" s="1319"/>
      <c r="FM51" s="1319"/>
      <c r="FN51" s="1319"/>
      <c r="FO51" s="1319"/>
      <c r="FP51" s="1319"/>
      <c r="FQ51" s="1319"/>
      <c r="FR51" s="1319"/>
      <c r="FS51" s="1319"/>
      <c r="FT51" s="1319"/>
      <c r="FU51" s="1319"/>
      <c r="FV51" s="1319"/>
      <c r="FW51" s="1319"/>
      <c r="FX51" s="1319"/>
      <c r="FY51" s="1319"/>
      <c r="FZ51" s="1319"/>
      <c r="GA51" s="1319"/>
      <c r="GB51" s="1319"/>
      <c r="GC51" s="1319"/>
      <c r="GD51" s="1319"/>
      <c r="GE51" s="1319"/>
      <c r="GF51" s="1319"/>
      <c r="GG51" s="1319"/>
      <c r="GH51" s="1319"/>
      <c r="GI51" s="1319"/>
      <c r="GJ51" s="1319"/>
      <c r="GK51" s="1319"/>
      <c r="GL51" s="1319"/>
      <c r="GM51" s="1319"/>
      <c r="GN51" s="1319"/>
      <c r="GO51" s="1319"/>
      <c r="GP51" s="1319"/>
      <c r="GQ51" s="1319"/>
      <c r="GR51" s="1319"/>
      <c r="GS51" s="1319"/>
      <c r="GT51" s="1319"/>
      <c r="GU51" s="1319"/>
      <c r="GV51" s="1319"/>
      <c r="GW51" s="1319"/>
      <c r="GX51" s="1319"/>
      <c r="GY51" s="1319"/>
      <c r="GZ51" s="1319"/>
      <c r="HA51" s="1319"/>
      <c r="HB51" s="1319"/>
      <c r="HC51" s="1319"/>
      <c r="HD51" s="1319"/>
      <c r="HE51" s="1319"/>
      <c r="HF51" s="1319"/>
      <c r="HG51" s="1319"/>
      <c r="HH51" s="1319"/>
      <c r="HI51" s="1319"/>
      <c r="HJ51" s="1319"/>
      <c r="HK51" s="1319"/>
      <c r="HL51" s="1319"/>
      <c r="HM51" s="1319"/>
      <c r="HN51" s="1319"/>
      <c r="HO51" s="1319"/>
      <c r="HP51" s="1319"/>
      <c r="HQ51" s="1319"/>
      <c r="HR51" s="1319"/>
      <c r="HS51" s="1319"/>
      <c r="HT51" s="1319"/>
      <c r="HU51" s="1319"/>
      <c r="HV51" s="1319"/>
      <c r="HW51" s="1319"/>
      <c r="HX51" s="1319"/>
      <c r="HY51" s="1319"/>
      <c r="HZ51" s="1319"/>
      <c r="IA51" s="1319"/>
      <c r="IB51" s="1319"/>
      <c r="IC51" s="1319"/>
      <c r="ID51" s="1319"/>
      <c r="IE51" s="1319"/>
      <c r="IF51" s="1319"/>
      <c r="IG51" s="1319"/>
      <c r="IH51" s="1319"/>
      <c r="II51" s="1319"/>
      <c r="IJ51" s="1319"/>
      <c r="IK51" s="1319"/>
      <c r="IL51" s="1319"/>
      <c r="IM51" s="1319"/>
      <c r="IN51" s="1319"/>
      <c r="IO51" s="1319"/>
      <c r="IP51" s="1319"/>
      <c r="IQ51" s="1319"/>
      <c r="IR51" s="1319"/>
      <c r="IS51" s="1319"/>
      <c r="IT51" s="1319"/>
      <c r="IU51" s="1319"/>
      <c r="IV51" s="1319"/>
      <c r="IW51" s="1319"/>
      <c r="IX51" s="1319"/>
      <c r="IY51" s="1319"/>
      <c r="IZ51" s="1319"/>
      <c r="JA51" s="1319"/>
      <c r="JB51" s="1319"/>
      <c r="JC51" s="1319"/>
      <c r="JD51" s="1319"/>
      <c r="JE51" s="1319"/>
      <c r="JF51" s="1319"/>
      <c r="JG51" s="1319"/>
      <c r="JH51" s="1319"/>
      <c r="JI51" s="1319"/>
      <c r="JJ51" s="1319"/>
      <c r="JK51" s="1319"/>
      <c r="JL51" s="1319"/>
      <c r="JM51" s="1319"/>
      <c r="JN51" s="1319"/>
      <c r="JO51" s="1319"/>
      <c r="JP51" s="1319"/>
      <c r="JQ51" s="1319"/>
      <c r="JR51" s="1319"/>
      <c r="JS51" s="1319"/>
      <c r="JT51" s="1319"/>
      <c r="JU51" s="1319"/>
      <c r="JV51" s="1319"/>
      <c r="JW51" s="1319"/>
      <c r="JX51" s="1319"/>
      <c r="JY51" s="1319"/>
      <c r="JZ51" s="1319"/>
      <c r="KA51" s="1319"/>
      <c r="KB51" s="1319"/>
      <c r="KC51" s="1319"/>
      <c r="KD51" s="1319"/>
      <c r="KE51" s="1319"/>
      <c r="KF51" s="1319"/>
      <c r="KG51" s="1319"/>
      <c r="KH51" s="1319"/>
      <c r="KI51" s="1319"/>
      <c r="KJ51" s="1319"/>
      <c r="KK51" s="1319"/>
      <c r="KL51" s="1319"/>
      <c r="KM51" s="1319"/>
      <c r="KN51" s="1319"/>
      <c r="KO51" s="1319"/>
      <c r="KP51" s="1319"/>
      <c r="KQ51" s="1319"/>
      <c r="KR51" s="1319"/>
      <c r="KS51" s="1319"/>
      <c r="KT51" s="1319"/>
      <c r="KU51" s="1319"/>
      <c r="KV51" s="1319"/>
      <c r="KW51" s="1319"/>
      <c r="KX51" s="1319"/>
      <c r="KY51" s="1319"/>
      <c r="KZ51" s="1319"/>
      <c r="LA51" s="1319"/>
      <c r="LB51" s="1319"/>
      <c r="LC51" s="1319"/>
      <c r="LD51" s="1319"/>
      <c r="LE51" s="1319"/>
      <c r="LF51" s="1319"/>
      <c r="LG51" s="1319"/>
      <c r="LH51" s="1319"/>
      <c r="LI51" s="1319"/>
      <c r="LJ51" s="1319"/>
      <c r="LK51" s="1319"/>
      <c r="LL51" s="1319"/>
      <c r="LM51" s="1319"/>
      <c r="LN51" s="1319"/>
      <c r="LO51" s="1319"/>
      <c r="LP51" s="1319"/>
      <c r="LQ51" s="1319"/>
      <c r="LR51" s="1319"/>
      <c r="LS51" s="1319"/>
      <c r="LT51" s="1319"/>
      <c r="LU51" s="1319"/>
      <c r="LV51" s="1319"/>
      <c r="LW51" s="1319"/>
      <c r="LX51" s="1319"/>
      <c r="LY51" s="1319"/>
      <c r="LZ51" s="1319"/>
      <c r="MA51" s="1319"/>
      <c r="MB51" s="1319"/>
      <c r="MC51" s="1319"/>
      <c r="MD51" s="1319"/>
      <c r="ME51" s="1319"/>
      <c r="NQ51" s="2082">
        <v>51</v>
      </c>
    </row>
    <row r="52" spans="1:381" ht="7.5" customHeight="1">
      <c r="A52" s="3379"/>
      <c r="B52" s="3379"/>
      <c r="C52" s="3379"/>
      <c r="D52" s="3379"/>
      <c r="E52" s="3379"/>
      <c r="F52" s="3379"/>
      <c r="G52" s="3379"/>
      <c r="H52" s="3379"/>
      <c r="I52" s="3379"/>
      <c r="J52" s="3379"/>
      <c r="K52" s="3379"/>
      <c r="L52" s="3379"/>
      <c r="M52" s="3379"/>
      <c r="N52" s="3379"/>
      <c r="O52" s="3379"/>
      <c r="P52" s="3379"/>
      <c r="Q52" s="3379"/>
      <c r="R52" s="2538"/>
      <c r="S52" s="41"/>
      <c r="T52" s="41"/>
      <c r="U52" s="41"/>
      <c r="V52" s="41"/>
      <c r="W52" s="149"/>
      <c r="X52" s="1319"/>
      <c r="Y52" s="1319"/>
      <c r="Z52" s="1319"/>
      <c r="AA52" s="1319"/>
      <c r="AB52" s="1319"/>
      <c r="AC52" s="1319"/>
      <c r="AD52" s="1319"/>
      <c r="AE52" s="1319"/>
      <c r="AF52" s="1319"/>
      <c r="AG52" s="1319"/>
      <c r="AH52" s="1319"/>
      <c r="AI52" s="1319"/>
      <c r="AJ52" s="1319"/>
      <c r="AK52" s="1319"/>
      <c r="AL52" s="1319"/>
      <c r="AM52" s="1319"/>
      <c r="AN52" s="1319"/>
      <c r="AO52" s="1319"/>
      <c r="AP52" s="1319"/>
      <c r="AQ52" s="1319"/>
      <c r="AR52" s="1319"/>
      <c r="AS52" s="1319"/>
      <c r="AT52" s="1319"/>
      <c r="AU52" s="1319"/>
      <c r="AV52" s="1319"/>
      <c r="AW52" s="1319"/>
      <c r="AX52" s="1319"/>
      <c r="AY52" s="1319"/>
      <c r="AZ52" s="1319"/>
      <c r="BA52" s="1319"/>
      <c r="BB52" s="1319"/>
      <c r="BC52" s="1319"/>
      <c r="BD52" s="1319"/>
      <c r="BE52" s="1319"/>
      <c r="BF52" s="1319"/>
      <c r="BG52" s="1319"/>
      <c r="BH52" s="1319"/>
      <c r="BI52" s="1319"/>
      <c r="BJ52" s="1319"/>
      <c r="BK52" s="1319"/>
      <c r="BL52" s="1319"/>
      <c r="BM52" s="1319"/>
      <c r="BN52" s="1319"/>
      <c r="BO52" s="1319"/>
      <c r="BP52" s="1319"/>
      <c r="BQ52" s="1319"/>
      <c r="BR52" s="1319"/>
      <c r="BS52" s="1319"/>
      <c r="BT52" s="1319"/>
      <c r="BU52" s="1319"/>
      <c r="BV52" s="1319"/>
      <c r="BW52" s="1319"/>
      <c r="BX52" s="1319"/>
      <c r="BY52" s="1319"/>
      <c r="BZ52" s="1319"/>
      <c r="CA52" s="1319"/>
      <c r="CB52" s="1319"/>
      <c r="CC52" s="1319"/>
      <c r="CD52" s="1319"/>
      <c r="CE52" s="1319"/>
      <c r="CF52" s="1319"/>
      <c r="CG52" s="1319"/>
      <c r="CH52" s="1319"/>
      <c r="CI52" s="1319"/>
      <c r="CJ52" s="1319"/>
      <c r="CK52" s="1319"/>
      <c r="CL52" s="1319"/>
      <c r="CM52" s="1319"/>
      <c r="CN52" s="1319"/>
      <c r="CO52" s="1319"/>
      <c r="CP52" s="1319"/>
      <c r="CQ52" s="1319"/>
      <c r="CR52" s="1319"/>
      <c r="CS52" s="1319"/>
      <c r="CT52" s="1319"/>
      <c r="CU52" s="1319"/>
      <c r="CV52" s="1319"/>
      <c r="CW52" s="1319"/>
      <c r="CX52" s="1319"/>
      <c r="CY52" s="1319"/>
      <c r="CZ52" s="1319"/>
      <c r="DA52" s="1319"/>
      <c r="DB52" s="1319"/>
      <c r="DC52" s="1319"/>
      <c r="DD52" s="1319"/>
      <c r="DE52" s="1319"/>
      <c r="DF52" s="1319"/>
      <c r="DG52" s="1319"/>
      <c r="DH52" s="1319"/>
      <c r="DI52" s="1319"/>
      <c r="DJ52" s="1319"/>
      <c r="DK52" s="1319"/>
      <c r="DL52" s="1319"/>
      <c r="DM52" s="1319"/>
      <c r="DN52" s="1319"/>
      <c r="DO52" s="1319"/>
      <c r="DP52" s="1319"/>
      <c r="DQ52" s="1319"/>
      <c r="DR52" s="1319"/>
      <c r="DS52" s="1319"/>
      <c r="DT52" s="1319"/>
      <c r="DU52" s="1319"/>
      <c r="DV52" s="1319"/>
      <c r="DW52" s="1319"/>
      <c r="DX52" s="1319"/>
      <c r="DY52" s="1319"/>
      <c r="DZ52" s="1319"/>
      <c r="EA52" s="1319"/>
      <c r="EB52" s="1319"/>
      <c r="EC52" s="1319"/>
      <c r="ED52" s="1319"/>
      <c r="EE52" s="1319"/>
      <c r="EF52" s="1319"/>
      <c r="EG52" s="1319"/>
      <c r="EH52" s="1319"/>
      <c r="EI52" s="1319"/>
      <c r="EJ52" s="1319"/>
      <c r="EK52" s="1319"/>
      <c r="EL52" s="1319"/>
      <c r="EM52" s="1319"/>
      <c r="EN52" s="1319"/>
      <c r="EO52" s="1319"/>
      <c r="EP52" s="1319"/>
      <c r="EQ52" s="1319"/>
      <c r="ER52" s="1319"/>
      <c r="ES52" s="1319"/>
      <c r="ET52" s="1319"/>
      <c r="EU52" s="1319"/>
      <c r="EV52" s="1319"/>
      <c r="EW52" s="1319"/>
      <c r="EX52" s="1319"/>
      <c r="EY52" s="1319"/>
      <c r="EZ52" s="1319"/>
      <c r="FA52" s="1319"/>
      <c r="FB52" s="1319"/>
      <c r="FC52" s="1319"/>
      <c r="FD52" s="1319"/>
      <c r="FE52" s="1319"/>
      <c r="FF52" s="1319"/>
      <c r="FG52" s="1319"/>
      <c r="FH52" s="1319"/>
      <c r="FI52" s="1319"/>
      <c r="FJ52" s="1319"/>
      <c r="FK52" s="1319"/>
      <c r="FL52" s="1319"/>
      <c r="FM52" s="1319"/>
      <c r="FN52" s="1319"/>
      <c r="FO52" s="1319"/>
      <c r="FP52" s="1319"/>
      <c r="FQ52" s="1319"/>
      <c r="FR52" s="1319"/>
      <c r="FS52" s="1319"/>
      <c r="FT52" s="1319"/>
      <c r="FU52" s="1319"/>
      <c r="FV52" s="1319"/>
      <c r="FW52" s="1319"/>
      <c r="FX52" s="1319"/>
      <c r="FY52" s="1319"/>
      <c r="FZ52" s="1319"/>
      <c r="GA52" s="1319"/>
      <c r="GB52" s="1319"/>
      <c r="GC52" s="1319"/>
      <c r="GD52" s="1319"/>
      <c r="GE52" s="1319"/>
      <c r="GF52" s="1319"/>
      <c r="GG52" s="1319"/>
      <c r="GH52" s="1319"/>
      <c r="GI52" s="1319"/>
      <c r="GJ52" s="1319"/>
      <c r="GK52" s="1319"/>
      <c r="GL52" s="1319"/>
      <c r="GM52" s="1319"/>
      <c r="GN52" s="1319"/>
      <c r="GO52" s="1319"/>
      <c r="GP52" s="1319"/>
      <c r="GQ52" s="1319"/>
      <c r="GR52" s="1319"/>
      <c r="GS52" s="1319"/>
      <c r="GT52" s="1319"/>
      <c r="GU52" s="1319"/>
      <c r="GV52" s="1319"/>
      <c r="GW52" s="1319"/>
      <c r="GX52" s="1319"/>
      <c r="GY52" s="1319"/>
      <c r="GZ52" s="1319"/>
      <c r="HA52" s="1319"/>
      <c r="HB52" s="1319"/>
      <c r="HC52" s="1319"/>
      <c r="HD52" s="1319"/>
      <c r="HE52" s="1319"/>
      <c r="HF52" s="1319"/>
      <c r="HG52" s="1319"/>
      <c r="HH52" s="1319"/>
      <c r="HI52" s="1319"/>
      <c r="HJ52" s="1319"/>
      <c r="HK52" s="1319"/>
      <c r="HL52" s="1319"/>
      <c r="HM52" s="1319"/>
      <c r="HN52" s="1319"/>
      <c r="HO52" s="1319"/>
      <c r="HP52" s="1319"/>
      <c r="HQ52" s="1319"/>
      <c r="HR52" s="1319"/>
      <c r="HS52" s="1319"/>
      <c r="HT52" s="1319"/>
      <c r="HU52" s="1319"/>
      <c r="HV52" s="1319"/>
      <c r="HW52" s="1319"/>
      <c r="HX52" s="1319"/>
      <c r="HY52" s="1319"/>
      <c r="HZ52" s="1319"/>
      <c r="IA52" s="1319"/>
      <c r="IB52" s="1319"/>
      <c r="IC52" s="1319"/>
      <c r="ID52" s="1319"/>
      <c r="IE52" s="1319"/>
      <c r="IF52" s="1319"/>
      <c r="IG52" s="1319"/>
      <c r="IH52" s="1319"/>
      <c r="II52" s="1319"/>
      <c r="IJ52" s="1319"/>
      <c r="IK52" s="1319"/>
      <c r="IL52" s="1319"/>
      <c r="IM52" s="1319"/>
      <c r="IN52" s="1319"/>
      <c r="IO52" s="1319"/>
      <c r="IP52" s="1319"/>
      <c r="IQ52" s="1319"/>
      <c r="IR52" s="1319"/>
      <c r="IS52" s="1319"/>
      <c r="IT52" s="1319"/>
      <c r="IU52" s="1319"/>
      <c r="IV52" s="1319"/>
      <c r="IW52" s="1319"/>
      <c r="IX52" s="1319"/>
      <c r="IY52" s="1319"/>
      <c r="IZ52" s="1319"/>
      <c r="JA52" s="1319"/>
      <c r="JB52" s="1319"/>
      <c r="JC52" s="1319"/>
      <c r="JD52" s="1319"/>
      <c r="JE52" s="1319"/>
      <c r="JF52" s="1319"/>
      <c r="JG52" s="1319"/>
      <c r="JH52" s="1319"/>
      <c r="JI52" s="1319"/>
      <c r="JJ52" s="1319"/>
      <c r="JK52" s="1319"/>
      <c r="JL52" s="1319"/>
      <c r="JM52" s="1319"/>
      <c r="JN52" s="1319"/>
      <c r="JO52" s="1319"/>
      <c r="JP52" s="1319"/>
      <c r="JQ52" s="1319"/>
      <c r="JR52" s="1319"/>
      <c r="JS52" s="1319"/>
      <c r="JT52" s="1319"/>
      <c r="JU52" s="1319"/>
      <c r="JV52" s="1319"/>
      <c r="JW52" s="1319"/>
      <c r="JX52" s="1319"/>
      <c r="JY52" s="1319"/>
      <c r="JZ52" s="1319"/>
      <c r="KA52" s="1319"/>
      <c r="KB52" s="1319"/>
      <c r="KC52" s="1319"/>
      <c r="KD52" s="1319"/>
      <c r="KE52" s="1319"/>
      <c r="KF52" s="1319"/>
      <c r="KG52" s="1319"/>
      <c r="KH52" s="1319"/>
      <c r="KI52" s="1319"/>
      <c r="KJ52" s="1319"/>
      <c r="KK52" s="1319"/>
      <c r="KL52" s="1319"/>
      <c r="KM52" s="1319"/>
      <c r="KN52" s="1319"/>
      <c r="KO52" s="1319"/>
      <c r="KP52" s="1319"/>
      <c r="KQ52" s="1319"/>
      <c r="KR52" s="1319"/>
      <c r="KS52" s="1319"/>
      <c r="KT52" s="1319"/>
      <c r="KU52" s="1319"/>
      <c r="KV52" s="1319"/>
      <c r="KW52" s="1319"/>
      <c r="KX52" s="1319"/>
      <c r="KY52" s="1319"/>
      <c r="KZ52" s="1319"/>
      <c r="LA52" s="1319"/>
      <c r="LB52" s="1319"/>
      <c r="LC52" s="1319"/>
      <c r="LD52" s="1319"/>
      <c r="LE52" s="1319"/>
      <c r="LF52" s="1319"/>
      <c r="LG52" s="1319"/>
      <c r="LH52" s="1319"/>
      <c r="LI52" s="1319"/>
      <c r="LJ52" s="1319"/>
      <c r="LK52" s="1319"/>
      <c r="LL52" s="1319"/>
      <c r="LM52" s="1319"/>
      <c r="LN52" s="1319"/>
      <c r="LO52" s="1319"/>
      <c r="LP52" s="1319"/>
      <c r="LQ52" s="1319"/>
      <c r="LR52" s="1319"/>
      <c r="LS52" s="1319"/>
      <c r="LT52" s="1319"/>
      <c r="LU52" s="1319"/>
      <c r="LV52" s="1319"/>
      <c r="LW52" s="1319"/>
      <c r="LX52" s="1319"/>
      <c r="LY52" s="1319"/>
      <c r="LZ52" s="1319"/>
      <c r="MA52" s="1319"/>
      <c r="MB52" s="1319"/>
      <c r="MC52" s="1319"/>
      <c r="MD52" s="1319"/>
      <c r="ME52" s="1319"/>
      <c r="NQ52" s="2082">
        <v>52</v>
      </c>
    </row>
    <row r="53" spans="1:381" ht="14.65" customHeight="1">
      <c r="A53" s="6" t="s">
        <v>25</v>
      </c>
      <c r="B53" s="6" t="s">
        <v>1201</v>
      </c>
      <c r="C53" s="77"/>
      <c r="D53" s="77"/>
      <c r="E53" s="77"/>
      <c r="F53" s="77"/>
      <c r="G53" s="77"/>
      <c r="H53" s="77"/>
      <c r="I53" s="77"/>
      <c r="J53" s="77"/>
      <c r="K53" s="1451" t="s">
        <v>1202</v>
      </c>
      <c r="L53" s="77"/>
      <c r="M53" s="77"/>
      <c r="N53" s="77"/>
      <c r="O53" s="3380" t="s">
        <v>1203</v>
      </c>
      <c r="P53" s="3381"/>
      <c r="S53" s="3442" t="str">
        <f>B53</f>
        <v>UNIT SUMMARY</v>
      </c>
      <c r="T53" s="3442"/>
      <c r="U53" s="3442"/>
      <c r="V53" s="3442"/>
      <c r="AY53" s="253"/>
      <c r="BD53" s="253"/>
      <c r="LO53" s="255"/>
      <c r="MD53" s="251"/>
      <c r="NQ53" s="2083">
        <v>53</v>
      </c>
    </row>
    <row r="54" spans="1:381" ht="14.25" customHeight="1">
      <c r="A54" s="6"/>
      <c r="B54" s="6"/>
      <c r="C54" s="77"/>
      <c r="D54" s="77"/>
      <c r="E54" s="77"/>
      <c r="F54" s="77"/>
      <c r="G54" s="77"/>
      <c r="H54" s="77"/>
      <c r="I54" s="77"/>
      <c r="J54" s="77"/>
      <c r="K54" s="2512" t="s">
        <v>1204</v>
      </c>
      <c r="L54" s="77"/>
      <c r="M54" s="77"/>
      <c r="N54" s="77"/>
      <c r="O54" s="3443" t="s">
        <v>1205</v>
      </c>
      <c r="P54" s="3444"/>
      <c r="S54" s="60"/>
      <c r="T54" s="60"/>
      <c r="U54" s="262"/>
      <c r="AY54" s="253"/>
      <c r="BD54" s="253"/>
      <c r="LO54" s="255"/>
      <c r="MD54" s="251"/>
      <c r="NQ54" s="2082">
        <v>54</v>
      </c>
    </row>
    <row r="55" spans="1:381" ht="14.65" customHeight="1">
      <c r="A55" s="6"/>
      <c r="B55" s="6" t="s">
        <v>1206</v>
      </c>
      <c r="C55" s="77"/>
      <c r="D55" s="77"/>
      <c r="E55" s="77"/>
      <c r="F55" s="77"/>
      <c r="G55" s="77"/>
      <c r="H55" s="35" t="s">
        <v>1207</v>
      </c>
      <c r="I55" s="35"/>
      <c r="J55" s="35"/>
      <c r="K55" s="2525" t="s">
        <v>792</v>
      </c>
      <c r="L55" s="57" t="s">
        <v>1208</v>
      </c>
      <c r="M55" s="57" t="s">
        <v>1209</v>
      </c>
      <c r="N55" s="57" t="s">
        <v>1210</v>
      </c>
      <c r="O55" s="57" t="s">
        <v>1211</v>
      </c>
      <c r="P55" s="57" t="s">
        <v>299</v>
      </c>
      <c r="S55" s="6" t="s">
        <v>814</v>
      </c>
      <c r="T55" s="6"/>
      <c r="U55" s="262"/>
      <c r="AR55" s="1457"/>
      <c r="AS55" s="1457"/>
      <c r="AT55" s="1457"/>
      <c r="AU55" s="1457"/>
      <c r="AV55" s="1457"/>
      <c r="AW55" s="1457"/>
      <c r="AY55" s="253"/>
      <c r="BB55" s="1457"/>
      <c r="BD55" s="253"/>
      <c r="LO55" s="255"/>
      <c r="MD55" s="251"/>
      <c r="NQ55" s="2080">
        <v>55</v>
      </c>
    </row>
    <row r="56" spans="1:381" ht="15" customHeight="1">
      <c r="A56" s="3445" t="s">
        <v>1212</v>
      </c>
      <c r="B56" s="3445"/>
      <c r="C56" s="43" t="s">
        <v>1213</v>
      </c>
      <c r="D56" s="43"/>
      <c r="E56" s="43"/>
      <c r="F56" s="43"/>
      <c r="G56" s="35"/>
      <c r="H56" s="48" t="s">
        <v>1214</v>
      </c>
      <c r="I56" s="13"/>
      <c r="J56" s="35"/>
      <c r="K56" s="836">
        <f>X49</f>
        <v>0</v>
      </c>
      <c r="L56" s="837">
        <f>Y49</f>
        <v>0</v>
      </c>
      <c r="M56" s="837">
        <f>Z49</f>
        <v>0</v>
      </c>
      <c r="N56" s="837">
        <f>AA49</f>
        <v>0</v>
      </c>
      <c r="O56" s="838">
        <f>AB49</f>
        <v>0</v>
      </c>
      <c r="P56" s="565">
        <f t="shared" ref="P56:P67" si="344">SUM(K56:O56)</f>
        <v>0</v>
      </c>
      <c r="Q56" s="3446" t="s">
        <v>1215</v>
      </c>
      <c r="R56" s="2578"/>
      <c r="S56" s="3365"/>
      <c r="T56" s="3366"/>
      <c r="U56" s="3366"/>
      <c r="V56" s="3366"/>
      <c r="W56" s="3367"/>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2082">
        <v>56</v>
      </c>
    </row>
    <row r="57" spans="1:381" ht="15" customHeight="1">
      <c r="A57" s="3445"/>
      <c r="B57" s="3445"/>
      <c r="C57" s="43"/>
      <c r="D57" s="43"/>
      <c r="E57" s="43"/>
      <c r="F57" s="43"/>
      <c r="G57" s="35"/>
      <c r="H57" s="48" t="s">
        <v>1216</v>
      </c>
      <c r="I57" s="13"/>
      <c r="J57" s="35"/>
      <c r="K57" s="827">
        <f>AC49</f>
        <v>0</v>
      </c>
      <c r="L57" s="828">
        <f>AD49</f>
        <v>0</v>
      </c>
      <c r="M57" s="828">
        <f>AE49</f>
        <v>0</v>
      </c>
      <c r="N57" s="828">
        <f>AF49</f>
        <v>0</v>
      </c>
      <c r="O57" s="829">
        <f>AG49</f>
        <v>0</v>
      </c>
      <c r="P57" s="796">
        <f t="shared" si="344"/>
        <v>0</v>
      </c>
      <c r="Q57" s="3446"/>
      <c r="R57" s="2578"/>
      <c r="S57" s="3359"/>
      <c r="T57" s="3360"/>
      <c r="U57" s="3360"/>
      <c r="V57" s="3360"/>
      <c r="W57" s="3361"/>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2082">
        <v>57</v>
      </c>
    </row>
    <row r="58" spans="1:381" ht="15" customHeight="1">
      <c r="A58" s="3445"/>
      <c r="B58" s="3445"/>
      <c r="C58" s="43"/>
      <c r="D58" s="43"/>
      <c r="E58" s="43"/>
      <c r="F58" s="43"/>
      <c r="G58" s="35"/>
      <c r="H58" s="48" t="s">
        <v>1217</v>
      </c>
      <c r="I58" s="13"/>
      <c r="J58" s="35"/>
      <c r="K58" s="827">
        <f>AH49</f>
        <v>0</v>
      </c>
      <c r="L58" s="828">
        <f>AI49</f>
        <v>14</v>
      </c>
      <c r="M58" s="828">
        <f>AJ49</f>
        <v>15</v>
      </c>
      <c r="N58" s="828">
        <f>AK49</f>
        <v>0</v>
      </c>
      <c r="O58" s="829">
        <f>AL49</f>
        <v>0</v>
      </c>
      <c r="P58" s="796">
        <f t="shared" si="344"/>
        <v>29</v>
      </c>
      <c r="Q58" s="3446"/>
      <c r="R58" s="2578"/>
      <c r="S58" s="3359"/>
      <c r="T58" s="3360"/>
      <c r="U58" s="3360"/>
      <c r="V58" s="3360"/>
      <c r="W58" s="3361"/>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2080">
        <v>58</v>
      </c>
    </row>
    <row r="59" spans="1:381" ht="15" customHeight="1">
      <c r="A59" s="3445"/>
      <c r="B59" s="3445"/>
      <c r="C59" s="43"/>
      <c r="D59" s="43"/>
      <c r="E59" s="43"/>
      <c r="F59" s="43"/>
      <c r="G59" s="35"/>
      <c r="H59" s="48" t="s">
        <v>1218</v>
      </c>
      <c r="I59" s="13"/>
      <c r="J59" s="680"/>
      <c r="K59" s="839">
        <f>AM49</f>
        <v>0</v>
      </c>
      <c r="L59" s="840">
        <f>AN49</f>
        <v>17</v>
      </c>
      <c r="M59" s="840">
        <f>AO49</f>
        <v>0</v>
      </c>
      <c r="N59" s="840">
        <f>AP49</f>
        <v>0</v>
      </c>
      <c r="O59" s="841">
        <f>AQ49</f>
        <v>0</v>
      </c>
      <c r="P59" s="341">
        <f t="shared" si="344"/>
        <v>17</v>
      </c>
      <c r="Q59" s="3446"/>
      <c r="R59" s="2578"/>
      <c r="S59" s="3359"/>
      <c r="T59" s="3360"/>
      <c r="U59" s="3360"/>
      <c r="V59" s="3360"/>
      <c r="W59" s="3361"/>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2082">
        <v>59</v>
      </c>
    </row>
    <row r="60" spans="1:381" ht="15" customHeight="1">
      <c r="A60" s="3445"/>
      <c r="B60" s="3445"/>
      <c r="C60" s="43"/>
      <c r="D60" s="43"/>
      <c r="E60" s="43"/>
      <c r="F60" s="43"/>
      <c r="G60" s="35"/>
      <c r="H60" s="48" t="s">
        <v>1219</v>
      </c>
      <c r="I60" s="13"/>
      <c r="J60" s="680"/>
      <c r="K60" s="827">
        <f>AR49</f>
        <v>0</v>
      </c>
      <c r="L60" s="828">
        <f>AS49</f>
        <v>0</v>
      </c>
      <c r="M60" s="828">
        <f>AT49</f>
        <v>0</v>
      </c>
      <c r="N60" s="828">
        <f>AU49</f>
        <v>0</v>
      </c>
      <c r="O60" s="829">
        <f>AV49</f>
        <v>0</v>
      </c>
      <c r="P60" s="796">
        <f t="shared" si="344"/>
        <v>0</v>
      </c>
      <c r="Q60" s="3446"/>
      <c r="R60" s="2578"/>
      <c r="S60" s="3359"/>
      <c r="T60" s="3360"/>
      <c r="U60" s="3360"/>
      <c r="V60" s="3360"/>
      <c r="W60" s="3361"/>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2082">
        <v>60</v>
      </c>
    </row>
    <row r="61" spans="1:381" ht="15" customHeight="1">
      <c r="A61" s="3445"/>
      <c r="B61" s="3445"/>
      <c r="C61" s="43"/>
      <c r="D61" s="43"/>
      <c r="E61" s="43"/>
      <c r="F61" s="43"/>
      <c r="G61" s="35"/>
      <c r="H61" s="48" t="s">
        <v>1220</v>
      </c>
      <c r="I61" s="13"/>
      <c r="J61" s="35"/>
      <c r="K61" s="827">
        <f>AW49</f>
        <v>0</v>
      </c>
      <c r="L61" s="828">
        <f>AX49</f>
        <v>6</v>
      </c>
      <c r="M61" s="828">
        <f>AY49</f>
        <v>0</v>
      </c>
      <c r="N61" s="828">
        <f>AZ49</f>
        <v>0</v>
      </c>
      <c r="O61" s="829">
        <f>BA49</f>
        <v>0</v>
      </c>
      <c r="P61" s="796">
        <f t="shared" si="344"/>
        <v>6</v>
      </c>
      <c r="Q61" s="3446"/>
      <c r="R61" s="2578"/>
      <c r="S61" s="3359"/>
      <c r="T61" s="3360"/>
      <c r="U61" s="3360"/>
      <c r="V61" s="3360"/>
      <c r="W61" s="3361"/>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2082">
        <v>61</v>
      </c>
    </row>
    <row r="62" spans="1:381" ht="15" customHeight="1">
      <c r="A62" s="3445"/>
      <c r="B62" s="3445"/>
      <c r="C62" s="3"/>
      <c r="D62" s="43"/>
      <c r="E62" s="43"/>
      <c r="F62" s="43"/>
      <c r="G62" s="35"/>
      <c r="H62" s="48" t="s">
        <v>1221</v>
      </c>
      <c r="I62" s="13"/>
      <c r="J62" s="35"/>
      <c r="K62" s="2708">
        <f>BB49</f>
        <v>0</v>
      </c>
      <c r="L62" s="2709">
        <f>BC49</f>
        <v>0</v>
      </c>
      <c r="M62" s="2709">
        <f>BD49</f>
        <v>0</v>
      </c>
      <c r="N62" s="2709">
        <f>BE49</f>
        <v>0</v>
      </c>
      <c r="O62" s="2710">
        <f>BF49</f>
        <v>0</v>
      </c>
      <c r="P62" s="341">
        <f t="shared" si="344"/>
        <v>0</v>
      </c>
      <c r="Q62" s="3446"/>
      <c r="R62" s="2578"/>
      <c r="S62" s="3359"/>
      <c r="T62" s="3360"/>
      <c r="U62" s="3360"/>
      <c r="V62" s="3360"/>
      <c r="W62" s="3361"/>
      <c r="X62" s="1317"/>
      <c r="AA62" s="253"/>
      <c r="AB62" s="256"/>
      <c r="AC62" s="1317"/>
      <c r="AF62" s="253"/>
      <c r="AG62" s="256"/>
      <c r="AH62" s="1317"/>
      <c r="AK62" s="253"/>
      <c r="AL62" s="256"/>
      <c r="AM62" s="1317"/>
      <c r="AP62" s="253"/>
      <c r="AQ62" s="256"/>
      <c r="AR62" s="257"/>
      <c r="AS62" s="257"/>
      <c r="AT62" s="257"/>
      <c r="AU62" s="257"/>
      <c r="AV62" s="257"/>
      <c r="AW62" s="257"/>
      <c r="AX62" s="256"/>
      <c r="AY62" s="253"/>
      <c r="BB62" s="257"/>
      <c r="BC62" s="256"/>
      <c r="BD62" s="253"/>
      <c r="LO62" s="255"/>
      <c r="MD62" s="251"/>
      <c r="NQ62" s="2082">
        <v>62</v>
      </c>
    </row>
    <row r="63" spans="1:381" ht="15" customHeight="1">
      <c r="A63" s="3445"/>
      <c r="B63" s="3445"/>
      <c r="C63" s="48" t="s">
        <v>1222</v>
      </c>
      <c r="D63" s="43"/>
      <c r="E63" s="43"/>
      <c r="F63" s="43"/>
      <c r="G63" s="35"/>
      <c r="H63" s="40"/>
      <c r="I63" s="25"/>
      <c r="J63" s="35"/>
      <c r="K63" s="2711">
        <f>SUM(K56:K62)</f>
        <v>0</v>
      </c>
      <c r="L63" s="2711">
        <f>SUM(L56:L62)</f>
        <v>37</v>
      </c>
      <c r="M63" s="2711">
        <f>SUM(M56:M62)</f>
        <v>15</v>
      </c>
      <c r="N63" s="2711">
        <f>SUM(N56:N62)</f>
        <v>0</v>
      </c>
      <c r="O63" s="2711">
        <f>SUM(O56:O62)</f>
        <v>0</v>
      </c>
      <c r="P63" s="2711">
        <f t="shared" si="344"/>
        <v>52</v>
      </c>
      <c r="Q63" s="3379"/>
      <c r="S63" s="3359"/>
      <c r="T63" s="3360"/>
      <c r="U63" s="3360"/>
      <c r="V63" s="3360"/>
      <c r="W63" s="3361"/>
      <c r="X63" s="1317"/>
      <c r="AA63" s="253"/>
      <c r="AB63" s="256"/>
      <c r="AC63" s="1317"/>
      <c r="AF63" s="253"/>
      <c r="AG63" s="256"/>
      <c r="AH63" s="1317"/>
      <c r="AK63" s="253"/>
      <c r="AL63" s="256"/>
      <c r="AM63" s="1317"/>
      <c r="AP63" s="253"/>
      <c r="AQ63" s="256"/>
      <c r="AR63" s="257"/>
      <c r="AS63" s="257"/>
      <c r="AT63" s="257"/>
      <c r="AU63" s="257"/>
      <c r="AV63" s="257"/>
      <c r="AW63" s="257"/>
      <c r="AX63" s="256"/>
      <c r="AY63" s="253"/>
      <c r="BB63" s="257"/>
      <c r="BC63" s="256"/>
      <c r="BD63" s="253"/>
      <c r="LO63" s="255"/>
      <c r="MD63" s="251"/>
      <c r="NQ63" s="2082">
        <v>63</v>
      </c>
    </row>
    <row r="64" spans="1:381" ht="15" customHeight="1">
      <c r="A64" s="3445"/>
      <c r="B64" s="3445"/>
      <c r="C64" s="77"/>
      <c r="D64" s="43"/>
      <c r="E64" s="43"/>
      <c r="F64" s="43"/>
      <c r="G64" s="35"/>
      <c r="H64" s="48" t="s">
        <v>1150</v>
      </c>
      <c r="I64" s="13"/>
      <c r="J64" s="35"/>
      <c r="K64" s="566">
        <f>BG49</f>
        <v>0</v>
      </c>
      <c r="L64" s="566">
        <f>BH49</f>
        <v>4</v>
      </c>
      <c r="M64" s="566">
        <f>BI49</f>
        <v>2</v>
      </c>
      <c r="N64" s="566">
        <f>BJ49</f>
        <v>0</v>
      </c>
      <c r="O64" s="566">
        <f>BK49</f>
        <v>0</v>
      </c>
      <c r="P64" s="566">
        <f t="shared" si="344"/>
        <v>6</v>
      </c>
      <c r="S64" s="3359"/>
      <c r="T64" s="3360"/>
      <c r="U64" s="3360"/>
      <c r="V64" s="3360"/>
      <c r="W64" s="3361"/>
      <c r="X64" s="253"/>
      <c r="AA64" s="253"/>
      <c r="AB64" s="256"/>
      <c r="AC64" s="253"/>
      <c r="AF64" s="253"/>
      <c r="AG64" s="256"/>
      <c r="AH64" s="253"/>
      <c r="AK64" s="253"/>
      <c r="AL64" s="256"/>
      <c r="AM64" s="253"/>
      <c r="AP64" s="253"/>
      <c r="AQ64" s="256"/>
      <c r="AR64" s="257"/>
      <c r="AS64" s="257"/>
      <c r="AT64" s="257"/>
      <c r="AU64" s="257"/>
      <c r="AV64" s="257"/>
      <c r="AW64" s="257"/>
      <c r="AX64" s="612"/>
      <c r="AY64" s="253"/>
      <c r="BB64" s="257"/>
      <c r="BC64" s="612"/>
      <c r="BD64" s="253"/>
      <c r="LO64" s="255"/>
      <c r="MD64" s="251"/>
      <c r="NQ64" s="2083">
        <v>64</v>
      </c>
    </row>
    <row r="65" spans="1:485" ht="15" customHeight="1">
      <c r="A65" s="3445"/>
      <c r="B65" s="3445"/>
      <c r="C65" s="799" t="s">
        <v>1223</v>
      </c>
      <c r="D65" s="799"/>
      <c r="E65" s="799"/>
      <c r="F65" s="799"/>
      <c r="G65" s="800"/>
      <c r="H65" s="1066"/>
      <c r="I65" s="23"/>
      <c r="J65" s="800"/>
      <c r="K65" s="801">
        <f>SUM(K63:K64)</f>
        <v>0</v>
      </c>
      <c r="L65" s="801">
        <f>SUM(L63:L64)</f>
        <v>41</v>
      </c>
      <c r="M65" s="801">
        <f>SUM(M63:M64)</f>
        <v>17</v>
      </c>
      <c r="N65" s="801">
        <f>SUM(N63:N64)</f>
        <v>0</v>
      </c>
      <c r="O65" s="801">
        <f>SUM(O63:O64)</f>
        <v>0</v>
      </c>
      <c r="P65" s="801">
        <f t="shared" si="344"/>
        <v>58</v>
      </c>
      <c r="S65" s="3359"/>
      <c r="T65" s="3360"/>
      <c r="U65" s="3360"/>
      <c r="V65" s="3360"/>
      <c r="W65" s="3361"/>
      <c r="X65" s="253"/>
      <c r="AA65" s="253"/>
      <c r="AB65" s="256"/>
      <c r="AC65" s="253"/>
      <c r="AF65" s="253"/>
      <c r="AG65" s="256"/>
      <c r="AH65" s="253"/>
      <c r="AK65" s="253"/>
      <c r="AL65" s="256"/>
      <c r="AM65" s="253"/>
      <c r="AP65" s="253"/>
      <c r="AQ65" s="256"/>
      <c r="AR65" s="257"/>
      <c r="AS65" s="257"/>
      <c r="AT65" s="257"/>
      <c r="AU65" s="257"/>
      <c r="AV65" s="257"/>
      <c r="AW65" s="257"/>
      <c r="AX65" s="612"/>
      <c r="AY65" s="253"/>
      <c r="BB65" s="257"/>
      <c r="BC65" s="612"/>
      <c r="BD65" s="253"/>
      <c r="LO65" s="255"/>
      <c r="MD65" s="251"/>
      <c r="NQ65" s="2082">
        <v>65</v>
      </c>
    </row>
    <row r="66" spans="1:485" ht="15" customHeight="1">
      <c r="A66" s="3445"/>
      <c r="B66" s="3445"/>
      <c r="C66" s="77"/>
      <c r="D66" s="43"/>
      <c r="E66" s="43"/>
      <c r="F66" s="43"/>
      <c r="G66" s="35"/>
      <c r="H66" s="48" t="s">
        <v>1224</v>
      </c>
      <c r="I66" s="13"/>
      <c r="J66" s="35"/>
      <c r="K66" s="566">
        <f>ED49</f>
        <v>0</v>
      </c>
      <c r="L66" s="566">
        <f>EE49</f>
        <v>0</v>
      </c>
      <c r="M66" s="566">
        <f>EF49</f>
        <v>0</v>
      </c>
      <c r="N66" s="566">
        <f>EG49</f>
        <v>0</v>
      </c>
      <c r="O66" s="566">
        <f>EH49</f>
        <v>0</v>
      </c>
      <c r="P66" s="566">
        <f t="shared" si="344"/>
        <v>0</v>
      </c>
      <c r="Q66" s="98" t="s">
        <v>1225</v>
      </c>
      <c r="S66" s="3359"/>
      <c r="T66" s="3360"/>
      <c r="U66" s="3360"/>
      <c r="V66" s="3360"/>
      <c r="W66" s="3361"/>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2080">
        <v>66</v>
      </c>
    </row>
    <row r="67" spans="1:485" ht="15" customHeight="1">
      <c r="A67" s="3445"/>
      <c r="B67" s="3445"/>
      <c r="C67" s="3" t="s">
        <v>1226</v>
      </c>
      <c r="D67" s="43"/>
      <c r="E67" s="43"/>
      <c r="F67" s="43"/>
      <c r="G67" s="35"/>
      <c r="H67" s="48"/>
      <c r="I67" s="13"/>
      <c r="J67" s="35"/>
      <c r="K67" s="2712">
        <f>SUM(K65:K66)</f>
        <v>0</v>
      </c>
      <c r="L67" s="2712">
        <f>SUM(L65:L66)</f>
        <v>41</v>
      </c>
      <c r="M67" s="2712">
        <f>SUM(M65:M66)</f>
        <v>17</v>
      </c>
      <c r="N67" s="2712">
        <f>SUM(N65:N66)</f>
        <v>0</v>
      </c>
      <c r="O67" s="2712">
        <f>SUM(O65:O66)</f>
        <v>0</v>
      </c>
      <c r="P67" s="2712">
        <f t="shared" si="344"/>
        <v>58</v>
      </c>
      <c r="S67" s="3371"/>
      <c r="T67" s="3372"/>
      <c r="U67" s="3372"/>
      <c r="V67" s="3372"/>
      <c r="W67" s="3373"/>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2082">
        <v>67</v>
      </c>
    </row>
    <row r="68" spans="1:485" ht="16.149999999999999" customHeight="1">
      <c r="A68" s="3445"/>
      <c r="B68" s="3445"/>
      <c r="C68" s="914"/>
      <c r="D68" s="914"/>
      <c r="E68" s="914"/>
      <c r="F68" s="914"/>
      <c r="G68" s="914"/>
      <c r="H68" s="1067"/>
      <c r="I68" s="914"/>
      <c r="J68" s="914"/>
      <c r="K68" s="914"/>
      <c r="L68" s="914"/>
      <c r="M68" s="914"/>
      <c r="N68" s="914"/>
      <c r="O68" s="914"/>
      <c r="P68" s="914"/>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2082">
        <v>68</v>
      </c>
    </row>
    <row r="69" spans="1:485" ht="12" customHeight="1">
      <c r="A69" s="3445"/>
      <c r="B69" s="3445"/>
      <c r="C69" s="3447" t="s">
        <v>1227</v>
      </c>
      <c r="D69" s="3447"/>
      <c r="E69" s="3447"/>
      <c r="F69" s="3447"/>
      <c r="G69" s="914"/>
      <c r="H69" s="1067"/>
      <c r="I69" s="914"/>
      <c r="J69" s="914"/>
      <c r="K69" s="1072"/>
      <c r="L69" s="1072"/>
      <c r="M69" s="1072"/>
      <c r="N69" s="1072"/>
      <c r="O69" s="1072"/>
      <c r="P69" s="1072"/>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2080">
        <v>69</v>
      </c>
    </row>
    <row r="70" spans="1:485" customFormat="1" ht="13.15" customHeight="1">
      <c r="A70" s="3445"/>
      <c r="B70" s="3445"/>
      <c r="C70" s="3447"/>
      <c r="D70" s="3447"/>
      <c r="E70" s="3447"/>
      <c r="F70" s="3447"/>
      <c r="G70" s="77"/>
      <c r="H70" s="48" t="s">
        <v>1214</v>
      </c>
      <c r="I70" s="13"/>
      <c r="J70" s="1039"/>
      <c r="K70" s="1060" t="str">
        <f t="shared" ref="K70:P70" si="345">IF(OR(K56=0,K67=0),"",K56/K67)</f>
        <v/>
      </c>
      <c r="L70" s="1061" t="str">
        <f t="shared" si="345"/>
        <v/>
      </c>
      <c r="M70" s="1061" t="str">
        <f t="shared" si="345"/>
        <v/>
      </c>
      <c r="N70" s="1061" t="str">
        <f t="shared" si="345"/>
        <v/>
      </c>
      <c r="O70" s="1061" t="str">
        <f t="shared" si="345"/>
        <v/>
      </c>
      <c r="P70" s="1062" t="str">
        <f t="shared" si="345"/>
        <v/>
      </c>
      <c r="Q70" s="16" t="s">
        <v>1228</v>
      </c>
      <c r="S70" s="3365"/>
      <c r="T70" s="3366"/>
      <c r="U70" s="3366"/>
      <c r="V70" s="3366"/>
      <c r="W70" s="3367"/>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92"/>
      <c r="NQ70" s="2082">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45"/>
      <c r="B71" s="3445"/>
      <c r="C71" s="506"/>
      <c r="D71" s="77"/>
      <c r="E71" s="77"/>
      <c r="F71" s="77"/>
      <c r="G71" s="77"/>
      <c r="H71" s="48" t="s">
        <v>1229</v>
      </c>
      <c r="I71" s="13"/>
      <c r="J71" s="43"/>
      <c r="K71" s="1112" t="str">
        <f>IF(OR(K56=0,P70="",K67=0),"",P70*K67)</f>
        <v/>
      </c>
      <c r="L71" s="1112" t="str">
        <f>IF(OR(L56=0,P70="",L67=0),"",P70*L67)</f>
        <v/>
      </c>
      <c r="M71" s="1112" t="str">
        <f>IF(OR(M56=0,P70="",M67=0),"",P70*M67)</f>
        <v/>
      </c>
      <c r="N71" s="1112" t="str">
        <f>IF(OR(N56=0,P70="",N67=0),"",P70*N67)</f>
        <v/>
      </c>
      <c r="O71" s="1112" t="str">
        <f>IF(OR(O56=0,P70="",O67=0),"",P70*O67)</f>
        <v/>
      </c>
      <c r="P71" s="1113" t="str">
        <f>IF(OR(P70="",P67=0),"",P70*P67)</f>
        <v/>
      </c>
      <c r="S71" s="3359"/>
      <c r="T71" s="3360"/>
      <c r="U71" s="3360"/>
      <c r="V71" s="3360"/>
      <c r="W71" s="3361"/>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92"/>
      <c r="NQ71" s="2082">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45"/>
      <c r="B72" s="3445"/>
      <c r="C72" s="506"/>
      <c r="D72" s="77"/>
      <c r="E72" s="77"/>
      <c r="F72" s="77"/>
      <c r="G72" s="1107"/>
      <c r="H72" s="1068" t="s">
        <v>1230</v>
      </c>
      <c r="I72" s="1040"/>
      <c r="J72" s="43"/>
      <c r="K72" s="1114" t="str">
        <f t="shared" ref="K72:P72" si="346">IF(OR(K71="",K56=0),"", K56-K71)</f>
        <v/>
      </c>
      <c r="L72" s="1115" t="str">
        <f t="shared" si="346"/>
        <v/>
      </c>
      <c r="M72" s="1115" t="str">
        <f t="shared" si="346"/>
        <v/>
      </c>
      <c r="N72" s="1115" t="str">
        <f t="shared" si="346"/>
        <v/>
      </c>
      <c r="O72" s="1115" t="str">
        <f t="shared" si="346"/>
        <v/>
      </c>
      <c r="P72" s="1116" t="str">
        <f t="shared" si="346"/>
        <v/>
      </c>
      <c r="S72" s="3359"/>
      <c r="T72" s="3360"/>
      <c r="U72" s="3360"/>
      <c r="V72" s="3360"/>
      <c r="W72" s="3361"/>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92"/>
      <c r="NQ72" s="2082">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45"/>
      <c r="B73" s="3445"/>
      <c r="C73" s="506"/>
      <c r="D73" s="3448" t="s">
        <v>1231</v>
      </c>
      <c r="E73" s="3448"/>
      <c r="F73" s="3448"/>
      <c r="G73" s="77"/>
      <c r="H73" s="48" t="s">
        <v>1216</v>
      </c>
      <c r="I73" s="13"/>
      <c r="J73" s="43"/>
      <c r="K73" s="1063" t="str">
        <f t="shared" ref="K73:P73" si="347">IF(OR(K57=0,K67=0),"",K57/K67)</f>
        <v/>
      </c>
      <c r="L73" s="1064" t="str">
        <f t="shared" si="347"/>
        <v/>
      </c>
      <c r="M73" s="1064" t="str">
        <f t="shared" si="347"/>
        <v/>
      </c>
      <c r="N73" s="1064" t="str">
        <f t="shared" si="347"/>
        <v/>
      </c>
      <c r="O73" s="1064" t="str">
        <f t="shared" si="347"/>
        <v/>
      </c>
      <c r="P73" s="1065" t="str">
        <f t="shared" si="347"/>
        <v/>
      </c>
      <c r="S73" s="3359"/>
      <c r="T73" s="3360"/>
      <c r="U73" s="3360"/>
      <c r="V73" s="3360"/>
      <c r="W73" s="3361"/>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92"/>
      <c r="NQ73" s="2082">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506"/>
      <c r="D74" s="3448"/>
      <c r="E74" s="3448"/>
      <c r="F74" s="3448"/>
      <c r="G74" s="77"/>
      <c r="H74" s="48" t="s">
        <v>1229</v>
      </c>
      <c r="I74" s="13"/>
      <c r="J74" s="43"/>
      <c r="K74" s="1112" t="str">
        <f>IF(OR(K57=0,P73="",K67=0),"",P73*K67)</f>
        <v/>
      </c>
      <c r="L74" s="1112" t="str">
        <f>IF(OR(L57=0,P73="",L67=0),"",P73*L67)</f>
        <v/>
      </c>
      <c r="M74" s="1112" t="str">
        <f>IF(OR(M57=0,P73="",M67=0),"",P73*M67)</f>
        <v/>
      </c>
      <c r="N74" s="1112" t="str">
        <f>IF(OR(N57=0,P73="",N67=0),"",P73*N67)</f>
        <v/>
      </c>
      <c r="O74" s="1112" t="str">
        <f>IF(OR(O57=0,P73="",O67=0),"",P73*O67)</f>
        <v/>
      </c>
      <c r="P74" s="1113" t="str">
        <f>IF(OR(P73="",P67=0),"",P73*P67)</f>
        <v/>
      </c>
      <c r="S74" s="3359"/>
      <c r="T74" s="3360"/>
      <c r="U74" s="3360"/>
      <c r="V74" s="3360"/>
      <c r="W74" s="3361"/>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92"/>
      <c r="NQ74" s="2082">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506"/>
      <c r="D75" s="3448"/>
      <c r="E75" s="3448"/>
      <c r="F75" s="3448"/>
      <c r="G75" s="1107"/>
      <c r="H75" s="1068" t="s">
        <v>1230</v>
      </c>
      <c r="I75" s="1040"/>
      <c r="J75" s="43"/>
      <c r="K75" s="1114" t="str">
        <f t="shared" ref="K75:P75" si="348">IF(OR(K74="",K57=0),"", K57-K74)</f>
        <v/>
      </c>
      <c r="L75" s="1114" t="str">
        <f t="shared" si="348"/>
        <v/>
      </c>
      <c r="M75" s="1114" t="str">
        <f t="shared" si="348"/>
        <v/>
      </c>
      <c r="N75" s="1114" t="str">
        <f t="shared" si="348"/>
        <v/>
      </c>
      <c r="O75" s="1114" t="str">
        <f t="shared" si="348"/>
        <v/>
      </c>
      <c r="P75" s="1114" t="str">
        <f t="shared" si="348"/>
        <v/>
      </c>
      <c r="S75" s="3359"/>
      <c r="T75" s="3360"/>
      <c r="U75" s="3360"/>
      <c r="V75" s="3360"/>
      <c r="W75" s="3361"/>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92"/>
      <c r="NQ75" s="2083">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1232</v>
      </c>
      <c r="D76" s="3448"/>
      <c r="E76" s="3448"/>
      <c r="F76" s="3448"/>
      <c r="G76" s="77"/>
      <c r="H76" s="48" t="s">
        <v>1217</v>
      </c>
      <c r="I76" s="13"/>
      <c r="J76" s="43"/>
      <c r="K76" s="1063" t="str">
        <f t="shared" ref="K76:P76" si="349">IF(OR(K58=0,K67=0),"",K58/K67)</f>
        <v/>
      </c>
      <c r="L76" s="1064">
        <f t="shared" si="349"/>
        <v>0.34146341463414637</v>
      </c>
      <c r="M76" s="1064">
        <f t="shared" si="349"/>
        <v>0.88235294117647056</v>
      </c>
      <c r="N76" s="1064" t="str">
        <f t="shared" si="349"/>
        <v/>
      </c>
      <c r="O76" s="1064" t="str">
        <f t="shared" si="349"/>
        <v/>
      </c>
      <c r="P76" s="1065">
        <f t="shared" si="349"/>
        <v>0.5</v>
      </c>
      <c r="S76" s="3359"/>
      <c r="T76" s="3360"/>
      <c r="U76" s="3360"/>
      <c r="V76" s="3360"/>
      <c r="W76" s="3361"/>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92"/>
      <c r="NQ76" s="2082">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448"/>
      <c r="E77" s="3448"/>
      <c r="F77" s="3448"/>
      <c r="G77" s="77"/>
      <c r="H77" s="48" t="s">
        <v>1229</v>
      </c>
      <c r="I77" s="13"/>
      <c r="J77" s="43"/>
      <c r="K77" s="1112" t="str">
        <f>IF(OR(K58=0,P76="",K67=0),"",P76*K67)</f>
        <v/>
      </c>
      <c r="L77" s="1112">
        <f>IF(OR(L58=0,P76="",L67=0),"",P76*L67)</f>
        <v>20.5</v>
      </c>
      <c r="M77" s="1112">
        <f>IF(OR(M58=0,P76="",M67=0),"",P76*M67)</f>
        <v>8.5</v>
      </c>
      <c r="N77" s="1112" t="str">
        <f>IF(OR(N58=0,P76="",N67=0),"",P76*N67)</f>
        <v/>
      </c>
      <c r="O77" s="1112" t="str">
        <f>IF(OR(O58=0,P76="",O67=0),"",P76*O67)</f>
        <v/>
      </c>
      <c r="P77" s="1113">
        <f>IF(OR(P76="",P67=0),"",P76*P67)</f>
        <v>29</v>
      </c>
      <c r="S77" s="3371"/>
      <c r="T77" s="3372"/>
      <c r="U77" s="3372"/>
      <c r="V77" s="3372"/>
      <c r="W77" s="3373"/>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92"/>
      <c r="NQ77" s="2080">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448"/>
      <c r="E78" s="3448"/>
      <c r="F78" s="3448"/>
      <c r="G78" s="1107"/>
      <c r="H78" s="1068" t="s">
        <v>1230</v>
      </c>
      <c r="I78" s="1040"/>
      <c r="J78" s="43"/>
      <c r="K78" s="1114" t="str">
        <f t="shared" ref="K78:P78" si="350">IF(OR(K77="",K58=0),"", K58-K77)</f>
        <v/>
      </c>
      <c r="L78" s="1114">
        <f t="shared" si="350"/>
        <v>-6.5</v>
      </c>
      <c r="M78" s="1114">
        <f t="shared" si="350"/>
        <v>6.5</v>
      </c>
      <c r="N78" s="1114" t="str">
        <f t="shared" si="350"/>
        <v/>
      </c>
      <c r="O78" s="1114" t="str">
        <f t="shared" si="350"/>
        <v/>
      </c>
      <c r="P78" s="1114">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92"/>
      <c r="NQ78" s="2082">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1232</v>
      </c>
      <c r="D79" s="1038"/>
      <c r="E79" s="1038"/>
      <c r="F79" s="77"/>
      <c r="G79" s="77"/>
      <c r="H79" s="48" t="s">
        <v>1218</v>
      </c>
      <c r="I79" s="13"/>
      <c r="J79" s="43"/>
      <c r="K79" s="1063" t="str">
        <f t="shared" ref="K79:P79" si="351">IF(OR(K59=0,K67=0),"",K59/K67)</f>
        <v/>
      </c>
      <c r="L79" s="1064">
        <f t="shared" si="351"/>
        <v>0.41463414634146339</v>
      </c>
      <c r="M79" s="1064" t="str">
        <f t="shared" si="351"/>
        <v/>
      </c>
      <c r="N79" s="1064" t="str">
        <f t="shared" si="351"/>
        <v/>
      </c>
      <c r="O79" s="1064" t="str">
        <f t="shared" si="351"/>
        <v/>
      </c>
      <c r="P79" s="1065">
        <f t="shared" si="351"/>
        <v>0.29310344827586204</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92"/>
      <c r="NQ79" s="2082">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38"/>
      <c r="E80" s="1038"/>
      <c r="F80" s="77"/>
      <c r="G80" s="77"/>
      <c r="H80" s="48" t="s">
        <v>1229</v>
      </c>
      <c r="I80" s="13"/>
      <c r="J80" s="43"/>
      <c r="K80" s="1112" t="str">
        <f>IF(OR(K59=0,P79="",K67=0),"",P79*K67)</f>
        <v/>
      </c>
      <c r="L80" s="1112">
        <f>IF(OR(L59=0,P79="",L67=0),"",P79*L67)</f>
        <v>12.017241379310343</v>
      </c>
      <c r="M80" s="1112" t="str">
        <f>IF(OR(M59=0,P79="",M67=0),"",P79*M67)</f>
        <v/>
      </c>
      <c r="N80" s="1112" t="str">
        <f>IF(OR(N59=0,P79="",N67=0),"",P79*N67)</f>
        <v/>
      </c>
      <c r="O80" s="1112" t="str">
        <f>IF(OR(O59=0,P79="",O67=0),"",P79*O67)</f>
        <v/>
      </c>
      <c r="P80" s="1113">
        <f>IF(OR(P79="",P67=0),"",P79*P67)</f>
        <v>17</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92"/>
      <c r="NQ80" s="2080">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38"/>
      <c r="E81" s="1038"/>
      <c r="F81" s="77"/>
      <c r="G81" s="1107"/>
      <c r="H81" s="1068" t="s">
        <v>1230</v>
      </c>
      <c r="I81" s="1040"/>
      <c r="J81" s="43"/>
      <c r="K81" s="1114" t="str">
        <f t="shared" ref="K81:P81" si="352">IF(OR(K80="",K59=0),"", K59-K80)</f>
        <v/>
      </c>
      <c r="L81" s="1114">
        <f t="shared" si="352"/>
        <v>4.9827586206896566</v>
      </c>
      <c r="M81" s="1114" t="str">
        <f t="shared" si="352"/>
        <v/>
      </c>
      <c r="N81" s="1114" t="str">
        <f t="shared" si="352"/>
        <v/>
      </c>
      <c r="O81" s="1114" t="str">
        <f t="shared" si="352"/>
        <v/>
      </c>
      <c r="P81" s="1114">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92"/>
      <c r="NQ81" s="2082">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1232</v>
      </c>
      <c r="D82" s="1038"/>
      <c r="E82" s="1038"/>
      <c r="F82" s="77"/>
      <c r="G82" s="77"/>
      <c r="H82" s="48" t="s">
        <v>1219</v>
      </c>
      <c r="I82" s="13"/>
      <c r="J82" s="43"/>
      <c r="K82" s="1063" t="str">
        <f t="shared" ref="K82:P82" si="353">IF(OR(K60=0,K67=0),"",K60/K67)</f>
        <v/>
      </c>
      <c r="L82" s="1064" t="str">
        <f t="shared" si="353"/>
        <v/>
      </c>
      <c r="M82" s="1064" t="str">
        <f t="shared" si="353"/>
        <v/>
      </c>
      <c r="N82" s="1064" t="str">
        <f t="shared" si="353"/>
        <v/>
      </c>
      <c r="O82" s="1064" t="str">
        <f t="shared" si="353"/>
        <v/>
      </c>
      <c r="P82" s="1065"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92"/>
      <c r="NQ82" s="2082">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1229</v>
      </c>
      <c r="I83" s="13"/>
      <c r="J83" s="43"/>
      <c r="K83" s="1112" t="str">
        <f>IF(OR(K60=0,P82="",K67=0),"",P82*K67)</f>
        <v/>
      </c>
      <c r="L83" s="1112" t="str">
        <f>IF(OR(L60=0,P82="",L67=0),"",P82*L67)</f>
        <v/>
      </c>
      <c r="M83" s="1112" t="str">
        <f>IF(OR(M60=0,P82="",M67=0),"",P82*M67)</f>
        <v/>
      </c>
      <c r="N83" s="1112" t="str">
        <f>IF(OR(N60=0,P82="",N67=0),"",P82*N67)</f>
        <v/>
      </c>
      <c r="O83" s="1112" t="str">
        <f>IF(OR(O60=0,P82="",O67=0),"",P82*O67)</f>
        <v/>
      </c>
      <c r="P83" s="1113"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92"/>
      <c r="NQ83" s="2082">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107"/>
      <c r="H84" s="1068" t="s">
        <v>1230</v>
      </c>
      <c r="I84" s="1040"/>
      <c r="J84" s="43"/>
      <c r="K84" s="1114" t="str">
        <f t="shared" ref="K84:P84" si="354">IF(OR(K83="",K60=0),"", K60-K83)</f>
        <v/>
      </c>
      <c r="L84" s="1114" t="str">
        <f t="shared" si="354"/>
        <v/>
      </c>
      <c r="M84" s="1114" t="str">
        <f t="shared" si="354"/>
        <v/>
      </c>
      <c r="N84" s="1114" t="str">
        <f t="shared" si="354"/>
        <v/>
      </c>
      <c r="O84" s="1114" t="str">
        <f t="shared" si="354"/>
        <v/>
      </c>
      <c r="P84" s="1114"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92"/>
      <c r="NQ84" s="2082">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1232</v>
      </c>
      <c r="D85" s="77"/>
      <c r="E85" s="77"/>
      <c r="F85" s="77"/>
      <c r="G85" s="77"/>
      <c r="H85" s="48" t="s">
        <v>1220</v>
      </c>
      <c r="I85" s="13"/>
      <c r="J85" s="43"/>
      <c r="K85" s="1063" t="str">
        <f t="shared" ref="K85:P85" si="355">IF(OR(K61=0,K67=0),"",K61/K67)</f>
        <v/>
      </c>
      <c r="L85" s="1064">
        <f t="shared" si="355"/>
        <v>0.14634146341463414</v>
      </c>
      <c r="M85" s="1064" t="str">
        <f t="shared" si="355"/>
        <v/>
      </c>
      <c r="N85" s="1064" t="str">
        <f t="shared" si="355"/>
        <v/>
      </c>
      <c r="O85" s="1064" t="str">
        <f t="shared" si="355"/>
        <v/>
      </c>
      <c r="P85" s="1065">
        <f t="shared" si="355"/>
        <v>0.10344827586206896</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92"/>
      <c r="NQ85" s="2082">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1229</v>
      </c>
      <c r="I86" s="13"/>
      <c r="J86" s="43"/>
      <c r="K86" s="1112" t="str">
        <f>IF(OR(K61=0,P85="",K67=0),"",P85*K67)</f>
        <v/>
      </c>
      <c r="L86" s="1112">
        <f>IF(OR(L61=0,P85="",L67=0),"",P85*L67)</f>
        <v>4.2413793103448274</v>
      </c>
      <c r="M86" s="1112" t="str">
        <f>IF(OR(M61=0,P85="",M67=0),"",P85*M67)</f>
        <v/>
      </c>
      <c r="N86" s="1112" t="str">
        <f>IF(OR(N61=0,P85="",N67=0),"",P85*N67)</f>
        <v/>
      </c>
      <c r="O86" s="1112" t="str">
        <f>IF(OR(O61=0,P85="",O67=0),"",P85*O67)</f>
        <v/>
      </c>
      <c r="P86" s="1113">
        <f>IF(OR(P85="",P67=0),"",P85*P67)</f>
        <v>6</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92"/>
      <c r="NQ86" s="2083">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107"/>
      <c r="H87" s="1068" t="s">
        <v>1230</v>
      </c>
      <c r="I87" s="1040"/>
      <c r="J87" s="43"/>
      <c r="K87" s="1114" t="str">
        <f t="shared" ref="K87:P87" si="356">IF(OR(K86="",K61=0),"", K61-K86)</f>
        <v/>
      </c>
      <c r="L87" s="1114">
        <f t="shared" si="356"/>
        <v>1.7586206896551726</v>
      </c>
      <c r="M87" s="1114" t="str">
        <f t="shared" si="356"/>
        <v/>
      </c>
      <c r="N87" s="1114" t="str">
        <f t="shared" si="356"/>
        <v/>
      </c>
      <c r="O87" s="1114" t="str">
        <f t="shared" si="356"/>
        <v/>
      </c>
      <c r="P87" s="1114">
        <f t="shared" si="356"/>
        <v>0</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92"/>
      <c r="NQ87" s="2082">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1232</v>
      </c>
      <c r="D88" s="77"/>
      <c r="E88" s="77"/>
      <c r="F88" s="77"/>
      <c r="G88" s="77"/>
      <c r="H88" s="48" t="s">
        <v>1221</v>
      </c>
      <c r="I88" s="13"/>
      <c r="J88" s="43"/>
      <c r="K88" s="1063" t="str">
        <f t="shared" ref="K88:P88" si="357">IF(OR(K62=0,K67=0),"",K62/K67)</f>
        <v/>
      </c>
      <c r="L88" s="1064" t="str">
        <f t="shared" si="357"/>
        <v/>
      </c>
      <c r="M88" s="1064" t="str">
        <f t="shared" si="357"/>
        <v/>
      </c>
      <c r="N88" s="1064" t="str">
        <f t="shared" si="357"/>
        <v/>
      </c>
      <c r="O88" s="1064" t="str">
        <f t="shared" si="357"/>
        <v/>
      </c>
      <c r="P88" s="1065"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92"/>
      <c r="NQ88" s="2080">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38"/>
      <c r="E89" s="1038"/>
      <c r="F89" s="77"/>
      <c r="G89" s="77"/>
      <c r="H89" s="48" t="s">
        <v>1229</v>
      </c>
      <c r="I89" s="13"/>
      <c r="J89" s="43"/>
      <c r="K89" s="1112" t="str">
        <f>IF(OR(K62=0,P88="",K67=0),"",P88*K67)</f>
        <v/>
      </c>
      <c r="L89" s="1112" t="str">
        <f>IF(OR(L62=0,P88="",L67=0),"",P88*L67)</f>
        <v/>
      </c>
      <c r="M89" s="1112" t="str">
        <f>IF(OR(M62=0,P88="",M67=0),"",P88*M67)</f>
        <v/>
      </c>
      <c r="N89" s="1112" t="str">
        <f>IF(OR(N62=0,P88="",N67=0),"",P88*N67)</f>
        <v/>
      </c>
      <c r="O89" s="1112" t="str">
        <f>IF(OR(O62=0,P88="",O67=0),"",P88*O67)</f>
        <v/>
      </c>
      <c r="P89" s="1113"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92"/>
      <c r="NQ89" s="2082">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38"/>
      <c r="E90" s="1038"/>
      <c r="F90" s="77"/>
      <c r="G90" s="1107"/>
      <c r="H90" s="1068" t="s">
        <v>1230</v>
      </c>
      <c r="I90" s="1040"/>
      <c r="J90" s="43"/>
      <c r="K90" s="1117" t="str">
        <f t="shared" ref="K90:P90" si="358">IF(OR(K89="",K62=0),"", K62-K89)</f>
        <v/>
      </c>
      <c r="L90" s="1117" t="str">
        <f t="shared" si="358"/>
        <v/>
      </c>
      <c r="M90" s="1117" t="str">
        <f t="shared" si="358"/>
        <v/>
      </c>
      <c r="N90" s="1117" t="str">
        <f t="shared" si="358"/>
        <v/>
      </c>
      <c r="O90" s="1117" t="str">
        <f t="shared" si="358"/>
        <v/>
      </c>
      <c r="P90" s="1117"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92"/>
      <c r="NQ90" s="2082">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23"/>
      <c r="B91" s="823"/>
      <c r="C91" s="43"/>
      <c r="D91" s="43"/>
      <c r="E91" s="43"/>
      <c r="F91" s="43"/>
      <c r="G91" s="35"/>
      <c r="H91" s="48"/>
      <c r="I91" s="13"/>
      <c r="J91" s="35"/>
      <c r="K91" s="2713"/>
      <c r="L91" s="2713"/>
      <c r="M91" s="2713"/>
      <c r="N91" s="2713"/>
      <c r="O91" s="2713"/>
      <c r="P91" s="2713"/>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2080">
        <v>91</v>
      </c>
    </row>
    <row r="92" spans="1:485" ht="9" customHeight="1">
      <c r="A92" s="823"/>
      <c r="B92" s="823"/>
      <c r="C92" s="43"/>
      <c r="D92" s="43"/>
      <c r="E92" s="43"/>
      <c r="F92" s="43"/>
      <c r="G92" s="35"/>
      <c r="H92" s="48"/>
      <c r="I92" s="13"/>
      <c r="J92" s="35"/>
      <c r="K92" s="2713"/>
      <c r="L92" s="2713"/>
      <c r="M92" s="2713"/>
      <c r="N92" s="2713"/>
      <c r="O92" s="2713"/>
      <c r="P92" s="2713"/>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2082">
        <v>92</v>
      </c>
    </row>
    <row r="93" spans="1:485" ht="15" customHeight="1">
      <c r="A93" s="823"/>
      <c r="B93" s="823"/>
      <c r="C93" s="43" t="s">
        <v>1233</v>
      </c>
      <c r="D93" s="43"/>
      <c r="E93" s="48"/>
      <c r="F93" s="43"/>
      <c r="G93" s="35"/>
      <c r="H93" s="48" t="s">
        <v>1214</v>
      </c>
      <c r="I93" s="13"/>
      <c r="J93" s="35"/>
      <c r="K93" s="824">
        <f>CP49</f>
        <v>0</v>
      </c>
      <c r="L93" s="825">
        <f>CQ49</f>
        <v>0</v>
      </c>
      <c r="M93" s="825">
        <f>CR49</f>
        <v>0</v>
      </c>
      <c r="N93" s="825">
        <f>CS49</f>
        <v>0</v>
      </c>
      <c r="O93" s="826">
        <f>CT49</f>
        <v>0</v>
      </c>
      <c r="P93" s="565">
        <f t="shared" ref="P93:P100" si="359">SUM(K93:O93)</f>
        <v>0</v>
      </c>
      <c r="S93" s="3365"/>
      <c r="T93" s="3366"/>
      <c r="U93" s="3366"/>
      <c r="V93" s="3366"/>
      <c r="W93" s="3367"/>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2082">
        <v>93</v>
      </c>
    </row>
    <row r="94" spans="1:485" ht="15" customHeight="1">
      <c r="A94" s="823"/>
      <c r="B94" s="823"/>
      <c r="C94" s="13" t="s">
        <v>1234</v>
      </c>
      <c r="D94" s="43"/>
      <c r="E94" s="48"/>
      <c r="F94" s="43"/>
      <c r="G94" s="35"/>
      <c r="H94" s="48" t="s">
        <v>1216</v>
      </c>
      <c r="I94" s="13"/>
      <c r="J94" s="35"/>
      <c r="K94" s="827">
        <f>CK49</f>
        <v>0</v>
      </c>
      <c r="L94" s="828">
        <f>CL49</f>
        <v>0</v>
      </c>
      <c r="M94" s="828">
        <f>CM49</f>
        <v>0</v>
      </c>
      <c r="N94" s="828">
        <f>CN49</f>
        <v>0</v>
      </c>
      <c r="O94" s="829">
        <f>CO49</f>
        <v>0</v>
      </c>
      <c r="P94" s="796">
        <f t="shared" si="359"/>
        <v>0</v>
      </c>
      <c r="S94" s="3359"/>
      <c r="T94" s="3360"/>
      <c r="U94" s="3360"/>
      <c r="V94" s="3360"/>
      <c r="W94" s="3361"/>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2082">
        <v>94</v>
      </c>
    </row>
    <row r="95" spans="1:485" ht="14.45" customHeight="1">
      <c r="A95" s="823"/>
      <c r="B95" s="823"/>
      <c r="C95" s="43"/>
      <c r="D95" s="43"/>
      <c r="E95" s="48"/>
      <c r="F95" s="43"/>
      <c r="G95" s="35"/>
      <c r="H95" s="48" t="s">
        <v>1217</v>
      </c>
      <c r="I95" s="13"/>
      <c r="J95" s="35"/>
      <c r="K95" s="827">
        <f>CF49</f>
        <v>0</v>
      </c>
      <c r="L95" s="828">
        <f>CG49</f>
        <v>0</v>
      </c>
      <c r="M95" s="828">
        <f>CH49</f>
        <v>0</v>
      </c>
      <c r="N95" s="828">
        <f>CI49</f>
        <v>0</v>
      </c>
      <c r="O95" s="829">
        <f>CJ49</f>
        <v>0</v>
      </c>
      <c r="P95" s="796">
        <f t="shared" si="359"/>
        <v>0</v>
      </c>
      <c r="S95" s="3359"/>
      <c r="T95" s="3360"/>
      <c r="U95" s="3360"/>
      <c r="V95" s="3360"/>
      <c r="W95" s="3361"/>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2082">
        <v>95</v>
      </c>
    </row>
    <row r="96" spans="1:485" ht="15" customHeight="1">
      <c r="A96" s="823"/>
      <c r="B96" s="823"/>
      <c r="C96" s="43"/>
      <c r="D96" s="43"/>
      <c r="E96" s="48"/>
      <c r="F96" s="43"/>
      <c r="G96" s="35"/>
      <c r="H96" s="48" t="s">
        <v>1218</v>
      </c>
      <c r="I96" s="13"/>
      <c r="J96" s="680"/>
      <c r="K96" s="839">
        <f>CA49</f>
        <v>0</v>
      </c>
      <c r="L96" s="840">
        <f>CB49</f>
        <v>17</v>
      </c>
      <c r="M96" s="840">
        <f>CC49</f>
        <v>0</v>
      </c>
      <c r="N96" s="840">
        <f>CD49</f>
        <v>0</v>
      </c>
      <c r="O96" s="841">
        <f>CE49</f>
        <v>0</v>
      </c>
      <c r="P96" s="341">
        <f t="shared" si="359"/>
        <v>17</v>
      </c>
      <c r="S96" s="3359"/>
      <c r="T96" s="3360"/>
      <c r="U96" s="3360"/>
      <c r="V96" s="3360"/>
      <c r="W96" s="3361"/>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2082">
        <v>96</v>
      </c>
    </row>
    <row r="97" spans="1:381" ht="15" customHeight="1">
      <c r="A97" s="823"/>
      <c r="B97" s="823"/>
      <c r="C97" s="43"/>
      <c r="D97" s="43"/>
      <c r="E97" s="48"/>
      <c r="F97" s="43"/>
      <c r="G97" s="35"/>
      <c r="H97" s="48" t="s">
        <v>1219</v>
      </c>
      <c r="I97" s="13"/>
      <c r="J97" s="680"/>
      <c r="K97" s="827">
        <f>BV49</f>
        <v>0</v>
      </c>
      <c r="L97" s="828">
        <f>BW49</f>
        <v>0</v>
      </c>
      <c r="M97" s="828">
        <f>BX49</f>
        <v>0</v>
      </c>
      <c r="N97" s="828">
        <f>BY49</f>
        <v>0</v>
      </c>
      <c r="O97" s="829">
        <f>BZ49</f>
        <v>0</v>
      </c>
      <c r="P97" s="796">
        <f t="shared" si="359"/>
        <v>0</v>
      </c>
      <c r="S97" s="3359"/>
      <c r="T97" s="3360"/>
      <c r="U97" s="3360"/>
      <c r="V97" s="3360"/>
      <c r="W97" s="3361"/>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2083">
        <v>97</v>
      </c>
    </row>
    <row r="98" spans="1:381" ht="15" customHeight="1">
      <c r="A98" s="822"/>
      <c r="B98" s="822"/>
      <c r="C98" s="43"/>
      <c r="D98" s="43"/>
      <c r="E98" s="48"/>
      <c r="F98" s="43"/>
      <c r="G98" s="35"/>
      <c r="H98" s="48" t="s">
        <v>1220</v>
      </c>
      <c r="I98" s="13"/>
      <c r="J98" s="35"/>
      <c r="K98" s="827">
        <f>BQ49</f>
        <v>0</v>
      </c>
      <c r="L98" s="828">
        <f>BR49</f>
        <v>6</v>
      </c>
      <c r="M98" s="828">
        <f>BS49</f>
        <v>0</v>
      </c>
      <c r="N98" s="828">
        <f>BT49</f>
        <v>0</v>
      </c>
      <c r="O98" s="829">
        <f>BU49</f>
        <v>0</v>
      </c>
      <c r="P98" s="796">
        <f t="shared" si="359"/>
        <v>6</v>
      </c>
      <c r="S98" s="3359"/>
      <c r="T98" s="3360"/>
      <c r="U98" s="3360"/>
      <c r="V98" s="3360"/>
      <c r="W98" s="3361"/>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2082">
        <v>98</v>
      </c>
    </row>
    <row r="99" spans="1:381" ht="15" customHeight="1">
      <c r="A99" s="822"/>
      <c r="B99" s="822"/>
      <c r="C99" s="77"/>
      <c r="D99" s="43"/>
      <c r="E99" s="48"/>
      <c r="F99" s="43"/>
      <c r="G99" s="35"/>
      <c r="H99" s="48" t="s">
        <v>1221</v>
      </c>
      <c r="I99" s="13"/>
      <c r="J99" s="35"/>
      <c r="K99" s="830">
        <f>BL49</f>
        <v>0</v>
      </c>
      <c r="L99" s="831">
        <f>BM49</f>
        <v>0</v>
      </c>
      <c r="M99" s="831">
        <f>BN49</f>
        <v>0</v>
      </c>
      <c r="N99" s="831">
        <f>BO49</f>
        <v>0</v>
      </c>
      <c r="O99" s="832">
        <f>BP49</f>
        <v>0</v>
      </c>
      <c r="P99" s="566">
        <f t="shared" si="359"/>
        <v>0</v>
      </c>
      <c r="S99" s="3359"/>
      <c r="T99" s="3360"/>
      <c r="U99" s="3360"/>
      <c r="V99" s="3360"/>
      <c r="W99" s="3361"/>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2080">
        <v>99</v>
      </c>
    </row>
    <row r="100" spans="1:381" ht="15" customHeight="1">
      <c r="A100" s="822"/>
      <c r="B100" s="822"/>
      <c r="C100" s="3"/>
      <c r="D100" s="43"/>
      <c r="E100" s="48"/>
      <c r="F100" s="43"/>
      <c r="G100" s="35"/>
      <c r="H100" s="92" t="s">
        <v>299</v>
      </c>
      <c r="I100" s="38"/>
      <c r="J100" s="35"/>
      <c r="K100" s="2712">
        <f>SUM(K93:K99)</f>
        <v>0</v>
      </c>
      <c r="L100" s="2712">
        <f>SUM(L93:L99)</f>
        <v>23</v>
      </c>
      <c r="M100" s="2712">
        <f>SUM(M93:M99)</f>
        <v>0</v>
      </c>
      <c r="N100" s="2712">
        <f>SUM(N93:N99)</f>
        <v>0</v>
      </c>
      <c r="O100" s="2712">
        <f>SUM(O93:O99)</f>
        <v>0</v>
      </c>
      <c r="P100" s="2712">
        <f t="shared" si="359"/>
        <v>23</v>
      </c>
      <c r="S100" s="3371"/>
      <c r="T100" s="3372"/>
      <c r="U100" s="3372"/>
      <c r="V100" s="3372"/>
      <c r="W100" s="3373"/>
      <c r="X100" s="1317"/>
      <c r="AA100" s="253"/>
      <c r="AB100" s="256"/>
      <c r="AC100" s="1317"/>
      <c r="AF100" s="253"/>
      <c r="AG100" s="256"/>
      <c r="AH100" s="1317"/>
      <c r="AK100" s="253"/>
      <c r="AL100" s="256"/>
      <c r="AM100" s="1317"/>
      <c r="AP100" s="253"/>
      <c r="AQ100" s="256"/>
      <c r="AR100" s="257"/>
      <c r="AS100" s="257"/>
      <c r="AT100" s="257"/>
      <c r="AU100" s="257"/>
      <c r="AV100" s="257"/>
      <c r="AW100" s="257"/>
      <c r="AX100" s="256"/>
      <c r="AY100" s="253"/>
      <c r="BB100" s="257"/>
      <c r="BC100" s="256"/>
      <c r="BD100" s="253"/>
      <c r="LO100" s="255"/>
      <c r="MD100" s="251"/>
      <c r="NQ100" s="2082">
        <v>100</v>
      </c>
    </row>
    <row r="101" spans="1:381" ht="5.0999999999999996" customHeight="1" thickBot="1">
      <c r="A101" s="822"/>
      <c r="B101" s="822"/>
      <c r="C101" s="43"/>
      <c r="D101" s="43"/>
      <c r="E101" s="43"/>
      <c r="F101" s="43"/>
      <c r="G101" s="35"/>
      <c r="H101" s="48"/>
      <c r="I101" s="13"/>
      <c r="J101" s="35"/>
      <c r="K101" s="2713"/>
      <c r="L101" s="2713"/>
      <c r="M101" s="2713"/>
      <c r="N101" s="2713"/>
      <c r="O101" s="2713"/>
      <c r="P101" s="2713"/>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2082">
        <v>101</v>
      </c>
    </row>
    <row r="102" spans="1:381" ht="14.65" customHeight="1" thickBot="1">
      <c r="A102" s="6" t="s">
        <v>25</v>
      </c>
      <c r="B102" s="6" t="s">
        <v>1235</v>
      </c>
      <c r="C102" s="77"/>
      <c r="D102" s="77"/>
      <c r="E102" s="77"/>
      <c r="F102" s="77"/>
      <c r="G102" s="77"/>
      <c r="H102" s="40"/>
      <c r="I102" s="77"/>
      <c r="J102" s="77"/>
      <c r="K102" s="77"/>
      <c r="L102" s="3382" t="str">
        <f>O53</f>
        <v>40% of Units at 60% of AMI</v>
      </c>
      <c r="M102" s="3383"/>
      <c r="N102" s="3383"/>
      <c r="O102" s="3384"/>
      <c r="P102" s="35"/>
      <c r="S102" s="3" t="str">
        <f>B102</f>
        <v>UNIT SUMMARY (Continued)</v>
      </c>
      <c r="T102" s="3"/>
      <c r="U102" s="3"/>
      <c r="V102" s="3"/>
      <c r="AY102" s="253"/>
      <c r="BD102" s="253"/>
      <c r="LO102" s="255"/>
      <c r="MD102" s="251"/>
      <c r="NQ102" s="2080">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2"/>
      <c r="AY103" s="253"/>
      <c r="BD103" s="253"/>
      <c r="LO103" s="255"/>
      <c r="MD103" s="251"/>
      <c r="NQ103" s="2082">
        <v>103</v>
      </c>
    </row>
    <row r="104" spans="1:381" ht="13.5" customHeight="1">
      <c r="A104" s="822"/>
      <c r="B104" s="822"/>
      <c r="C104" s="229" t="s">
        <v>1236</v>
      </c>
      <c r="D104" s="229"/>
      <c r="E104" s="229"/>
      <c r="F104" s="43"/>
      <c r="G104" s="35"/>
      <c r="H104" s="48" t="s">
        <v>1214</v>
      </c>
      <c r="I104" s="13"/>
      <c r="J104" s="35"/>
      <c r="K104" s="824">
        <f>DY49</f>
        <v>0</v>
      </c>
      <c r="L104" s="825">
        <f>DZ49</f>
        <v>0</v>
      </c>
      <c r="M104" s="825">
        <f>EA49</f>
        <v>0</v>
      </c>
      <c r="N104" s="825">
        <f>EB49</f>
        <v>0</v>
      </c>
      <c r="O104" s="826">
        <f>EC49</f>
        <v>0</v>
      </c>
      <c r="P104" s="565">
        <f t="shared" ref="P104:P111" si="360">SUM(K104:O104)</f>
        <v>0</v>
      </c>
      <c r="S104" s="3365"/>
      <c r="T104" s="3366"/>
      <c r="U104" s="3366"/>
      <c r="V104" s="3366"/>
      <c r="W104" s="3367"/>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2082">
        <v>104</v>
      </c>
    </row>
    <row r="105" spans="1:381" ht="13.5" customHeight="1">
      <c r="A105" s="822"/>
      <c r="B105" s="822"/>
      <c r="C105" s="13" t="s">
        <v>1234</v>
      </c>
      <c r="D105" s="229"/>
      <c r="E105" s="229"/>
      <c r="F105" s="43"/>
      <c r="G105" s="35"/>
      <c r="H105" s="48" t="s">
        <v>1216</v>
      </c>
      <c r="I105" s="13"/>
      <c r="J105" s="35"/>
      <c r="K105" s="827">
        <f>DT49</f>
        <v>0</v>
      </c>
      <c r="L105" s="828">
        <f>DU49</f>
        <v>0</v>
      </c>
      <c r="M105" s="828">
        <f>DV49</f>
        <v>0</v>
      </c>
      <c r="N105" s="828">
        <f>DW49</f>
        <v>0</v>
      </c>
      <c r="O105" s="829">
        <f>DX49</f>
        <v>0</v>
      </c>
      <c r="P105" s="796">
        <f t="shared" si="360"/>
        <v>0</v>
      </c>
      <c r="S105" s="3359"/>
      <c r="T105" s="3360"/>
      <c r="U105" s="3360"/>
      <c r="V105" s="3360"/>
      <c r="W105" s="3361"/>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2082">
        <v>105</v>
      </c>
    </row>
    <row r="106" spans="1:381" ht="13.5" customHeight="1">
      <c r="A106" s="822"/>
      <c r="B106" s="822"/>
      <c r="C106" s="229"/>
      <c r="D106" s="229"/>
      <c r="E106" s="229"/>
      <c r="F106" s="43"/>
      <c r="G106" s="35"/>
      <c r="H106" s="48" t="s">
        <v>1217</v>
      </c>
      <c r="I106" s="13"/>
      <c r="J106" s="35"/>
      <c r="K106" s="827">
        <f>DO49</f>
        <v>0</v>
      </c>
      <c r="L106" s="828">
        <f>DP49</f>
        <v>0</v>
      </c>
      <c r="M106" s="828">
        <f>DQ49</f>
        <v>0</v>
      </c>
      <c r="N106" s="828">
        <f>DR49</f>
        <v>0</v>
      </c>
      <c r="O106" s="829">
        <f>DS49</f>
        <v>0</v>
      </c>
      <c r="P106" s="796">
        <f t="shared" si="360"/>
        <v>0</v>
      </c>
      <c r="S106" s="3359"/>
      <c r="T106" s="3360"/>
      <c r="U106" s="3360"/>
      <c r="V106" s="3360"/>
      <c r="W106" s="3361"/>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2082">
        <v>106</v>
      </c>
    </row>
    <row r="107" spans="1:381" ht="13.5" customHeight="1">
      <c r="A107" s="822"/>
      <c r="B107" s="822"/>
      <c r="C107" s="229"/>
      <c r="D107" s="229"/>
      <c r="E107" s="229"/>
      <c r="F107" s="43"/>
      <c r="G107" s="35"/>
      <c r="H107" s="48" t="s">
        <v>1218</v>
      </c>
      <c r="I107" s="13"/>
      <c r="J107" s="680"/>
      <c r="K107" s="839">
        <f>DJ49</f>
        <v>0</v>
      </c>
      <c r="L107" s="840">
        <f>DK49</f>
        <v>0</v>
      </c>
      <c r="M107" s="840">
        <f>DL49</f>
        <v>0</v>
      </c>
      <c r="N107" s="840">
        <f>DM49</f>
        <v>0</v>
      </c>
      <c r="O107" s="841">
        <f>DN49</f>
        <v>0</v>
      </c>
      <c r="P107" s="341">
        <f t="shared" si="360"/>
        <v>0</v>
      </c>
      <c r="S107" s="3359"/>
      <c r="T107" s="3360"/>
      <c r="U107" s="3360"/>
      <c r="V107" s="3360"/>
      <c r="W107" s="3361"/>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2082">
        <v>107</v>
      </c>
    </row>
    <row r="108" spans="1:381" ht="13.5" customHeight="1">
      <c r="A108" s="822"/>
      <c r="B108" s="822"/>
      <c r="C108" s="229"/>
      <c r="D108" s="229"/>
      <c r="E108" s="229"/>
      <c r="F108" s="43"/>
      <c r="G108" s="35"/>
      <c r="H108" s="48" t="s">
        <v>1219</v>
      </c>
      <c r="I108" s="13"/>
      <c r="J108" s="680"/>
      <c r="K108" s="827">
        <f>DE49</f>
        <v>0</v>
      </c>
      <c r="L108" s="828">
        <f>DF49</f>
        <v>0</v>
      </c>
      <c r="M108" s="828">
        <f>DG49</f>
        <v>0</v>
      </c>
      <c r="N108" s="828">
        <f>DH49</f>
        <v>0</v>
      </c>
      <c r="O108" s="829">
        <f>DI49</f>
        <v>0</v>
      </c>
      <c r="P108" s="796">
        <f t="shared" si="360"/>
        <v>0</v>
      </c>
      <c r="S108" s="3359"/>
      <c r="T108" s="3360"/>
      <c r="U108" s="3360"/>
      <c r="V108" s="3360"/>
      <c r="W108" s="3361"/>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2083">
        <v>108</v>
      </c>
    </row>
    <row r="109" spans="1:381" ht="13.5" customHeight="1">
      <c r="A109" s="822"/>
      <c r="B109" s="822"/>
      <c r="C109" s="229"/>
      <c r="D109" s="229"/>
      <c r="E109" s="229"/>
      <c r="F109" s="43"/>
      <c r="G109" s="35"/>
      <c r="H109" s="48" t="s">
        <v>1220</v>
      </c>
      <c r="I109" s="13"/>
      <c r="J109" s="35"/>
      <c r="K109" s="827">
        <f>CZ49</f>
        <v>0</v>
      </c>
      <c r="L109" s="828">
        <f>DA49</f>
        <v>0</v>
      </c>
      <c r="M109" s="828">
        <f>DB49</f>
        <v>0</v>
      </c>
      <c r="N109" s="828">
        <f>DC49</f>
        <v>0</v>
      </c>
      <c r="O109" s="829">
        <f>DD49</f>
        <v>0</v>
      </c>
      <c r="P109" s="796">
        <f t="shared" si="360"/>
        <v>0</v>
      </c>
      <c r="S109" s="3359"/>
      <c r="T109" s="3360"/>
      <c r="U109" s="3360"/>
      <c r="V109" s="3360"/>
      <c r="W109" s="3361"/>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2082">
        <v>109</v>
      </c>
    </row>
    <row r="110" spans="1:381" ht="13.5" customHeight="1">
      <c r="A110" s="822"/>
      <c r="B110" s="822"/>
      <c r="C110" s="229"/>
      <c r="D110" s="229"/>
      <c r="E110" s="229"/>
      <c r="F110" s="43"/>
      <c r="G110" s="35"/>
      <c r="H110" s="48" t="s">
        <v>1221</v>
      </c>
      <c r="I110" s="13"/>
      <c r="J110" s="35"/>
      <c r="K110" s="830">
        <f>CU49</f>
        <v>0</v>
      </c>
      <c r="L110" s="831">
        <f>CV49</f>
        <v>0</v>
      </c>
      <c r="M110" s="831">
        <f>CW49</f>
        <v>0</v>
      </c>
      <c r="N110" s="831">
        <f>CX49</f>
        <v>0</v>
      </c>
      <c r="O110" s="832">
        <f>CY49</f>
        <v>0</v>
      </c>
      <c r="P110" s="566">
        <f t="shared" si="360"/>
        <v>0</v>
      </c>
      <c r="S110" s="3359"/>
      <c r="T110" s="3360"/>
      <c r="U110" s="3360"/>
      <c r="V110" s="3360"/>
      <c r="W110" s="3361"/>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2080">
        <v>110</v>
      </c>
    </row>
    <row r="111" spans="1:381" ht="15" customHeight="1">
      <c r="A111" s="822"/>
      <c r="B111" s="822"/>
      <c r="C111" s="35"/>
      <c r="D111" s="43"/>
      <c r="E111" s="48"/>
      <c r="F111" s="43"/>
      <c r="G111" s="35"/>
      <c r="H111" s="92" t="s">
        <v>299</v>
      </c>
      <c r="I111" s="38"/>
      <c r="J111" s="35"/>
      <c r="K111" s="2712">
        <f>SUM(K104:K110)</f>
        <v>0</v>
      </c>
      <c r="L111" s="2712">
        <f>SUM(L104:L110)</f>
        <v>0</v>
      </c>
      <c r="M111" s="2712">
        <f>SUM(M104:M110)</f>
        <v>0</v>
      </c>
      <c r="N111" s="2712">
        <f>SUM(N104:N110)</f>
        <v>0</v>
      </c>
      <c r="O111" s="2712">
        <f>SUM(O104:O110)</f>
        <v>0</v>
      </c>
      <c r="P111" s="2712">
        <f t="shared" si="360"/>
        <v>0</v>
      </c>
      <c r="S111" s="3371"/>
      <c r="T111" s="3372"/>
      <c r="U111" s="3372"/>
      <c r="V111" s="3372"/>
      <c r="W111" s="3373"/>
      <c r="X111" s="1317"/>
      <c r="AA111" s="253"/>
      <c r="AB111" s="256"/>
      <c r="AC111" s="1317"/>
      <c r="AF111" s="253"/>
      <c r="AG111" s="256"/>
      <c r="AH111" s="1317"/>
      <c r="AK111" s="253"/>
      <c r="AL111" s="256"/>
      <c r="AM111" s="1317"/>
      <c r="AP111" s="253"/>
      <c r="AQ111" s="256"/>
      <c r="AR111" s="257"/>
      <c r="AS111" s="257"/>
      <c r="AT111" s="257"/>
      <c r="AU111" s="257"/>
      <c r="AV111" s="257"/>
      <c r="AW111" s="257"/>
      <c r="AX111" s="256"/>
      <c r="AY111" s="253"/>
      <c r="BB111" s="257"/>
      <c r="BC111" s="256"/>
      <c r="BD111" s="253"/>
      <c r="LO111" s="255"/>
      <c r="MD111" s="251"/>
      <c r="NQ111" s="2082">
        <v>111</v>
      </c>
    </row>
    <row r="112" spans="1:381" ht="9" customHeight="1">
      <c r="A112" s="822"/>
      <c r="B112" s="822"/>
      <c r="C112" s="77"/>
      <c r="D112" s="506"/>
      <c r="E112" s="48"/>
      <c r="F112" s="43"/>
      <c r="G112" s="35"/>
      <c r="H112" s="48"/>
      <c r="I112" s="13"/>
      <c r="J112" s="35"/>
      <c r="K112" s="2713"/>
      <c r="L112" s="2713"/>
      <c r="M112" s="2713"/>
      <c r="N112" s="2713"/>
      <c r="O112" s="2713"/>
      <c r="P112" s="2713"/>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2082">
        <v>112</v>
      </c>
    </row>
    <row r="113" spans="1:381" ht="12.95" customHeight="1">
      <c r="A113" s="822"/>
      <c r="B113" s="822"/>
      <c r="C113" s="3364" t="s">
        <v>1237</v>
      </c>
      <c r="D113" s="3364"/>
      <c r="E113" s="48" t="s">
        <v>1238</v>
      </c>
      <c r="F113" s="43"/>
      <c r="G113" s="35"/>
      <c r="H113" s="48" t="s">
        <v>1239</v>
      </c>
      <c r="I113" s="13"/>
      <c r="J113" s="35"/>
      <c r="K113" s="836">
        <f>GG49</f>
        <v>0</v>
      </c>
      <c r="L113" s="837">
        <f>GH49</f>
        <v>37</v>
      </c>
      <c r="M113" s="837">
        <f>GI49</f>
        <v>15</v>
      </c>
      <c r="N113" s="837">
        <f>GJ49</f>
        <v>0</v>
      </c>
      <c r="O113" s="838">
        <f>GK49</f>
        <v>0</v>
      </c>
      <c r="P113" s="565">
        <f t="shared" ref="P113:P123" si="361">SUM(K113:O113)</f>
        <v>52</v>
      </c>
      <c r="S113" s="3365"/>
      <c r="T113" s="3366"/>
      <c r="U113" s="3366"/>
      <c r="V113" s="3366"/>
      <c r="W113" s="3367"/>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2080">
        <v>113</v>
      </c>
    </row>
    <row r="114" spans="1:381" ht="12.95" customHeight="1">
      <c r="A114" s="822"/>
      <c r="B114" s="822"/>
      <c r="C114" s="3364"/>
      <c r="D114" s="3364"/>
      <c r="E114" s="48"/>
      <c r="F114" s="43"/>
      <c r="G114" s="35"/>
      <c r="H114" s="48" t="s">
        <v>1150</v>
      </c>
      <c r="I114" s="13"/>
      <c r="J114" s="35"/>
      <c r="K114" s="2708">
        <f>GL49</f>
        <v>0</v>
      </c>
      <c r="L114" s="2709">
        <f>GM49</f>
        <v>4</v>
      </c>
      <c r="M114" s="2709">
        <f>GN49</f>
        <v>2</v>
      </c>
      <c r="N114" s="2709">
        <f>GO49</f>
        <v>0</v>
      </c>
      <c r="O114" s="2710">
        <f>GP49</f>
        <v>0</v>
      </c>
      <c r="P114" s="566">
        <f t="shared" si="361"/>
        <v>6</v>
      </c>
      <c r="S114" s="3359"/>
      <c r="T114" s="3360"/>
      <c r="U114" s="3360"/>
      <c r="V114" s="3360"/>
      <c r="W114" s="3361"/>
      <c r="X114" s="253"/>
      <c r="AA114" s="253"/>
      <c r="AB114" s="256"/>
      <c r="AC114" s="253"/>
      <c r="AF114" s="253"/>
      <c r="AG114" s="256"/>
      <c r="AH114" s="253"/>
      <c r="AK114" s="253"/>
      <c r="AL114" s="256"/>
      <c r="AM114" s="253"/>
      <c r="AP114" s="253"/>
      <c r="AQ114" s="256"/>
      <c r="AR114" s="257"/>
      <c r="AS114" s="257"/>
      <c r="AT114" s="257"/>
      <c r="AU114" s="257"/>
      <c r="AV114" s="257"/>
      <c r="AW114" s="257"/>
      <c r="AX114" s="612"/>
      <c r="AY114" s="253"/>
      <c r="BB114" s="257"/>
      <c r="BC114" s="612"/>
      <c r="BD114" s="253"/>
      <c r="LO114" s="255"/>
      <c r="MD114" s="251"/>
      <c r="NQ114" s="2082">
        <v>114</v>
      </c>
    </row>
    <row r="115" spans="1:381" ht="14.25" customHeight="1">
      <c r="A115" s="822"/>
      <c r="B115" s="822"/>
      <c r="C115" s="3364"/>
      <c r="D115" s="3364"/>
      <c r="E115" s="48"/>
      <c r="F115" s="43"/>
      <c r="G115" s="35"/>
      <c r="H115" s="92" t="s">
        <v>1240</v>
      </c>
      <c r="I115" s="497" t="s">
        <v>1241</v>
      </c>
      <c r="J115" s="1712">
        <f>IF($P$67=0,0,P115/$P$67)</f>
        <v>1</v>
      </c>
      <c r="K115" s="797">
        <f>SUM(K113:K114)+GQ49</f>
        <v>0</v>
      </c>
      <c r="L115" s="797">
        <f>SUM(L113:L114)+GR49</f>
        <v>41</v>
      </c>
      <c r="M115" s="797">
        <f>SUM(M113:M114)+GS49</f>
        <v>17</v>
      </c>
      <c r="N115" s="797">
        <f>SUM(N113:N114)+GT49</f>
        <v>0</v>
      </c>
      <c r="O115" s="797">
        <f>SUM(O113:O114)+GU49</f>
        <v>0</v>
      </c>
      <c r="P115" s="797">
        <f t="shared" si="361"/>
        <v>58</v>
      </c>
      <c r="S115" s="3359"/>
      <c r="T115" s="3360"/>
      <c r="U115" s="3360"/>
      <c r="V115" s="3360"/>
      <c r="W115" s="3361"/>
      <c r="X115" s="1317"/>
      <c r="AA115" s="253"/>
      <c r="AB115" s="256"/>
      <c r="AC115" s="1317"/>
      <c r="AF115" s="253"/>
      <c r="AG115" s="256"/>
      <c r="AH115" s="1317"/>
      <c r="AK115" s="253"/>
      <c r="AL115" s="256"/>
      <c r="AM115" s="1317"/>
      <c r="AP115" s="253"/>
      <c r="AQ115" s="256"/>
      <c r="AR115" s="257"/>
      <c r="AS115" s="257"/>
      <c r="AT115" s="257"/>
      <c r="AU115" s="257"/>
      <c r="AV115" s="257"/>
      <c r="AW115" s="257"/>
      <c r="AX115" s="256"/>
      <c r="AY115" s="253"/>
      <c r="BB115" s="257"/>
      <c r="BC115" s="256"/>
      <c r="BD115" s="253"/>
      <c r="LO115" s="255"/>
      <c r="MD115" s="251"/>
      <c r="NQ115" s="2082">
        <v>115</v>
      </c>
    </row>
    <row r="116" spans="1:381" ht="12.95" customHeight="1">
      <c r="A116" s="822"/>
      <c r="B116" s="822"/>
      <c r="C116" s="3364"/>
      <c r="D116" s="3364"/>
      <c r="E116" s="48" t="s">
        <v>1242</v>
      </c>
      <c r="F116" s="43"/>
      <c r="G116" s="35"/>
      <c r="H116" s="48" t="s">
        <v>1239</v>
      </c>
      <c r="I116" s="13"/>
      <c r="J116" s="35"/>
      <c r="K116" s="836">
        <f>GV49</f>
        <v>0</v>
      </c>
      <c r="L116" s="837">
        <f>GW49</f>
        <v>0</v>
      </c>
      <c r="M116" s="837">
        <f>GX49</f>
        <v>0</v>
      </c>
      <c r="N116" s="837">
        <f>GY49</f>
        <v>0</v>
      </c>
      <c r="O116" s="838">
        <f>GZ49</f>
        <v>0</v>
      </c>
      <c r="P116" s="565">
        <f t="shared" si="361"/>
        <v>0</v>
      </c>
      <c r="S116" s="3359"/>
      <c r="T116" s="3360"/>
      <c r="U116" s="3360"/>
      <c r="V116" s="3360"/>
      <c r="W116" s="3361"/>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2082">
        <v>116</v>
      </c>
    </row>
    <row r="117" spans="1:381" ht="12.95" customHeight="1">
      <c r="A117" s="822"/>
      <c r="B117" s="822"/>
      <c r="C117" s="3364"/>
      <c r="D117" s="3364"/>
      <c r="E117" s="48"/>
      <c r="F117" s="43"/>
      <c r="G117" s="35"/>
      <c r="H117" s="48" t="s">
        <v>1150</v>
      </c>
      <c r="I117" s="13"/>
      <c r="J117" s="35"/>
      <c r="K117" s="2708">
        <f>HA49</f>
        <v>0</v>
      </c>
      <c r="L117" s="2709">
        <f>HB49</f>
        <v>0</v>
      </c>
      <c r="M117" s="2709">
        <f>HC49</f>
        <v>0</v>
      </c>
      <c r="N117" s="2709">
        <f>HD49</f>
        <v>0</v>
      </c>
      <c r="O117" s="2710">
        <f>HE49</f>
        <v>0</v>
      </c>
      <c r="P117" s="566">
        <f t="shared" si="361"/>
        <v>0</v>
      </c>
      <c r="S117" s="3359"/>
      <c r="T117" s="3360"/>
      <c r="U117" s="3360"/>
      <c r="V117" s="3360"/>
      <c r="W117" s="3361"/>
      <c r="X117" s="253"/>
      <c r="AA117" s="253"/>
      <c r="AB117" s="256"/>
      <c r="AC117" s="253"/>
      <c r="AF117" s="253"/>
      <c r="AG117" s="256"/>
      <c r="AH117" s="253"/>
      <c r="AK117" s="253"/>
      <c r="AL117" s="256"/>
      <c r="AM117" s="253"/>
      <c r="AP117" s="253"/>
      <c r="AQ117" s="256"/>
      <c r="AR117" s="257"/>
      <c r="AS117" s="257"/>
      <c r="AT117" s="257"/>
      <c r="AU117" s="257"/>
      <c r="AV117" s="257"/>
      <c r="AW117" s="257"/>
      <c r="AX117" s="612"/>
      <c r="AY117" s="253"/>
      <c r="BB117" s="257"/>
      <c r="BC117" s="612"/>
      <c r="BD117" s="253"/>
      <c r="LO117" s="255"/>
      <c r="MD117" s="251"/>
      <c r="NQ117" s="2082">
        <v>117</v>
      </c>
    </row>
    <row r="118" spans="1:381" ht="14.25" customHeight="1">
      <c r="A118" s="822"/>
      <c r="B118" s="822"/>
      <c r="C118" s="3364"/>
      <c r="D118" s="3364"/>
      <c r="E118" s="48"/>
      <c r="F118" s="43"/>
      <c r="G118" s="35"/>
      <c r="H118" s="92" t="s">
        <v>1240</v>
      </c>
      <c r="I118" s="497" t="s">
        <v>1241</v>
      </c>
      <c r="J118" s="1712">
        <f>IF($P$67=0,0,P118/$P$67)</f>
        <v>0</v>
      </c>
      <c r="K118" s="797">
        <f>SUM(K116:K117)+HF49</f>
        <v>0</v>
      </c>
      <c r="L118" s="797">
        <f>SUM(L116:L117)+HG49</f>
        <v>0</v>
      </c>
      <c r="M118" s="797">
        <f>SUM(M116:M117)+HH49</f>
        <v>0</v>
      </c>
      <c r="N118" s="797">
        <f>SUM(N116:N117)+HI49</f>
        <v>0</v>
      </c>
      <c r="O118" s="797">
        <f>SUM(O116:O117)+HJ49</f>
        <v>0</v>
      </c>
      <c r="P118" s="797">
        <f t="shared" si="361"/>
        <v>0</v>
      </c>
      <c r="S118" s="3359"/>
      <c r="T118" s="3360"/>
      <c r="U118" s="3360"/>
      <c r="V118" s="3360"/>
      <c r="W118" s="3361"/>
      <c r="X118" s="1317"/>
      <c r="AA118" s="253"/>
      <c r="AB118" s="256"/>
      <c r="AC118" s="1317"/>
      <c r="AF118" s="253"/>
      <c r="AG118" s="256"/>
      <c r="AH118" s="1317"/>
      <c r="AK118" s="253"/>
      <c r="AL118" s="256"/>
      <c r="AM118" s="1317"/>
      <c r="AP118" s="253"/>
      <c r="AQ118" s="256"/>
      <c r="AR118" s="257"/>
      <c r="AS118" s="257"/>
      <c r="AT118" s="257"/>
      <c r="AU118" s="257"/>
      <c r="AV118" s="257"/>
      <c r="AW118" s="257"/>
      <c r="AX118" s="256"/>
      <c r="AY118" s="253"/>
      <c r="BB118" s="257"/>
      <c r="BC118" s="256"/>
      <c r="BD118" s="253"/>
      <c r="LO118" s="255"/>
      <c r="MD118" s="251"/>
      <c r="NQ118" s="2082">
        <v>118</v>
      </c>
    </row>
    <row r="119" spans="1:381" ht="12.95" customHeight="1">
      <c r="A119" s="822"/>
      <c r="B119" s="822"/>
      <c r="C119" s="525"/>
      <c r="D119" s="43"/>
      <c r="E119" s="3440" t="s">
        <v>1243</v>
      </c>
      <c r="F119" s="3440"/>
      <c r="G119" s="35"/>
      <c r="H119" s="48" t="s">
        <v>1239</v>
      </c>
      <c r="I119" s="13"/>
      <c r="J119" s="35"/>
      <c r="K119" s="836">
        <f>HK49</f>
        <v>0</v>
      </c>
      <c r="L119" s="837">
        <f>HL49</f>
        <v>0</v>
      </c>
      <c r="M119" s="837">
        <f>HM49</f>
        <v>0</v>
      </c>
      <c r="N119" s="837">
        <f>HN49</f>
        <v>0</v>
      </c>
      <c r="O119" s="838">
        <f>HO49</f>
        <v>0</v>
      </c>
      <c r="P119" s="565">
        <f t="shared" si="361"/>
        <v>0</v>
      </c>
      <c r="S119" s="3359"/>
      <c r="T119" s="3360"/>
      <c r="U119" s="3360"/>
      <c r="V119" s="3360"/>
      <c r="W119" s="3361"/>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2083">
        <v>119</v>
      </c>
    </row>
    <row r="120" spans="1:381" ht="12.95" customHeight="1">
      <c r="A120" s="822"/>
      <c r="B120" s="822"/>
      <c r="C120" s="525"/>
      <c r="D120" s="43"/>
      <c r="E120" s="3440"/>
      <c r="F120" s="3440"/>
      <c r="G120" s="35"/>
      <c r="H120" s="48" t="s">
        <v>1150</v>
      </c>
      <c r="I120" s="13"/>
      <c r="J120" s="35"/>
      <c r="K120" s="2708">
        <f>HP49</f>
        <v>0</v>
      </c>
      <c r="L120" s="2709">
        <f>HQ49</f>
        <v>0</v>
      </c>
      <c r="M120" s="2709">
        <f>HR49</f>
        <v>0</v>
      </c>
      <c r="N120" s="2709">
        <f>HS49</f>
        <v>0</v>
      </c>
      <c r="O120" s="2710">
        <f>HT49</f>
        <v>0</v>
      </c>
      <c r="P120" s="566">
        <f t="shared" si="361"/>
        <v>0</v>
      </c>
      <c r="S120" s="3359"/>
      <c r="T120" s="3360"/>
      <c r="U120" s="3360"/>
      <c r="V120" s="3360"/>
      <c r="W120" s="3361"/>
      <c r="X120" s="253"/>
      <c r="AA120" s="253"/>
      <c r="AB120" s="256"/>
      <c r="AC120" s="253"/>
      <c r="AF120" s="253"/>
      <c r="AG120" s="256"/>
      <c r="AH120" s="253"/>
      <c r="AK120" s="253"/>
      <c r="AL120" s="256"/>
      <c r="AM120" s="253"/>
      <c r="AP120" s="253"/>
      <c r="AQ120" s="256"/>
      <c r="AR120" s="257"/>
      <c r="AS120" s="257"/>
      <c r="AT120" s="257"/>
      <c r="AU120" s="257"/>
      <c r="AV120" s="257"/>
      <c r="AW120" s="257"/>
      <c r="AX120" s="612"/>
      <c r="AY120" s="253"/>
      <c r="BB120" s="257"/>
      <c r="BC120" s="612"/>
      <c r="BD120" s="253"/>
      <c r="LO120" s="255"/>
      <c r="MD120" s="251"/>
      <c r="NQ120" s="2082">
        <v>120</v>
      </c>
    </row>
    <row r="121" spans="1:381" ht="14.25" customHeight="1">
      <c r="A121" s="822"/>
      <c r="B121" s="822"/>
      <c r="C121" s="525"/>
      <c r="D121" s="43"/>
      <c r="E121" s="48"/>
      <c r="F121" s="43"/>
      <c r="G121" s="35"/>
      <c r="H121" s="92" t="s">
        <v>1240</v>
      </c>
      <c r="I121" s="497" t="s">
        <v>1241</v>
      </c>
      <c r="J121" s="1712">
        <f>IF($P$67=0,0,P121/$P$67)</f>
        <v>0</v>
      </c>
      <c r="K121" s="797">
        <f>SUM(K119:K120)+HU49</f>
        <v>0</v>
      </c>
      <c r="L121" s="797">
        <f>SUM(L119:L120)+HV49</f>
        <v>0</v>
      </c>
      <c r="M121" s="797">
        <f>SUM(M119:M120)+HW49</f>
        <v>0</v>
      </c>
      <c r="N121" s="797">
        <f>SUM(N119:N120)+HX49</f>
        <v>0</v>
      </c>
      <c r="O121" s="797">
        <f>SUM(O119:O120)+HY49</f>
        <v>0</v>
      </c>
      <c r="P121" s="797">
        <f t="shared" si="361"/>
        <v>0</v>
      </c>
      <c r="S121" s="3359"/>
      <c r="T121" s="3360"/>
      <c r="U121" s="3360"/>
      <c r="V121" s="3360"/>
      <c r="W121" s="3361"/>
      <c r="X121" s="1317"/>
      <c r="AA121" s="253"/>
      <c r="AB121" s="256"/>
      <c r="AC121" s="1317"/>
      <c r="AF121" s="253"/>
      <c r="AG121" s="256"/>
      <c r="AH121" s="1317"/>
      <c r="AK121" s="253"/>
      <c r="AL121" s="256"/>
      <c r="AM121" s="1317"/>
      <c r="AP121" s="253"/>
      <c r="AQ121" s="256"/>
      <c r="AR121" s="257"/>
      <c r="AS121" s="257"/>
      <c r="AT121" s="257"/>
      <c r="AU121" s="257"/>
      <c r="AV121" s="257"/>
      <c r="AW121" s="257"/>
      <c r="AX121" s="256"/>
      <c r="AY121" s="253"/>
      <c r="BB121" s="257"/>
      <c r="BC121" s="256"/>
      <c r="BD121" s="253"/>
      <c r="LO121" s="255"/>
      <c r="MD121" s="251"/>
      <c r="NQ121" s="2080">
        <v>121</v>
      </c>
    </row>
    <row r="122" spans="1:381" ht="14.25" customHeight="1">
      <c r="A122" s="822"/>
      <c r="B122" s="822"/>
      <c r="C122" s="525"/>
      <c r="D122" s="43"/>
      <c r="E122" s="48" t="s">
        <v>1244</v>
      </c>
      <c r="F122" s="43"/>
      <c r="G122" s="98"/>
      <c r="H122" s="54"/>
      <c r="I122" s="35"/>
      <c r="J122" s="35"/>
      <c r="K122" s="2714"/>
      <c r="L122" s="2714"/>
      <c r="M122" s="2714"/>
      <c r="N122" s="2714"/>
      <c r="O122" s="2714"/>
      <c r="P122" s="2715">
        <f t="shared" si="361"/>
        <v>0</v>
      </c>
      <c r="S122" s="3359"/>
      <c r="T122" s="3360"/>
      <c r="U122" s="3360"/>
      <c r="V122" s="3360"/>
      <c r="W122" s="3361"/>
      <c r="X122" s="253"/>
      <c r="AA122" s="253"/>
      <c r="AB122" s="256"/>
      <c r="AC122" s="253"/>
      <c r="AF122" s="253"/>
      <c r="AG122" s="256"/>
      <c r="AH122" s="253"/>
      <c r="AK122" s="253"/>
      <c r="AL122" s="256"/>
      <c r="AM122" s="253"/>
      <c r="AP122" s="253"/>
      <c r="AQ122" s="256"/>
      <c r="AR122" s="257"/>
      <c r="AS122" s="257"/>
      <c r="AT122" s="257"/>
      <c r="AU122" s="257"/>
      <c r="AV122" s="257"/>
      <c r="AW122" s="257"/>
      <c r="AX122" s="612"/>
      <c r="AY122" s="253"/>
      <c r="BB122" s="257"/>
      <c r="BC122" s="612"/>
      <c r="BD122" s="253"/>
      <c r="LO122" s="255"/>
      <c r="MD122" s="251"/>
      <c r="NQ122" s="2082">
        <v>122</v>
      </c>
    </row>
    <row r="123" spans="1:381" ht="14.25" customHeight="1">
      <c r="A123" s="3441" t="str">
        <f>IF(AND('Part III-A-Uses of Funds'!$T$179="Yes",'Part VIII Scoring Criteria'!$O$339&gt;0,P123&lt;1),"SHOW HISTORIC UNITS HERE &gt;&gt;&gt;&gt;","")</f>
        <v/>
      </c>
      <c r="B123" s="3441"/>
      <c r="C123" s="3441"/>
      <c r="D123" s="3441"/>
      <c r="E123" s="276" t="s">
        <v>1245</v>
      </c>
      <c r="F123" s="43"/>
      <c r="G123" s="98"/>
      <c r="H123" s="54"/>
      <c r="I123" s="35"/>
      <c r="J123" s="35"/>
      <c r="K123" s="2716"/>
      <c r="L123" s="2716"/>
      <c r="M123" s="2716"/>
      <c r="N123" s="2716"/>
      <c r="O123" s="2716"/>
      <c r="P123" s="2717">
        <f t="shared" si="361"/>
        <v>0</v>
      </c>
      <c r="S123" s="3359"/>
      <c r="T123" s="3360"/>
      <c r="U123" s="3360"/>
      <c r="V123" s="3360"/>
      <c r="W123" s="3361"/>
      <c r="X123" s="253"/>
      <c r="AA123" s="253"/>
      <c r="AB123" s="256"/>
      <c r="AC123" s="253"/>
      <c r="AF123" s="253"/>
      <c r="AG123" s="256"/>
      <c r="AH123" s="253"/>
      <c r="AK123" s="253"/>
      <c r="AL123" s="256"/>
      <c r="AM123" s="253"/>
      <c r="AP123" s="253"/>
      <c r="AQ123" s="256"/>
      <c r="AR123" s="257"/>
      <c r="AS123" s="257"/>
      <c r="AT123" s="257"/>
      <c r="AU123" s="257"/>
      <c r="AV123" s="257"/>
      <c r="AW123" s="257"/>
      <c r="AX123" s="612"/>
      <c r="AY123" s="253"/>
      <c r="BB123" s="257"/>
      <c r="BC123" s="612"/>
      <c r="BD123" s="253"/>
      <c r="LO123" s="255"/>
      <c r="MD123" s="251"/>
      <c r="NQ123" s="2082">
        <v>123</v>
      </c>
    </row>
    <row r="124" spans="1:381" ht="9" customHeight="1">
      <c r="A124" s="623"/>
      <c r="B124" s="623"/>
      <c r="C124" s="623"/>
      <c r="D124" s="623"/>
      <c r="E124" s="276"/>
      <c r="F124" s="43"/>
      <c r="G124" s="98"/>
      <c r="H124" s="54"/>
      <c r="I124" s="35"/>
      <c r="J124" s="35"/>
      <c r="K124" s="13"/>
      <c r="L124" s="13"/>
      <c r="M124" s="13"/>
      <c r="N124" s="13"/>
      <c r="O124" s="13"/>
      <c r="P124" s="13"/>
      <c r="S124" s="3359"/>
      <c r="T124" s="3360"/>
      <c r="U124" s="3360"/>
      <c r="V124" s="3360"/>
      <c r="W124" s="3361"/>
      <c r="X124" s="253"/>
      <c r="AA124" s="253"/>
      <c r="AB124" s="256"/>
      <c r="AC124" s="253"/>
      <c r="AF124" s="253"/>
      <c r="AG124" s="256"/>
      <c r="AH124" s="253"/>
      <c r="AK124" s="253"/>
      <c r="AL124" s="256"/>
      <c r="AM124" s="253"/>
      <c r="AP124" s="253"/>
      <c r="AQ124" s="256"/>
      <c r="AR124" s="257"/>
      <c r="AS124" s="257"/>
      <c r="AT124" s="257"/>
      <c r="AU124" s="257"/>
      <c r="AV124" s="257"/>
      <c r="AW124" s="257"/>
      <c r="AX124" s="612"/>
      <c r="AY124" s="253"/>
      <c r="BB124" s="257"/>
      <c r="BC124" s="612"/>
      <c r="BD124" s="253"/>
      <c r="LO124" s="255"/>
      <c r="MD124" s="251"/>
      <c r="NQ124" s="2080">
        <v>124</v>
      </c>
    </row>
    <row r="125" spans="1:381" ht="13.5" customHeight="1">
      <c r="A125" s="623"/>
      <c r="B125" s="623"/>
      <c r="C125" s="623"/>
      <c r="D125" s="623"/>
      <c r="E125" s="48" t="s">
        <v>1246</v>
      </c>
      <c r="F125" s="43"/>
      <c r="G125" s="98"/>
      <c r="H125" s="54"/>
      <c r="I125" s="35"/>
      <c r="J125" s="35"/>
      <c r="K125" s="2718">
        <f>K133+K137+K141+K143+K145+K147</f>
        <v>0</v>
      </c>
      <c r="L125" s="2719">
        <f>L133+L137+L141+L143+L145+L147</f>
        <v>0</v>
      </c>
      <c r="M125" s="2719">
        <f>M133+M137+M141+M143+M145+M147</f>
        <v>0</v>
      </c>
      <c r="N125" s="2719">
        <f>N133+N137+N141+N143+N145+N147</f>
        <v>0</v>
      </c>
      <c r="O125" s="2720">
        <f>O133+O137+O141+O143+O145+O147</f>
        <v>0</v>
      </c>
      <c r="P125" s="2721">
        <f>SUM(K125:O125)</f>
        <v>0</v>
      </c>
      <c r="S125" s="3371"/>
      <c r="T125" s="3372"/>
      <c r="U125" s="3372"/>
      <c r="V125" s="3372"/>
      <c r="W125" s="3373"/>
      <c r="X125" s="253"/>
      <c r="AA125" s="253"/>
      <c r="AB125" s="256"/>
      <c r="AC125" s="253"/>
      <c r="AF125" s="253"/>
      <c r="AG125" s="256"/>
      <c r="AH125" s="253"/>
      <c r="AK125" s="253"/>
      <c r="AL125" s="256"/>
      <c r="AM125" s="253"/>
      <c r="AP125" s="253"/>
      <c r="AQ125" s="256"/>
      <c r="AR125" s="257"/>
      <c r="AS125" s="257"/>
      <c r="AT125" s="257"/>
      <c r="AU125" s="257"/>
      <c r="AV125" s="257"/>
      <c r="AW125" s="257"/>
      <c r="AX125" s="612"/>
      <c r="AY125" s="253"/>
      <c r="BB125" s="257"/>
      <c r="BC125" s="612"/>
      <c r="BD125" s="253"/>
      <c r="LO125" s="255"/>
      <c r="MD125" s="251"/>
      <c r="NQ125" s="2082">
        <v>125</v>
      </c>
    </row>
    <row r="126" spans="1:381" ht="14.25" customHeight="1">
      <c r="A126" s="77"/>
      <c r="B126" s="77"/>
      <c r="C126" s="77"/>
      <c r="D126" s="43"/>
      <c r="E126" s="48"/>
      <c r="F126" s="43"/>
      <c r="G126" s="98"/>
      <c r="H126" s="54"/>
      <c r="I126" s="35"/>
      <c r="J126" s="35"/>
      <c r="K126" s="2713"/>
      <c r="L126" s="2713"/>
      <c r="M126" s="2713"/>
      <c r="N126" s="2713"/>
      <c r="O126" s="2713"/>
      <c r="P126" s="2713"/>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2082">
        <v>126</v>
      </c>
    </row>
    <row r="127" spans="1:381" ht="13.5" customHeight="1">
      <c r="A127" s="77"/>
      <c r="B127" s="77"/>
      <c r="C127" s="3364" t="s">
        <v>1247</v>
      </c>
      <c r="D127" s="3364"/>
      <c r="E127" s="48" t="s">
        <v>1248</v>
      </c>
      <c r="F127" s="43"/>
      <c r="G127" s="98"/>
      <c r="H127" s="54"/>
      <c r="I127" s="35"/>
      <c r="J127" s="35"/>
      <c r="K127" s="2722" t="s">
        <v>362</v>
      </c>
      <c r="L127" s="43" t="s">
        <v>1249</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2082">
        <v>127</v>
      </c>
    </row>
    <row r="128" spans="1:381" ht="13.5" customHeight="1">
      <c r="A128" s="77"/>
      <c r="B128" s="77"/>
      <c r="C128" s="3364"/>
      <c r="D128" s="3364"/>
      <c r="E128" s="48"/>
      <c r="F128" s="77"/>
      <c r="G128" s="77"/>
      <c r="H128" s="77"/>
      <c r="I128" s="77"/>
      <c r="J128" s="77"/>
      <c r="K128" s="2723" t="s">
        <v>56</v>
      </c>
      <c r="L128" s="3364" t="s">
        <v>1250</v>
      </c>
      <c r="M128" s="3364"/>
      <c r="N128" s="3364"/>
      <c r="O128" s="3364"/>
      <c r="P128" s="3364"/>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2082">
        <v>128</v>
      </c>
    </row>
    <row r="129" spans="3:493" ht="14.25" customHeight="1">
      <c r="C129" s="3364"/>
      <c r="D129" s="3364"/>
      <c r="E129" s="48"/>
      <c r="F129" s="77"/>
      <c r="G129" s="77"/>
      <c r="H129" s="77"/>
      <c r="I129" s="77"/>
      <c r="J129" s="77"/>
      <c r="K129" s="2713"/>
      <c r="L129" s="3364"/>
      <c r="M129" s="3364"/>
      <c r="N129" s="3364"/>
      <c r="O129" s="3364"/>
      <c r="P129" s="3364"/>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2082">
        <v>129</v>
      </c>
    </row>
    <row r="130" spans="3:493" ht="14.25" customHeight="1">
      <c r="C130" s="77"/>
      <c r="D130" s="43"/>
      <c r="E130" s="48"/>
      <c r="F130" s="43"/>
      <c r="G130" s="98"/>
      <c r="H130" s="54"/>
      <c r="I130" s="35"/>
      <c r="J130" s="35"/>
      <c r="K130" s="2713"/>
      <c r="L130" s="2713"/>
      <c r="M130" s="2713"/>
      <c r="N130" s="2713"/>
      <c r="O130" s="2713"/>
      <c r="P130" s="2713"/>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2083">
        <v>130</v>
      </c>
    </row>
    <row r="131" spans="3:493" ht="14.25" customHeight="1">
      <c r="C131" s="3363" t="s">
        <v>1251</v>
      </c>
      <c r="D131" s="3363"/>
      <c r="E131" s="676" t="s">
        <v>667</v>
      </c>
      <c r="F131" s="2724"/>
      <c r="G131" s="677"/>
      <c r="H131" s="1069"/>
      <c r="I131" s="678"/>
      <c r="J131" s="679"/>
      <c r="K131" s="833">
        <f t="shared" ref="K131:P131" si="362">SUM(K132:K139)</f>
        <v>0</v>
      </c>
      <c r="L131" s="834">
        <f t="shared" si="362"/>
        <v>41</v>
      </c>
      <c r="M131" s="834">
        <f t="shared" si="362"/>
        <v>17</v>
      </c>
      <c r="N131" s="834">
        <f t="shared" si="362"/>
        <v>0</v>
      </c>
      <c r="O131" s="835">
        <f t="shared" si="362"/>
        <v>0</v>
      </c>
      <c r="P131" s="798">
        <f t="shared" si="362"/>
        <v>58</v>
      </c>
      <c r="S131" s="3365"/>
      <c r="T131" s="3366"/>
      <c r="U131" s="3366"/>
      <c r="V131" s="3366"/>
      <c r="W131" s="3367"/>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2082">
        <v>131</v>
      </c>
    </row>
    <row r="132" spans="3:493" ht="14.25" customHeight="1">
      <c r="C132" s="3364"/>
      <c r="D132" s="3364"/>
      <c r="E132" s="48"/>
      <c r="F132" s="43"/>
      <c r="G132" s="35"/>
      <c r="H132" s="1037" t="s">
        <v>1252</v>
      </c>
      <c r="I132" s="16"/>
      <c r="J132" s="680"/>
      <c r="K132" s="827">
        <f>JS49</f>
        <v>0</v>
      </c>
      <c r="L132" s="828">
        <f>JT49</f>
        <v>0</v>
      </c>
      <c r="M132" s="828">
        <f>JU49</f>
        <v>0</v>
      </c>
      <c r="N132" s="828">
        <f>JV49</f>
        <v>0</v>
      </c>
      <c r="O132" s="829">
        <f>JW49</f>
        <v>0</v>
      </c>
      <c r="P132" s="796">
        <f t="shared" ref="P132:P147" si="363">SUM(K132:O132)</f>
        <v>0</v>
      </c>
      <c r="S132" s="3359"/>
      <c r="T132" s="3360"/>
      <c r="U132" s="3360"/>
      <c r="V132" s="3360"/>
      <c r="W132" s="3361"/>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2080">
        <v>132</v>
      </c>
    </row>
    <row r="133" spans="3:493" ht="14.25" customHeight="1">
      <c r="C133" s="3364"/>
      <c r="D133" s="3364"/>
      <c r="E133" s="48"/>
      <c r="F133" s="43"/>
      <c r="G133" s="35"/>
      <c r="H133" s="1070" t="s">
        <v>1246</v>
      </c>
      <c r="I133" s="44"/>
      <c r="J133" s="680"/>
      <c r="K133" s="1264">
        <f>KC49</f>
        <v>0</v>
      </c>
      <c r="L133" s="1265">
        <f>KD49</f>
        <v>0</v>
      </c>
      <c r="M133" s="1265">
        <f>KE49</f>
        <v>0</v>
      </c>
      <c r="N133" s="1265">
        <f>KF49</f>
        <v>0</v>
      </c>
      <c r="O133" s="1266">
        <f>KG49</f>
        <v>0</v>
      </c>
      <c r="P133" s="1276">
        <f t="shared" si="363"/>
        <v>0</v>
      </c>
      <c r="S133" s="3359"/>
      <c r="T133" s="3360"/>
      <c r="U133" s="3360"/>
      <c r="V133" s="3360"/>
      <c r="W133" s="3361"/>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2082">
        <v>133</v>
      </c>
    </row>
    <row r="134" spans="3:493" ht="14.25" customHeight="1">
      <c r="C134" s="3364"/>
      <c r="D134" s="3364"/>
      <c r="E134" s="48"/>
      <c r="F134" s="43"/>
      <c r="G134" s="35"/>
      <c r="H134" s="1037" t="s">
        <v>1253</v>
      </c>
      <c r="I134" s="16"/>
      <c r="J134" s="680"/>
      <c r="K134" s="827">
        <f>JX49</f>
        <v>0</v>
      </c>
      <c r="L134" s="828">
        <f>JY49</f>
        <v>41</v>
      </c>
      <c r="M134" s="828">
        <f>JZ49</f>
        <v>17</v>
      </c>
      <c r="N134" s="828">
        <f>KA49</f>
        <v>0</v>
      </c>
      <c r="O134" s="829">
        <f>KB49</f>
        <v>0</v>
      </c>
      <c r="P134" s="796">
        <f t="shared" si="363"/>
        <v>58</v>
      </c>
      <c r="S134" s="3359"/>
      <c r="T134" s="3360"/>
      <c r="U134" s="3360"/>
      <c r="V134" s="3360"/>
      <c r="W134" s="3361"/>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2082">
        <v>134</v>
      </c>
    </row>
    <row r="135" spans="3:493" ht="14.25" customHeight="1">
      <c r="C135" s="3364"/>
      <c r="D135" s="3364"/>
      <c r="E135" s="48"/>
      <c r="F135" s="43"/>
      <c r="G135" s="35"/>
      <c r="H135" s="1070" t="s">
        <v>1246</v>
      </c>
      <c r="I135" s="44"/>
      <c r="J135" s="680"/>
      <c r="K135" s="1264">
        <f>KH49</f>
        <v>0</v>
      </c>
      <c r="L135" s="1265">
        <f>KI49</f>
        <v>0</v>
      </c>
      <c r="M135" s="1265">
        <f>KJ49</f>
        <v>0</v>
      </c>
      <c r="N135" s="1265">
        <f>KK49</f>
        <v>0</v>
      </c>
      <c r="O135" s="1266">
        <f>KL49</f>
        <v>0</v>
      </c>
      <c r="P135" s="1276">
        <f t="shared" si="363"/>
        <v>0</v>
      </c>
      <c r="S135" s="3359"/>
      <c r="T135" s="3360"/>
      <c r="U135" s="3360"/>
      <c r="V135" s="3360"/>
      <c r="W135" s="3361"/>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2080">
        <v>135</v>
      </c>
    </row>
    <row r="136" spans="3:493" ht="14.25" customHeight="1">
      <c r="C136" s="3364"/>
      <c r="D136" s="3364"/>
      <c r="E136" s="48"/>
      <c r="F136" s="43"/>
      <c r="G136" s="35"/>
      <c r="H136" s="1037" t="s">
        <v>1254</v>
      </c>
      <c r="I136" s="16"/>
      <c r="J136" s="35"/>
      <c r="K136" s="842">
        <f>KM49</f>
        <v>0</v>
      </c>
      <c r="L136" s="843">
        <f>KN49</f>
        <v>0</v>
      </c>
      <c r="M136" s="843">
        <f>KO49</f>
        <v>0</v>
      </c>
      <c r="N136" s="843">
        <f>KP49</f>
        <v>0</v>
      </c>
      <c r="O136" s="844">
        <f>KQ49</f>
        <v>0</v>
      </c>
      <c r="P136" s="2725">
        <f t="shared" si="363"/>
        <v>0</v>
      </c>
      <c r="S136" s="3359"/>
      <c r="T136" s="3360"/>
      <c r="U136" s="3360"/>
      <c r="V136" s="3360"/>
      <c r="W136" s="3361"/>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2082">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364"/>
      <c r="D137" s="3364"/>
      <c r="E137" s="48"/>
      <c r="F137" s="43"/>
      <c r="G137" s="35"/>
      <c r="H137" s="1070" t="s">
        <v>1246</v>
      </c>
      <c r="I137" s="44"/>
      <c r="J137" s="35"/>
      <c r="K137" s="1272">
        <f>KW49</f>
        <v>0</v>
      </c>
      <c r="L137" s="1273">
        <f>KX49</f>
        <v>0</v>
      </c>
      <c r="M137" s="1273">
        <f>KY49</f>
        <v>0</v>
      </c>
      <c r="N137" s="1273">
        <f>KZ49</f>
        <v>0</v>
      </c>
      <c r="O137" s="1274">
        <f>LA49</f>
        <v>0</v>
      </c>
      <c r="P137" s="1275">
        <f t="shared" si="363"/>
        <v>0</v>
      </c>
      <c r="S137" s="3359"/>
      <c r="T137" s="3360"/>
      <c r="U137" s="3360"/>
      <c r="V137" s="3360"/>
      <c r="W137" s="3361"/>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2082">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364"/>
      <c r="D138" s="3364"/>
      <c r="E138" s="48"/>
      <c r="F138" s="43"/>
      <c r="G138" s="35"/>
      <c r="H138" s="1037" t="s">
        <v>1255</v>
      </c>
      <c r="I138" s="16"/>
      <c r="J138" s="35"/>
      <c r="K138" s="842">
        <f>KR49</f>
        <v>0</v>
      </c>
      <c r="L138" s="843">
        <f>KS49</f>
        <v>0</v>
      </c>
      <c r="M138" s="843">
        <f>KT49</f>
        <v>0</v>
      </c>
      <c r="N138" s="843">
        <f>KU49</f>
        <v>0</v>
      </c>
      <c r="O138" s="844">
        <f>KV49</f>
        <v>0</v>
      </c>
      <c r="P138" s="2725">
        <f t="shared" si="363"/>
        <v>0</v>
      </c>
      <c r="S138" s="3359"/>
      <c r="T138" s="3360"/>
      <c r="U138" s="3360"/>
      <c r="V138" s="3360"/>
      <c r="W138" s="3361"/>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2082">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364"/>
      <c r="D139" s="3364"/>
      <c r="E139" s="48"/>
      <c r="F139" s="43"/>
      <c r="G139" s="35"/>
      <c r="H139" s="1070" t="s">
        <v>1246</v>
      </c>
      <c r="I139" s="44"/>
      <c r="J139" s="35"/>
      <c r="K139" s="1272">
        <f>LB49</f>
        <v>0</v>
      </c>
      <c r="L139" s="1273">
        <f>LC49</f>
        <v>0</v>
      </c>
      <c r="M139" s="1273">
        <f>LD49</f>
        <v>0</v>
      </c>
      <c r="N139" s="1273">
        <f>LE49</f>
        <v>0</v>
      </c>
      <c r="O139" s="1274">
        <f>LF49</f>
        <v>0</v>
      </c>
      <c r="P139" s="1275">
        <f t="shared" si="363"/>
        <v>0</v>
      </c>
      <c r="S139" s="3359"/>
      <c r="T139" s="3360"/>
      <c r="U139" s="3360"/>
      <c r="V139" s="3360"/>
      <c r="W139" s="3361"/>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2082">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537"/>
      <c r="D140" s="2537"/>
      <c r="E140" s="48" t="s">
        <v>1256</v>
      </c>
      <c r="F140" s="43"/>
      <c r="G140" s="35"/>
      <c r="H140" s="1037"/>
      <c r="I140" s="16"/>
      <c r="J140" s="35"/>
      <c r="K140" s="836">
        <f>IE49</f>
        <v>0</v>
      </c>
      <c r="L140" s="837">
        <f>IF49</f>
        <v>0</v>
      </c>
      <c r="M140" s="837">
        <f>IG49</f>
        <v>0</v>
      </c>
      <c r="N140" s="837">
        <f>IH49</f>
        <v>0</v>
      </c>
      <c r="O140" s="838">
        <f>II49</f>
        <v>0</v>
      </c>
      <c r="P140" s="1260">
        <f t="shared" si="363"/>
        <v>0</v>
      </c>
      <c r="S140" s="3359"/>
      <c r="T140" s="3360"/>
      <c r="U140" s="3360"/>
      <c r="V140" s="3360"/>
      <c r="W140" s="3361"/>
      <c r="X140" s="253"/>
      <c r="AA140" s="253"/>
      <c r="AB140" s="256"/>
      <c r="AC140" s="253"/>
      <c r="AF140" s="253"/>
      <c r="AG140" s="256"/>
      <c r="AH140" s="253"/>
      <c r="AK140" s="253"/>
      <c r="AL140" s="256"/>
      <c r="AM140" s="253"/>
      <c r="AP140" s="253"/>
      <c r="AQ140" s="256"/>
      <c r="AR140" s="257"/>
      <c r="AS140" s="257"/>
      <c r="AT140" s="257"/>
      <c r="AU140" s="257"/>
      <c r="AV140" s="257"/>
      <c r="AW140" s="257"/>
      <c r="AX140" s="612"/>
      <c r="AY140" s="253"/>
      <c r="BB140" s="257"/>
      <c r="BC140" s="612"/>
      <c r="BD140" s="253"/>
      <c r="LO140" s="255"/>
      <c r="MD140" s="251"/>
      <c r="ME140" s="251"/>
      <c r="NQ140" s="2082">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537"/>
      <c r="D141" s="2537"/>
      <c r="E141" s="48"/>
      <c r="F141" s="43"/>
      <c r="G141" s="35"/>
      <c r="H141" s="1070" t="s">
        <v>1246</v>
      </c>
      <c r="I141" s="44"/>
      <c r="J141" s="35"/>
      <c r="K141" s="1264">
        <f>IJ49</f>
        <v>0</v>
      </c>
      <c r="L141" s="1265">
        <f>IK49</f>
        <v>0</v>
      </c>
      <c r="M141" s="1265">
        <f>IL49</f>
        <v>0</v>
      </c>
      <c r="N141" s="1265">
        <f>IM49</f>
        <v>0</v>
      </c>
      <c r="O141" s="1266">
        <f>IN49</f>
        <v>0</v>
      </c>
      <c r="P141" s="1267">
        <f t="shared" si="363"/>
        <v>0</v>
      </c>
      <c r="S141" s="3359"/>
      <c r="T141" s="3360"/>
      <c r="U141" s="3360"/>
      <c r="V141" s="3360"/>
      <c r="W141" s="3361"/>
      <c r="X141" s="253"/>
      <c r="AA141" s="253"/>
      <c r="AB141" s="256"/>
      <c r="AC141" s="253"/>
      <c r="AF141" s="253"/>
      <c r="AG141" s="256"/>
      <c r="AH141" s="253"/>
      <c r="AK141" s="253"/>
      <c r="AL141" s="256"/>
      <c r="AM141" s="253"/>
      <c r="AP141" s="253"/>
      <c r="AQ141" s="256"/>
      <c r="AR141" s="257"/>
      <c r="AS141" s="257"/>
      <c r="AT141" s="257"/>
      <c r="AU141" s="257"/>
      <c r="AV141" s="257"/>
      <c r="AW141" s="257"/>
      <c r="AX141" s="612"/>
      <c r="AY141" s="253"/>
      <c r="BB141" s="257"/>
      <c r="BC141" s="612"/>
      <c r="BD141" s="253"/>
      <c r="LO141" s="255"/>
      <c r="MD141" s="251"/>
      <c r="ME141" s="251"/>
      <c r="NQ141" s="2083">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537"/>
      <c r="D142" s="2537"/>
      <c r="E142" s="48" t="s">
        <v>669</v>
      </c>
      <c r="F142" s="43"/>
      <c r="G142" s="35"/>
      <c r="H142" s="1037"/>
      <c r="I142" s="16"/>
      <c r="J142" s="35"/>
      <c r="K142" s="842">
        <f>JI49</f>
        <v>0</v>
      </c>
      <c r="L142" s="843">
        <f>JJ49</f>
        <v>0</v>
      </c>
      <c r="M142" s="843">
        <f>JK49</f>
        <v>0</v>
      </c>
      <c r="N142" s="843">
        <f>JL49</f>
        <v>0</v>
      </c>
      <c r="O142" s="844">
        <f>JM49</f>
        <v>0</v>
      </c>
      <c r="P142" s="1261">
        <f t="shared" si="363"/>
        <v>0</v>
      </c>
      <c r="S142" s="3359"/>
      <c r="T142" s="3360"/>
      <c r="U142" s="3360"/>
      <c r="V142" s="3360"/>
      <c r="W142" s="3361"/>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2082">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537"/>
      <c r="D143" s="2537"/>
      <c r="E143" s="48"/>
      <c r="F143" s="43"/>
      <c r="G143" s="35"/>
      <c r="H143" s="1070" t="s">
        <v>1246</v>
      </c>
      <c r="I143" s="44"/>
      <c r="J143" s="35"/>
      <c r="K143" s="1264">
        <f>JN49</f>
        <v>0</v>
      </c>
      <c r="L143" s="1265">
        <f>JO49</f>
        <v>0</v>
      </c>
      <c r="M143" s="1265">
        <f>JP49</f>
        <v>0</v>
      </c>
      <c r="N143" s="1265">
        <f>JQ49</f>
        <v>0</v>
      </c>
      <c r="O143" s="1266">
        <f>JR49</f>
        <v>0</v>
      </c>
      <c r="P143" s="1267">
        <f t="shared" si="363"/>
        <v>0</v>
      </c>
      <c r="S143" s="3359"/>
      <c r="T143" s="3360"/>
      <c r="U143" s="3360"/>
      <c r="V143" s="3360"/>
      <c r="W143" s="3361"/>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2080">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537"/>
      <c r="D144" s="2537"/>
      <c r="E144" s="48" t="s">
        <v>660</v>
      </c>
      <c r="F144" s="43"/>
      <c r="G144" s="35"/>
      <c r="H144" s="1037"/>
      <c r="I144" s="16"/>
      <c r="J144" s="35"/>
      <c r="K144" s="842">
        <f>IY49</f>
        <v>0</v>
      </c>
      <c r="L144" s="843">
        <f>IZ49</f>
        <v>0</v>
      </c>
      <c r="M144" s="843">
        <f>JA49</f>
        <v>0</v>
      </c>
      <c r="N144" s="843">
        <f>JB49</f>
        <v>0</v>
      </c>
      <c r="O144" s="844">
        <f>JC49</f>
        <v>0</v>
      </c>
      <c r="P144" s="1261">
        <f t="shared" si="363"/>
        <v>0</v>
      </c>
      <c r="S144" s="3359"/>
      <c r="T144" s="3360"/>
      <c r="U144" s="3360"/>
      <c r="V144" s="3360"/>
      <c r="W144" s="3361"/>
      <c r="X144" s="253"/>
      <c r="AA144" s="253"/>
      <c r="AB144" s="256"/>
      <c r="AC144" s="253"/>
      <c r="AF144" s="253"/>
      <c r="AG144" s="256"/>
      <c r="AH144" s="253"/>
      <c r="AK144" s="253"/>
      <c r="AL144" s="256"/>
      <c r="AM144" s="253"/>
      <c r="AP144" s="253"/>
      <c r="AQ144" s="256"/>
      <c r="AR144" s="257"/>
      <c r="AS144" s="257"/>
      <c r="AT144" s="257"/>
      <c r="AU144" s="257"/>
      <c r="AV144" s="257"/>
      <c r="AW144" s="257"/>
      <c r="AX144" s="612"/>
      <c r="AY144" s="253"/>
      <c r="BB144" s="257"/>
      <c r="BC144" s="612"/>
      <c r="BD144" s="253"/>
      <c r="LO144" s="255"/>
      <c r="MD144" s="251"/>
      <c r="ME144" s="251"/>
      <c r="NQ144" s="2082">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537"/>
      <c r="D145" s="2537"/>
      <c r="E145" s="48"/>
      <c r="F145" s="43"/>
      <c r="G145" s="35"/>
      <c r="H145" s="1070" t="s">
        <v>1246</v>
      </c>
      <c r="I145" s="44"/>
      <c r="J145" s="35"/>
      <c r="K145" s="1272">
        <f>JD49</f>
        <v>0</v>
      </c>
      <c r="L145" s="1273">
        <f>JE49</f>
        <v>0</v>
      </c>
      <c r="M145" s="1273">
        <f>JF49</f>
        <v>0</v>
      </c>
      <c r="N145" s="1273">
        <f>JG49</f>
        <v>0</v>
      </c>
      <c r="O145" s="1274">
        <f>JH49</f>
        <v>0</v>
      </c>
      <c r="P145" s="1267">
        <f t="shared" si="363"/>
        <v>0</v>
      </c>
      <c r="S145" s="3359"/>
      <c r="T145" s="3360"/>
      <c r="U145" s="3360"/>
      <c r="V145" s="3360"/>
      <c r="W145" s="3361"/>
      <c r="X145" s="253"/>
      <c r="AA145" s="253"/>
      <c r="AB145" s="256"/>
      <c r="AC145" s="253"/>
      <c r="AF145" s="253"/>
      <c r="AG145" s="256"/>
      <c r="AH145" s="253"/>
      <c r="AK145" s="253"/>
      <c r="AL145" s="256"/>
      <c r="AM145" s="253"/>
      <c r="AP145" s="253"/>
      <c r="AQ145" s="256"/>
      <c r="AR145" s="257"/>
      <c r="AS145" s="257"/>
      <c r="AT145" s="257"/>
      <c r="AU145" s="257"/>
      <c r="AV145" s="257"/>
      <c r="AW145" s="257"/>
      <c r="AX145" s="612"/>
      <c r="AY145" s="253"/>
      <c r="BB145" s="257"/>
      <c r="BC145" s="612"/>
      <c r="BD145" s="253"/>
      <c r="LO145" s="255"/>
      <c r="MD145" s="251"/>
      <c r="ME145" s="251"/>
      <c r="NQ145" s="2082">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537"/>
      <c r="D146" s="2537"/>
      <c r="E146" s="40" t="s">
        <v>1257</v>
      </c>
      <c r="F146" s="43"/>
      <c r="G146" s="35"/>
      <c r="H146" s="1037"/>
      <c r="I146" s="16"/>
      <c r="J146" s="35"/>
      <c r="K146" s="842">
        <f>IO49</f>
        <v>0</v>
      </c>
      <c r="L146" s="843">
        <f>IP49</f>
        <v>0</v>
      </c>
      <c r="M146" s="843">
        <f>IQ49</f>
        <v>0</v>
      </c>
      <c r="N146" s="843">
        <f>IR49</f>
        <v>0</v>
      </c>
      <c r="O146" s="844">
        <f>IS49</f>
        <v>0</v>
      </c>
      <c r="P146" s="1261">
        <f t="shared" si="363"/>
        <v>0</v>
      </c>
      <c r="S146" s="3359"/>
      <c r="T146" s="3360"/>
      <c r="U146" s="3360"/>
      <c r="V146" s="3360"/>
      <c r="W146" s="3361"/>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2080">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259"/>
      <c r="D147" s="1259"/>
      <c r="E147" s="40"/>
      <c r="F147" s="43"/>
      <c r="G147" s="35"/>
      <c r="H147" s="1070" t="s">
        <v>1246</v>
      </c>
      <c r="I147" s="44"/>
      <c r="J147" s="35"/>
      <c r="K147" s="1268">
        <f>IT49</f>
        <v>0</v>
      </c>
      <c r="L147" s="1269">
        <f>IU49</f>
        <v>0</v>
      </c>
      <c r="M147" s="1269">
        <f>IV49</f>
        <v>0</v>
      </c>
      <c r="N147" s="1269">
        <f>IW49</f>
        <v>0</v>
      </c>
      <c r="O147" s="1270">
        <f>IX49</f>
        <v>0</v>
      </c>
      <c r="P147" s="1271">
        <f t="shared" si="363"/>
        <v>0</v>
      </c>
      <c r="S147" s="3371"/>
      <c r="T147" s="3372"/>
      <c r="U147" s="3372"/>
      <c r="V147" s="3372"/>
      <c r="W147" s="3373"/>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2082">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4"/>
      <c r="I148" s="526"/>
      <c r="J148" s="35"/>
      <c r="K148" s="2726"/>
      <c r="L148" s="2726"/>
      <c r="M148" s="2726"/>
      <c r="N148" s="2726"/>
      <c r="O148" s="2726"/>
      <c r="P148" s="2726"/>
      <c r="ME148" s="251"/>
      <c r="NQ148" s="2082">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65" customHeight="1" thickBot="1">
      <c r="A149" s="6" t="s">
        <v>25</v>
      </c>
      <c r="B149" s="6" t="s">
        <v>1235</v>
      </c>
      <c r="C149" s="77"/>
      <c r="D149" s="77"/>
      <c r="E149" s="77"/>
      <c r="F149" s="77"/>
      <c r="G149" s="77"/>
      <c r="H149" s="40"/>
      <c r="I149" s="77"/>
      <c r="J149" s="77"/>
      <c r="K149" s="77"/>
      <c r="L149" s="3382" t="str">
        <f>$O$53</f>
        <v>40% of Units at 60% of AMI</v>
      </c>
      <c r="M149" s="3383"/>
      <c r="N149" s="3383"/>
      <c r="O149" s="3384"/>
      <c r="P149" s="35"/>
      <c r="S149" s="3442" t="str">
        <f>B149</f>
        <v>UNIT SUMMARY (Continued)</v>
      </c>
      <c r="T149" s="3442"/>
      <c r="U149" s="3442"/>
      <c r="V149" s="3442"/>
      <c r="AY149" s="253"/>
      <c r="BD149" s="253"/>
      <c r="LO149" s="255"/>
      <c r="MD149" s="251"/>
      <c r="ME149" s="251"/>
      <c r="NQ149" s="2082">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506"/>
      <c r="S150" s="2512" t="str">
        <f>C151</f>
        <v>Building Type:
(for Cost Limit purposes only - see Application Instructions for further detail)</v>
      </c>
      <c r="T150" s="60"/>
      <c r="U150" s="262"/>
      <c r="AY150" s="253"/>
      <c r="BD150" s="253"/>
      <c r="LO150" s="255"/>
      <c r="MD150" s="251"/>
      <c r="ME150" s="251"/>
      <c r="NQ150" s="2082">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363" t="s">
        <v>1258</v>
      </c>
      <c r="D151" s="3363"/>
      <c r="E151" s="676" t="s">
        <v>1259</v>
      </c>
      <c r="F151" s="677"/>
      <c r="G151" s="678"/>
      <c r="H151" s="1071"/>
      <c r="I151" s="681"/>
      <c r="J151" s="679"/>
      <c r="K151" s="836">
        <f t="shared" ref="K151:O152" si="364">K140+K144+K146</f>
        <v>0</v>
      </c>
      <c r="L151" s="837">
        <f>L140+L144+L146</f>
        <v>0</v>
      </c>
      <c r="M151" s="837">
        <f t="shared" si="364"/>
        <v>0</v>
      </c>
      <c r="N151" s="837">
        <f t="shared" si="364"/>
        <v>0</v>
      </c>
      <c r="O151" s="838">
        <f t="shared" si="364"/>
        <v>0</v>
      </c>
      <c r="P151" s="1260">
        <f t="shared" ref="P151:P158" si="365">SUM(K151:O151)</f>
        <v>0</v>
      </c>
      <c r="S151" s="3365"/>
      <c r="T151" s="3366"/>
      <c r="U151" s="3366"/>
      <c r="V151" s="3366"/>
      <c r="W151" s="3367"/>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2082">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364"/>
      <c r="D152" s="3364"/>
      <c r="E152" s="48"/>
      <c r="F152" s="98"/>
      <c r="G152" s="35"/>
      <c r="H152" s="1070" t="s">
        <v>1246</v>
      </c>
      <c r="I152" s="44"/>
      <c r="J152" s="680"/>
      <c r="K152" s="1264">
        <f t="shared" si="364"/>
        <v>0</v>
      </c>
      <c r="L152" s="1265">
        <f t="shared" si="364"/>
        <v>0</v>
      </c>
      <c r="M152" s="1265">
        <f t="shared" si="364"/>
        <v>0</v>
      </c>
      <c r="N152" s="1265">
        <f t="shared" si="364"/>
        <v>0</v>
      </c>
      <c r="O152" s="1266">
        <f t="shared" si="364"/>
        <v>0</v>
      </c>
      <c r="P152" s="1267">
        <f t="shared" si="365"/>
        <v>0</v>
      </c>
      <c r="S152" s="3359"/>
      <c r="T152" s="3360"/>
      <c r="U152" s="3360"/>
      <c r="V152" s="3360"/>
      <c r="W152" s="3361"/>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2083">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364"/>
      <c r="D153" s="3364"/>
      <c r="E153" s="48" t="s">
        <v>1260</v>
      </c>
      <c r="F153" s="98"/>
      <c r="G153" s="35"/>
      <c r="H153" s="135"/>
      <c r="I153" s="98"/>
      <c r="J153" s="680"/>
      <c r="K153" s="842">
        <f t="shared" ref="K153:O154" si="366">K142</f>
        <v>0</v>
      </c>
      <c r="L153" s="843">
        <f t="shared" si="366"/>
        <v>0</v>
      </c>
      <c r="M153" s="843">
        <f t="shared" si="366"/>
        <v>0</v>
      </c>
      <c r="N153" s="843">
        <f t="shared" si="366"/>
        <v>0</v>
      </c>
      <c r="O153" s="844">
        <f t="shared" si="366"/>
        <v>0</v>
      </c>
      <c r="P153" s="1261">
        <f t="shared" si="365"/>
        <v>0</v>
      </c>
      <c r="S153" s="3359"/>
      <c r="T153" s="3360"/>
      <c r="U153" s="3360"/>
      <c r="V153" s="3360"/>
      <c r="W153" s="3361"/>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2082">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364"/>
      <c r="D154" s="3364"/>
      <c r="E154" s="48"/>
      <c r="F154" s="98"/>
      <c r="G154" s="35"/>
      <c r="H154" s="1070" t="s">
        <v>1246</v>
      </c>
      <c r="I154" s="44"/>
      <c r="J154" s="680"/>
      <c r="K154" s="1264">
        <f t="shared" si="366"/>
        <v>0</v>
      </c>
      <c r="L154" s="1265">
        <f t="shared" si="366"/>
        <v>0</v>
      </c>
      <c r="M154" s="1265">
        <f t="shared" si="366"/>
        <v>0</v>
      </c>
      <c r="N154" s="1265">
        <f t="shared" si="366"/>
        <v>0</v>
      </c>
      <c r="O154" s="1266">
        <f t="shared" si="366"/>
        <v>0</v>
      </c>
      <c r="P154" s="1267">
        <f t="shared" si="365"/>
        <v>0</v>
      </c>
      <c r="S154" s="3359"/>
      <c r="T154" s="3360"/>
      <c r="U154" s="3360"/>
      <c r="V154" s="3360"/>
      <c r="W154" s="3361"/>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2080">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364"/>
      <c r="D155" s="3364"/>
      <c r="E155" s="48" t="s">
        <v>1261</v>
      </c>
      <c r="F155" s="98"/>
      <c r="G155" s="35"/>
      <c r="H155" s="1037"/>
      <c r="I155" s="16"/>
      <c r="J155" s="680"/>
      <c r="K155" s="842">
        <f t="shared" ref="K155:O158" si="367">K132+K136</f>
        <v>0</v>
      </c>
      <c r="L155" s="843">
        <f t="shared" si="367"/>
        <v>0</v>
      </c>
      <c r="M155" s="843">
        <f t="shared" si="367"/>
        <v>0</v>
      </c>
      <c r="N155" s="843">
        <f t="shared" si="367"/>
        <v>0</v>
      </c>
      <c r="O155" s="844">
        <f t="shared" si="367"/>
        <v>0</v>
      </c>
      <c r="P155" s="1261">
        <f t="shared" si="365"/>
        <v>0</v>
      </c>
      <c r="S155" s="3359"/>
      <c r="T155" s="3360"/>
      <c r="U155" s="3360"/>
      <c r="V155" s="3360"/>
      <c r="W155" s="3361"/>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2082">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364"/>
      <c r="D156" s="3364"/>
      <c r="E156" s="48"/>
      <c r="F156" s="98"/>
      <c r="G156" s="35"/>
      <c r="H156" s="1070" t="s">
        <v>1246</v>
      </c>
      <c r="I156" s="44"/>
      <c r="J156" s="680"/>
      <c r="K156" s="1264">
        <f t="shared" si="367"/>
        <v>0</v>
      </c>
      <c r="L156" s="1265">
        <f t="shared" si="367"/>
        <v>0</v>
      </c>
      <c r="M156" s="1265">
        <f t="shared" si="367"/>
        <v>0</v>
      </c>
      <c r="N156" s="1265">
        <f t="shared" si="367"/>
        <v>0</v>
      </c>
      <c r="O156" s="1266">
        <f t="shared" si="367"/>
        <v>0</v>
      </c>
      <c r="P156" s="1267">
        <f t="shared" si="365"/>
        <v>0</v>
      </c>
      <c r="S156" s="3359"/>
      <c r="T156" s="3360"/>
      <c r="U156" s="3360"/>
      <c r="V156" s="3360"/>
      <c r="W156" s="3361"/>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2082">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364"/>
      <c r="D157" s="3364"/>
      <c r="E157" s="48" t="s">
        <v>1262</v>
      </c>
      <c r="F157" s="98"/>
      <c r="G157" s="35"/>
      <c r="H157" s="1037"/>
      <c r="I157" s="16"/>
      <c r="J157" s="680"/>
      <c r="K157" s="842">
        <f t="shared" si="367"/>
        <v>0</v>
      </c>
      <c r="L157" s="843">
        <f t="shared" si="367"/>
        <v>41</v>
      </c>
      <c r="M157" s="843">
        <f t="shared" si="367"/>
        <v>17</v>
      </c>
      <c r="N157" s="843">
        <f t="shared" si="367"/>
        <v>0</v>
      </c>
      <c r="O157" s="844">
        <f t="shared" si="367"/>
        <v>0</v>
      </c>
      <c r="P157" s="1261">
        <f t="shared" si="365"/>
        <v>58</v>
      </c>
      <c r="S157" s="3359"/>
      <c r="T157" s="3360"/>
      <c r="U157" s="3360"/>
      <c r="V157" s="3360"/>
      <c r="W157" s="3361"/>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2080">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1070" t="s">
        <v>1246</v>
      </c>
      <c r="I158" s="44"/>
      <c r="J158" s="35"/>
      <c r="K158" s="1268">
        <f t="shared" si="367"/>
        <v>0</v>
      </c>
      <c r="L158" s="1269">
        <f t="shared" si="367"/>
        <v>0</v>
      </c>
      <c r="M158" s="1269">
        <f t="shared" si="367"/>
        <v>0</v>
      </c>
      <c r="N158" s="1269">
        <f t="shared" si="367"/>
        <v>0</v>
      </c>
      <c r="O158" s="1270">
        <f t="shared" si="367"/>
        <v>0</v>
      </c>
      <c r="P158" s="1271">
        <f t="shared" si="365"/>
        <v>0</v>
      </c>
      <c r="Q158" s="3450" t="s">
        <v>1263</v>
      </c>
      <c r="S158" s="3371"/>
      <c r="T158" s="3372"/>
      <c r="U158" s="3372"/>
      <c r="V158" s="3372"/>
      <c r="W158" s="3373"/>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2082">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822"/>
      <c r="B159" s="822"/>
      <c r="C159" s="77"/>
      <c r="D159" s="506"/>
      <c r="E159" s="48"/>
      <c r="F159" s="43"/>
      <c r="G159" s="35"/>
      <c r="H159" s="13"/>
      <c r="I159" s="13"/>
      <c r="J159" s="35"/>
      <c r="K159" s="2713"/>
      <c r="L159" s="2713"/>
      <c r="M159" s="2713"/>
      <c r="N159" s="2713"/>
      <c r="O159" s="2713"/>
      <c r="P159" s="2713"/>
      <c r="Q159" s="3450"/>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2082">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1264</v>
      </c>
      <c r="C160" s="43"/>
      <c r="D160" s="43"/>
      <c r="E160" s="43"/>
      <c r="F160" s="43"/>
      <c r="G160" s="35"/>
      <c r="H160" s="16"/>
      <c r="I160" s="16"/>
      <c r="J160" s="35"/>
      <c r="K160" s="2727"/>
      <c r="L160" s="2727"/>
      <c r="M160" s="2727"/>
      <c r="N160" s="2727"/>
      <c r="O160" s="2727"/>
      <c r="P160" s="2727"/>
      <c r="Q160" s="3450"/>
      <c r="S160" s="3040" t="str">
        <f>B160</f>
        <v>UNIT SQUARE FOOTAGE</v>
      </c>
      <c r="T160" s="3040"/>
      <c r="U160" s="3040"/>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2082">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1265</v>
      </c>
      <c r="D161" s="43"/>
      <c r="E161" s="43"/>
      <c r="F161" s="43"/>
      <c r="G161" s="35"/>
      <c r="H161" s="40" t="s">
        <v>1214</v>
      </c>
      <c r="I161" s="25"/>
      <c r="J161" s="35"/>
      <c r="K161" s="824">
        <f>EI49</f>
        <v>0</v>
      </c>
      <c r="L161" s="825">
        <f>EJ49</f>
        <v>0</v>
      </c>
      <c r="M161" s="825">
        <f>EK49</f>
        <v>0</v>
      </c>
      <c r="N161" s="825">
        <f>EL49</f>
        <v>0</v>
      </c>
      <c r="O161" s="826">
        <f>EM49</f>
        <v>0</v>
      </c>
      <c r="P161" s="793">
        <f t="shared" ref="P161:P167" si="368">SUM(K161:O161)</f>
        <v>0</v>
      </c>
      <c r="Q161" s="938" t="str">
        <f t="shared" ref="Q161:Q167" si="369">IF(OR(P56=0,P56=""),"",P161/P56)</f>
        <v/>
      </c>
      <c r="S161" s="3365"/>
      <c r="T161" s="3366"/>
      <c r="U161" s="3366"/>
      <c r="V161" s="3366"/>
      <c r="W161" s="3367"/>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2082">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37" t="s">
        <v>1216</v>
      </c>
      <c r="I162" s="16"/>
      <c r="J162" s="35"/>
      <c r="K162" s="845">
        <f>EN49</f>
        <v>0</v>
      </c>
      <c r="L162" s="846">
        <f>EO49</f>
        <v>0</v>
      </c>
      <c r="M162" s="846">
        <f>EP49</f>
        <v>0</v>
      </c>
      <c r="N162" s="846">
        <f>EQ49</f>
        <v>0</v>
      </c>
      <c r="O162" s="847">
        <f>ER49</f>
        <v>0</v>
      </c>
      <c r="P162" s="794">
        <f t="shared" si="368"/>
        <v>0</v>
      </c>
      <c r="Q162" s="938" t="str">
        <f t="shared" si="369"/>
        <v/>
      </c>
      <c r="S162" s="3359"/>
      <c r="T162" s="3360"/>
      <c r="U162" s="3360"/>
      <c r="V162" s="3360"/>
      <c r="W162" s="3361"/>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2082">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1037" t="s">
        <v>1217</v>
      </c>
      <c r="I163" s="16"/>
      <c r="J163" s="35"/>
      <c r="K163" s="845">
        <f>ES49</f>
        <v>0</v>
      </c>
      <c r="L163" s="846">
        <f>ET49</f>
        <v>9142</v>
      </c>
      <c r="M163" s="846">
        <f>EU49</f>
        <v>14445</v>
      </c>
      <c r="N163" s="846">
        <f>EV49</f>
        <v>0</v>
      </c>
      <c r="O163" s="847">
        <f>EW49</f>
        <v>0</v>
      </c>
      <c r="P163" s="794">
        <f t="shared" si="368"/>
        <v>23587</v>
      </c>
      <c r="Q163" s="938">
        <f t="shared" si="369"/>
        <v>813.34482758620686</v>
      </c>
      <c r="S163" s="3359"/>
      <c r="T163" s="3360"/>
      <c r="U163" s="3360"/>
      <c r="V163" s="3360"/>
      <c r="W163" s="3361"/>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2083">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1037" t="s">
        <v>1218</v>
      </c>
      <c r="I164" s="16"/>
      <c r="J164" s="680"/>
      <c r="K164" s="897">
        <f>EX49</f>
        <v>0</v>
      </c>
      <c r="L164" s="898">
        <f>EY49</f>
        <v>11101</v>
      </c>
      <c r="M164" s="898">
        <f>EZ49</f>
        <v>0</v>
      </c>
      <c r="N164" s="898">
        <f>FA49</f>
        <v>0</v>
      </c>
      <c r="O164" s="899">
        <f>FB49</f>
        <v>0</v>
      </c>
      <c r="P164" s="900">
        <f t="shared" si="368"/>
        <v>11101</v>
      </c>
      <c r="Q164" s="938">
        <f t="shared" si="369"/>
        <v>653</v>
      </c>
      <c r="S164" s="3359"/>
      <c r="T164" s="3360"/>
      <c r="U164" s="3360"/>
      <c r="V164" s="3360"/>
      <c r="W164" s="3361"/>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2082">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1037" t="s">
        <v>1219</v>
      </c>
      <c r="I165" s="16"/>
      <c r="J165" s="680"/>
      <c r="K165" s="845">
        <f>FC49</f>
        <v>0</v>
      </c>
      <c r="L165" s="846">
        <f>FD49</f>
        <v>0</v>
      </c>
      <c r="M165" s="846">
        <f>FE49</f>
        <v>0</v>
      </c>
      <c r="N165" s="846">
        <f>FF49</f>
        <v>0</v>
      </c>
      <c r="O165" s="847">
        <f>FG49</f>
        <v>0</v>
      </c>
      <c r="P165" s="794">
        <f t="shared" si="368"/>
        <v>0</v>
      </c>
      <c r="Q165" s="938" t="str">
        <f t="shared" si="369"/>
        <v/>
      </c>
      <c r="S165" s="3359"/>
      <c r="T165" s="3360"/>
      <c r="U165" s="3360"/>
      <c r="V165" s="3360"/>
      <c r="W165" s="3361"/>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2080">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1037" t="s">
        <v>1220</v>
      </c>
      <c r="I166" s="16"/>
      <c r="J166" s="35"/>
      <c r="K166" s="845">
        <f>FH49</f>
        <v>0</v>
      </c>
      <c r="L166" s="846">
        <f>FI49</f>
        <v>3918</v>
      </c>
      <c r="M166" s="846">
        <f>FJ49</f>
        <v>0</v>
      </c>
      <c r="N166" s="846">
        <f>FK49</f>
        <v>0</v>
      </c>
      <c r="O166" s="847">
        <f>FL49</f>
        <v>0</v>
      </c>
      <c r="P166" s="794">
        <f t="shared" si="368"/>
        <v>3918</v>
      </c>
      <c r="Q166" s="938">
        <f t="shared" si="369"/>
        <v>653</v>
      </c>
      <c r="S166" s="3359"/>
      <c r="T166" s="3360"/>
      <c r="U166" s="3360"/>
      <c r="V166" s="3360"/>
      <c r="W166" s="3361"/>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2082">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1221</v>
      </c>
      <c r="I167" s="25"/>
      <c r="J167" s="35"/>
      <c r="K167" s="830">
        <f>FM49</f>
        <v>0</v>
      </c>
      <c r="L167" s="831">
        <f>FN49</f>
        <v>0</v>
      </c>
      <c r="M167" s="831">
        <f>FO49</f>
        <v>0</v>
      </c>
      <c r="N167" s="831">
        <f>FP49</f>
        <v>0</v>
      </c>
      <c r="O167" s="832">
        <f>FQ49</f>
        <v>0</v>
      </c>
      <c r="P167" s="795">
        <f t="shared" si="368"/>
        <v>0</v>
      </c>
      <c r="Q167" s="938" t="str">
        <f t="shared" si="369"/>
        <v/>
      </c>
      <c r="S167" s="3359"/>
      <c r="T167" s="3360"/>
      <c r="U167" s="3360"/>
      <c r="V167" s="3360"/>
      <c r="W167" s="3361"/>
      <c r="X167" s="1317"/>
      <c r="AA167" s="253"/>
      <c r="AB167" s="256"/>
      <c r="AC167" s="1317"/>
      <c r="AF167" s="253"/>
      <c r="AG167" s="256"/>
      <c r="AH167" s="1317"/>
      <c r="AK167" s="253"/>
      <c r="AL167" s="256"/>
      <c r="AM167" s="1317"/>
      <c r="AP167" s="253"/>
      <c r="AQ167" s="256"/>
      <c r="AR167" s="257"/>
      <c r="AS167" s="257"/>
      <c r="AT167" s="257"/>
      <c r="AU167" s="257"/>
      <c r="AV167" s="257"/>
      <c r="AW167" s="257"/>
      <c r="AX167" s="253"/>
      <c r="AY167" s="253"/>
      <c r="BB167" s="257"/>
      <c r="BC167" s="253"/>
      <c r="BD167" s="253"/>
      <c r="LO167" s="255"/>
      <c r="MD167" s="251"/>
      <c r="ME167" s="251"/>
      <c r="NQ167" s="2082">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1070" t="s">
        <v>1266</v>
      </c>
      <c r="I168" s="44"/>
      <c r="J168" s="800"/>
      <c r="K168" s="1263">
        <f>SUM(K161:K167)</f>
        <v>0</v>
      </c>
      <c r="L168" s="1263">
        <f>SUM(L161:L167)</f>
        <v>24161</v>
      </c>
      <c r="M168" s="1263">
        <f>SUM(M161:M167)</f>
        <v>14445</v>
      </c>
      <c r="N168" s="1263">
        <f>SUM(N161:N167)</f>
        <v>0</v>
      </c>
      <c r="O168" s="1263">
        <f>SUM(O161:O167)</f>
        <v>0</v>
      </c>
      <c r="P168" s="1263">
        <f>SUM(K168:O168)</f>
        <v>38606</v>
      </c>
      <c r="S168" s="3359"/>
      <c r="T168" s="3360"/>
      <c r="U168" s="3360"/>
      <c r="V168" s="3360"/>
      <c r="W168" s="3361"/>
      <c r="X168" s="1317"/>
      <c r="AA168" s="253"/>
      <c r="AB168" s="256"/>
      <c r="AC168" s="1317"/>
      <c r="AF168" s="253"/>
      <c r="AG168" s="256"/>
      <c r="AH168" s="1317"/>
      <c r="AK168" s="253"/>
      <c r="AL168" s="256"/>
      <c r="AM168" s="1317"/>
      <c r="AP168" s="253"/>
      <c r="AQ168" s="256"/>
      <c r="AR168" s="257"/>
      <c r="AS168" s="257"/>
      <c r="AT168" s="257"/>
      <c r="AU168" s="257"/>
      <c r="AV168" s="257"/>
      <c r="AW168" s="257"/>
      <c r="AX168" s="253"/>
      <c r="AY168" s="253"/>
      <c r="BB168" s="257"/>
      <c r="BC168" s="253"/>
      <c r="BD168" s="253"/>
      <c r="LO168" s="255"/>
      <c r="MD168" s="251"/>
      <c r="ME168" s="251"/>
      <c r="NQ168" s="2080">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1150</v>
      </c>
      <c r="D169" s="43"/>
      <c r="E169" s="43"/>
      <c r="F169" s="43"/>
      <c r="G169" s="43"/>
      <c r="H169" s="35"/>
      <c r="I169" s="35"/>
      <c r="J169" s="35"/>
      <c r="K169" s="2728">
        <f>FR49</f>
        <v>0</v>
      </c>
      <c r="L169" s="2729">
        <f>FS49</f>
        <v>2612</v>
      </c>
      <c r="M169" s="2729">
        <f>FT49</f>
        <v>1926</v>
      </c>
      <c r="N169" s="2729">
        <f>FU49</f>
        <v>0</v>
      </c>
      <c r="O169" s="2730">
        <f>FV49</f>
        <v>0</v>
      </c>
      <c r="P169" s="795">
        <f>SUM(K169:O169)</f>
        <v>4538</v>
      </c>
      <c r="Q169" s="903">
        <f>IF(OR(P64=0,P64=""),"",P169/P64)</f>
        <v>756.33333333333337</v>
      </c>
      <c r="S169" s="3359"/>
      <c r="T169" s="3360"/>
      <c r="U169" s="3360"/>
      <c r="V169" s="3360"/>
      <c r="W169" s="3361"/>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2082">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1223</v>
      </c>
      <c r="D170" s="799"/>
      <c r="E170" s="799"/>
      <c r="F170" s="799"/>
      <c r="G170" s="799"/>
      <c r="H170" s="800"/>
      <c r="I170" s="800"/>
      <c r="J170" s="800"/>
      <c r="K170" s="1262">
        <f>SUM(K168:K169)</f>
        <v>0</v>
      </c>
      <c r="L170" s="1262">
        <f>SUM(L168:L169)</f>
        <v>26773</v>
      </c>
      <c r="M170" s="1262">
        <f>SUM(M168:M169)</f>
        <v>16371</v>
      </c>
      <c r="N170" s="1262">
        <f>SUM(N168:N169)</f>
        <v>0</v>
      </c>
      <c r="O170" s="1262">
        <f>SUM(O168:O169)</f>
        <v>0</v>
      </c>
      <c r="P170" s="1262">
        <f>SUM(K170:O170)</f>
        <v>43144</v>
      </c>
      <c r="S170" s="3359"/>
      <c r="T170" s="3360"/>
      <c r="U170" s="3360"/>
      <c r="V170" s="3360"/>
      <c r="W170" s="3361"/>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2082">
        <v>170</v>
      </c>
    </row>
    <row r="171" spans="1:493" ht="14.25" customHeight="1">
      <c r="A171" s="77"/>
      <c r="B171" s="77"/>
      <c r="C171" s="43" t="s">
        <v>1224</v>
      </c>
      <c r="D171" s="43"/>
      <c r="E171" s="43"/>
      <c r="F171" s="43"/>
      <c r="G171" s="43"/>
      <c r="H171" s="35"/>
      <c r="I171" s="35"/>
      <c r="J171" s="35"/>
      <c r="K171" s="2728">
        <f>GB49</f>
        <v>0</v>
      </c>
      <c r="L171" s="2729">
        <f>GC49</f>
        <v>0</v>
      </c>
      <c r="M171" s="2729">
        <f>GD49</f>
        <v>0</v>
      </c>
      <c r="N171" s="2729">
        <f>GE49</f>
        <v>0</v>
      </c>
      <c r="O171" s="2730">
        <f>GF49</f>
        <v>0</v>
      </c>
      <c r="P171" s="795">
        <f>SUM(K171:O171)</f>
        <v>0</v>
      </c>
      <c r="Q171" s="903" t="str">
        <f>IF(OR(P66=0,P66=""),"",P171/P66)</f>
        <v/>
      </c>
      <c r="S171" s="3359"/>
      <c r="T171" s="3360"/>
      <c r="U171" s="3360"/>
      <c r="V171" s="3360"/>
      <c r="W171" s="3361"/>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2082">
        <v>171</v>
      </c>
    </row>
    <row r="172" spans="1:493" ht="14.25" customHeight="1">
      <c r="A172" s="77"/>
      <c r="B172" s="77"/>
      <c r="C172" s="3" t="s">
        <v>299</v>
      </c>
      <c r="D172" s="43"/>
      <c r="E172" s="43"/>
      <c r="F172" s="43"/>
      <c r="G172" s="43"/>
      <c r="H172" s="35"/>
      <c r="I172" s="35"/>
      <c r="J172" s="35"/>
      <c r="K172" s="2731">
        <f>SUM(K170:K171)</f>
        <v>0</v>
      </c>
      <c r="L172" s="2731">
        <f>SUM(L170:L171)</f>
        <v>26773</v>
      </c>
      <c r="M172" s="2731">
        <f>SUM(M170:M171)</f>
        <v>16371</v>
      </c>
      <c r="N172" s="2731">
        <f>SUM(N170:N171)</f>
        <v>0</v>
      </c>
      <c r="O172" s="2731">
        <f>SUM(O170:O171)</f>
        <v>0</v>
      </c>
      <c r="P172" s="2731">
        <f>SUM(K172:O172)</f>
        <v>43144</v>
      </c>
      <c r="S172" s="3371"/>
      <c r="T172" s="3372"/>
      <c r="U172" s="3372"/>
      <c r="V172" s="3372"/>
      <c r="W172" s="3373"/>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2082">
        <v>172</v>
      </c>
    </row>
    <row r="173" spans="1:493" ht="14.1" customHeight="1">
      <c r="A173" s="77"/>
      <c r="B173" s="77"/>
      <c r="C173" s="77"/>
      <c r="D173" s="77"/>
      <c r="E173" s="77"/>
      <c r="F173" s="77"/>
      <c r="G173" s="77"/>
      <c r="H173" s="77"/>
      <c r="I173" s="77"/>
      <c r="J173" s="77"/>
      <c r="K173" s="77"/>
      <c r="L173" s="77"/>
      <c r="M173" s="77"/>
      <c r="N173" s="77"/>
      <c r="O173" s="77"/>
      <c r="P173" s="77"/>
      <c r="NQ173" s="2082">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454"/>
      <c r="JX174" s="253"/>
      <c r="JY174" s="253"/>
      <c r="JZ174" s="253"/>
      <c r="KA174" s="253"/>
      <c r="KB174" s="1454"/>
      <c r="KC174" s="253"/>
      <c r="KD174" s="253"/>
      <c r="KE174" s="253"/>
      <c r="KF174" s="253"/>
      <c r="KG174" s="1454"/>
      <c r="KH174" s="253"/>
      <c r="KI174" s="253"/>
      <c r="KJ174" s="253"/>
      <c r="KK174" s="253"/>
      <c r="KL174" s="1454"/>
      <c r="KM174" s="1454"/>
      <c r="KN174" s="1454"/>
      <c r="KO174" s="1454"/>
      <c r="KP174" s="1454"/>
      <c r="KQ174" s="1454"/>
      <c r="KR174" s="1454"/>
      <c r="KS174" s="1454"/>
      <c r="KT174" s="1454"/>
      <c r="KU174" s="1454"/>
      <c r="KV174" s="1454"/>
      <c r="KW174" s="1454"/>
      <c r="KX174" s="1454"/>
      <c r="KY174" s="1454"/>
      <c r="KZ174" s="1454"/>
      <c r="LA174" s="1454"/>
      <c r="LB174" s="1454"/>
      <c r="LC174" s="1454"/>
      <c r="LD174" s="1454"/>
      <c r="LE174" s="1454"/>
      <c r="LF174" s="1454"/>
      <c r="LG174" s="1454"/>
      <c r="LH174" s="253"/>
      <c r="LI174" s="253"/>
      <c r="LJ174" s="253"/>
      <c r="LK174" s="253"/>
      <c r="LL174" s="253"/>
      <c r="LM174" s="253"/>
      <c r="LN174" s="1317"/>
      <c r="LO174" s="253"/>
      <c r="LP174" s="253"/>
      <c r="LQ174" s="253"/>
      <c r="LR174" s="253"/>
      <c r="LS174" s="253"/>
      <c r="LT174" s="253"/>
      <c r="LU174" s="253"/>
      <c r="LV174" s="253"/>
      <c r="LW174" s="253"/>
      <c r="LX174" s="253"/>
      <c r="LY174" s="253"/>
      <c r="LZ174" s="253"/>
      <c r="MA174" s="253"/>
      <c r="MB174" s="253"/>
      <c r="MC174" s="253"/>
      <c r="MD174" s="1317"/>
      <c r="ME174" s="1317"/>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292"/>
      <c r="NQ174" s="2083">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1267</v>
      </c>
      <c r="D175" s="43"/>
      <c r="E175" s="43"/>
      <c r="F175" s="43"/>
      <c r="G175" s="43"/>
      <c r="H175" s="43"/>
      <c r="I175" s="43"/>
      <c r="J175" s="43"/>
      <c r="K175" s="2732" t="str">
        <f>IF(OR(K67="",K67=0),"",K172/K67)</f>
        <v/>
      </c>
      <c r="L175" s="2732">
        <f>IF(OR(L67="",L67=0),"",L172/L67)</f>
        <v>653</v>
      </c>
      <c r="M175" s="2732">
        <f>IF(OR(M67="",M67=0),"",M172/M67)</f>
        <v>963</v>
      </c>
      <c r="N175" s="2732" t="str">
        <f>IF(OR(N67="",N67=0),"",N172/N67)</f>
        <v/>
      </c>
      <c r="O175" s="2732" t="str">
        <f>IF(OR(O67="",O67=0),"",O172/O67)</f>
        <v/>
      </c>
      <c r="P175" s="2733"/>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454"/>
      <c r="JX175" s="253"/>
      <c r="JY175" s="253"/>
      <c r="JZ175" s="253"/>
      <c r="KA175" s="253"/>
      <c r="KB175" s="1454"/>
      <c r="KC175" s="253"/>
      <c r="KD175" s="253"/>
      <c r="KE175" s="253"/>
      <c r="KF175" s="253"/>
      <c r="KG175" s="1454"/>
      <c r="KH175" s="253"/>
      <c r="KI175" s="253"/>
      <c r="KJ175" s="253"/>
      <c r="KK175" s="253"/>
      <c r="KL175" s="1454"/>
      <c r="KM175" s="1454"/>
      <c r="KN175" s="1454"/>
      <c r="KO175" s="1454"/>
      <c r="KP175" s="1454"/>
      <c r="KQ175" s="1454"/>
      <c r="KR175" s="1454"/>
      <c r="KS175" s="1454"/>
      <c r="KT175" s="1454"/>
      <c r="KU175" s="1454"/>
      <c r="KV175" s="1454"/>
      <c r="KW175" s="1454"/>
      <c r="KX175" s="1454"/>
      <c r="KY175" s="1454"/>
      <c r="KZ175" s="1454"/>
      <c r="LA175" s="1454"/>
      <c r="LB175" s="1454"/>
      <c r="LC175" s="1454"/>
      <c r="LD175" s="1454"/>
      <c r="LE175" s="1454"/>
      <c r="LF175" s="1454"/>
      <c r="LG175" s="1454"/>
      <c r="LH175" s="253"/>
      <c r="LI175" s="253"/>
      <c r="LJ175" s="253"/>
      <c r="LK175" s="253"/>
      <c r="LL175" s="253"/>
      <c r="LM175" s="253"/>
      <c r="LN175" s="1317"/>
      <c r="LO175" s="253"/>
      <c r="LP175" s="253"/>
      <c r="LQ175" s="253"/>
      <c r="LR175" s="253"/>
      <c r="LS175" s="253"/>
      <c r="LT175" s="253"/>
      <c r="LU175" s="253"/>
      <c r="LV175" s="253"/>
      <c r="LW175" s="253"/>
      <c r="LX175" s="253"/>
      <c r="LY175" s="253"/>
      <c r="LZ175" s="253"/>
      <c r="MA175" s="253"/>
      <c r="MB175" s="253"/>
      <c r="MC175" s="253"/>
      <c r="MD175" s="1317"/>
      <c r="ME175" s="1317"/>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292"/>
      <c r="NQ175" s="2082">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454"/>
      <c r="JX176" s="253"/>
      <c r="JY176" s="253"/>
      <c r="JZ176" s="253"/>
      <c r="KA176" s="253"/>
      <c r="KB176" s="1454"/>
      <c r="KC176" s="253"/>
      <c r="KD176" s="253"/>
      <c r="KE176" s="253"/>
      <c r="KF176" s="253"/>
      <c r="KG176" s="1454"/>
      <c r="KH176" s="253"/>
      <c r="KI176" s="253"/>
      <c r="KJ176" s="253"/>
      <c r="KK176" s="253"/>
      <c r="KL176" s="1454"/>
      <c r="KM176" s="1454"/>
      <c r="KN176" s="1454"/>
      <c r="KO176" s="1454"/>
      <c r="KP176" s="1454"/>
      <c r="KQ176" s="1454"/>
      <c r="KR176" s="1454"/>
      <c r="KS176" s="1454"/>
      <c r="KT176" s="1454"/>
      <c r="KU176" s="1454"/>
      <c r="KV176" s="1454"/>
      <c r="KW176" s="1454"/>
      <c r="KX176" s="1454"/>
      <c r="KY176" s="1454"/>
      <c r="KZ176" s="1454"/>
      <c r="LA176" s="1454"/>
      <c r="LB176" s="1454"/>
      <c r="LC176" s="1454"/>
      <c r="LD176" s="1454"/>
      <c r="LE176" s="1454"/>
      <c r="LF176" s="1454"/>
      <c r="LG176" s="1454"/>
      <c r="LH176" s="253"/>
      <c r="LI176" s="253"/>
      <c r="LJ176" s="253"/>
      <c r="LK176" s="253"/>
      <c r="LL176" s="253"/>
      <c r="LM176" s="253"/>
      <c r="LN176" s="1317"/>
      <c r="LO176" s="253"/>
      <c r="LP176" s="253"/>
      <c r="LQ176" s="253"/>
      <c r="LR176" s="253"/>
      <c r="LS176" s="253"/>
      <c r="LT176" s="253"/>
      <c r="LU176" s="253"/>
      <c r="LV176" s="253"/>
      <c r="LW176" s="253"/>
      <c r="LX176" s="253"/>
      <c r="LY176" s="253"/>
      <c r="LZ176" s="253"/>
      <c r="MA176" s="253"/>
      <c r="MB176" s="253"/>
      <c r="MC176" s="253"/>
      <c r="MD176" s="1317"/>
      <c r="ME176" s="131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92"/>
      <c r="NQ176" s="2080">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1268</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454"/>
      <c r="JX177" s="253"/>
      <c r="JY177" s="253"/>
      <c r="JZ177" s="253"/>
      <c r="KA177" s="253"/>
      <c r="KB177" s="1454"/>
      <c r="KC177" s="253"/>
      <c r="KD177" s="253"/>
      <c r="KE177" s="253"/>
      <c r="KF177" s="253"/>
      <c r="KG177" s="1454"/>
      <c r="KH177" s="253"/>
      <c r="KI177" s="253"/>
      <c r="KJ177" s="253"/>
      <c r="KK177" s="253"/>
      <c r="KL177" s="1454"/>
      <c r="KM177" s="1454"/>
      <c r="KN177" s="1454"/>
      <c r="KO177" s="1454"/>
      <c r="KP177" s="1454"/>
      <c r="KQ177" s="1454"/>
      <c r="KR177" s="1454"/>
      <c r="KS177" s="1454"/>
      <c r="KT177" s="1454"/>
      <c r="KU177" s="1454"/>
      <c r="KV177" s="1454"/>
      <c r="KW177" s="1454"/>
      <c r="KX177" s="1454"/>
      <c r="KY177" s="1454"/>
      <c r="KZ177" s="1454"/>
      <c r="LA177" s="1454"/>
      <c r="LB177" s="1454"/>
      <c r="LC177" s="1454"/>
      <c r="LD177" s="1454"/>
      <c r="LE177" s="1454"/>
      <c r="LF177" s="1454"/>
      <c r="LG177" s="1454"/>
      <c r="LH177" s="253"/>
      <c r="LI177" s="253"/>
      <c r="LJ177" s="253"/>
      <c r="LK177" s="253"/>
      <c r="LL177" s="253"/>
      <c r="LM177" s="253"/>
      <c r="LN177" s="1317"/>
      <c r="LO177" s="253"/>
      <c r="LP177" s="253"/>
      <c r="LQ177" s="253"/>
      <c r="LR177" s="253"/>
      <c r="LS177" s="253"/>
      <c r="LT177" s="253"/>
      <c r="LU177" s="253"/>
      <c r="LV177" s="253"/>
      <c r="LW177" s="253"/>
      <c r="LX177" s="253"/>
      <c r="LY177" s="253"/>
      <c r="LZ177" s="253"/>
      <c r="MA177" s="253"/>
      <c r="MB177" s="253"/>
      <c r="MC177" s="253"/>
      <c r="MD177" s="1317"/>
      <c r="ME177" s="1317"/>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292"/>
      <c r="NQ177" s="2082">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9"/>
      <c r="B178" s="2512"/>
      <c r="C178" s="159" t="s">
        <v>1269</v>
      </c>
      <c r="D178" s="2512"/>
      <c r="E178" s="2512"/>
      <c r="F178" s="2512"/>
      <c r="G178" s="2512"/>
      <c r="H178" s="2512"/>
      <c r="I178" s="2512"/>
      <c r="J178" s="2512"/>
      <c r="K178" s="3385">
        <v>6000</v>
      </c>
      <c r="L178" s="3386"/>
      <c r="M178" s="2512"/>
      <c r="N178" s="2512"/>
      <c r="O178" s="2512"/>
      <c r="P178" s="2512"/>
      <c r="Q178" s="2512"/>
      <c r="R178" s="2512"/>
      <c r="S178" s="2512"/>
      <c r="T178" s="2512"/>
      <c r="U178" s="2512"/>
      <c r="V178" s="2512"/>
      <c r="W178" s="2512"/>
      <c r="X178" s="1380"/>
      <c r="Y178" s="1380"/>
      <c r="Z178" s="1202">
        <v>68</v>
      </c>
      <c r="AA178" s="1380"/>
      <c r="AB178" s="1380"/>
      <c r="AC178" s="1380"/>
      <c r="AD178" s="1380"/>
      <c r="AE178" s="1380"/>
      <c r="AF178" s="1380"/>
      <c r="AG178" s="1380"/>
      <c r="AH178" s="1380"/>
      <c r="AI178" s="1380"/>
      <c r="AJ178" s="1380"/>
      <c r="AK178" s="1380"/>
      <c r="AL178" s="1380"/>
      <c r="AM178" s="1380"/>
      <c r="AN178" s="1380"/>
      <c r="AO178" s="1380"/>
      <c r="AP178" s="1380"/>
      <c r="AQ178" s="1380"/>
      <c r="AR178" s="1380"/>
      <c r="AS178" s="1380"/>
      <c r="AT178" s="1380"/>
      <c r="AU178" s="1380"/>
      <c r="AV178" s="1380"/>
      <c r="AW178" s="1380"/>
      <c r="AX178" s="1380"/>
      <c r="AY178" s="1380"/>
      <c r="AZ178" s="1380"/>
      <c r="BA178" s="1380"/>
      <c r="BB178" s="1380"/>
      <c r="BC178" s="1380"/>
      <c r="BD178" s="1380"/>
      <c r="BE178" s="1380"/>
      <c r="BF178" s="1380"/>
      <c r="BG178" s="1380"/>
      <c r="BH178" s="1380"/>
      <c r="BI178" s="1380"/>
      <c r="BJ178" s="1380"/>
      <c r="BK178" s="1380"/>
      <c r="BL178" s="1380"/>
      <c r="BM178" s="1380"/>
      <c r="BN178" s="1380"/>
      <c r="BO178" s="1380"/>
      <c r="BP178" s="1380"/>
      <c r="BQ178" s="1380"/>
      <c r="BR178" s="1380"/>
      <c r="BS178" s="1380"/>
      <c r="BT178" s="1380"/>
      <c r="BU178" s="1380"/>
      <c r="BV178" s="1380"/>
      <c r="BW178" s="1380"/>
      <c r="BX178" s="1380"/>
      <c r="BY178" s="1380"/>
      <c r="BZ178" s="1380"/>
      <c r="CA178" s="1380"/>
      <c r="CB178" s="1380"/>
      <c r="CC178" s="1380"/>
      <c r="CD178" s="1380"/>
      <c r="CE178" s="1380"/>
      <c r="CF178" s="1380"/>
      <c r="CG178" s="1380"/>
      <c r="CH178" s="1380"/>
      <c r="CI178" s="1380"/>
      <c r="CJ178" s="1380"/>
      <c r="CK178" s="1380"/>
      <c r="CL178" s="1380"/>
      <c r="CM178" s="1380"/>
      <c r="CN178" s="1380"/>
      <c r="CO178" s="1380"/>
      <c r="CP178" s="1380"/>
      <c r="CQ178" s="1380"/>
      <c r="CR178" s="1380"/>
      <c r="CS178" s="1380"/>
      <c r="CT178" s="1380"/>
      <c r="CU178" s="1380"/>
      <c r="CV178" s="1380"/>
      <c r="CW178" s="1380"/>
      <c r="CX178" s="1380"/>
      <c r="CY178" s="1380"/>
      <c r="CZ178" s="1380"/>
      <c r="DA178" s="1380"/>
      <c r="DB178" s="1380"/>
      <c r="DC178" s="1380"/>
      <c r="DD178" s="1380"/>
      <c r="DE178" s="1380"/>
      <c r="DF178" s="1380"/>
      <c r="DG178" s="1380"/>
      <c r="DH178" s="1380"/>
      <c r="DI178" s="1380"/>
      <c r="DJ178" s="1380"/>
      <c r="DK178" s="1380"/>
      <c r="DL178" s="1380"/>
      <c r="DM178" s="1380"/>
      <c r="DN178" s="1380"/>
      <c r="DO178" s="1380"/>
      <c r="DP178" s="1380"/>
      <c r="DQ178" s="1380"/>
      <c r="DR178" s="1380"/>
      <c r="DS178" s="1380"/>
      <c r="DT178" s="1380"/>
      <c r="DU178" s="1380"/>
      <c r="DV178" s="1380"/>
      <c r="DW178" s="1380"/>
      <c r="DX178" s="1380"/>
      <c r="DY178" s="1380"/>
      <c r="DZ178" s="1380"/>
      <c r="EA178" s="1380"/>
      <c r="EB178" s="1380"/>
      <c r="EC178" s="1380"/>
      <c r="ED178" s="1380"/>
      <c r="EE178" s="1380"/>
      <c r="EF178" s="1380"/>
      <c r="EG178" s="1380"/>
      <c r="EH178" s="1380"/>
      <c r="EI178" s="1380"/>
      <c r="EJ178" s="1380"/>
      <c r="EK178" s="1380"/>
      <c r="EL178" s="1380"/>
      <c r="EM178" s="1380"/>
      <c r="EN178" s="1380"/>
      <c r="EO178" s="1380"/>
      <c r="EP178" s="1380"/>
      <c r="EQ178" s="1380"/>
      <c r="ER178" s="1380"/>
      <c r="ES178" s="1380"/>
      <c r="ET178" s="1380"/>
      <c r="EU178" s="1380"/>
      <c r="EV178" s="1380"/>
      <c r="EW178" s="1380"/>
      <c r="EX178" s="1380"/>
      <c r="EY178" s="1380"/>
      <c r="EZ178" s="1380"/>
      <c r="FA178" s="1380"/>
      <c r="FB178" s="1380"/>
      <c r="FC178" s="1380"/>
      <c r="FD178" s="1380"/>
      <c r="FE178" s="1380"/>
      <c r="FF178" s="1380"/>
      <c r="FG178" s="1380"/>
      <c r="FH178" s="1380"/>
      <c r="FI178" s="1380"/>
      <c r="FJ178" s="1380"/>
      <c r="FK178" s="1380"/>
      <c r="FL178" s="1380"/>
      <c r="FM178" s="1380"/>
      <c r="FN178" s="1380"/>
      <c r="FO178" s="1380"/>
      <c r="FP178" s="1380"/>
      <c r="FQ178" s="1380"/>
      <c r="FR178" s="1380"/>
      <c r="FS178" s="1380"/>
      <c r="FT178" s="1380"/>
      <c r="FU178" s="1380"/>
      <c r="FV178" s="1380"/>
      <c r="FW178" s="1380"/>
      <c r="FX178" s="1380"/>
      <c r="FY178" s="1380"/>
      <c r="FZ178" s="1380"/>
      <c r="GA178" s="1380"/>
      <c r="GB178" s="1380"/>
      <c r="GC178" s="1380"/>
      <c r="GD178" s="1380"/>
      <c r="GE178" s="1380"/>
      <c r="GF178" s="1380"/>
      <c r="GG178" s="1380"/>
      <c r="GH178" s="1380"/>
      <c r="GI178" s="1380"/>
      <c r="GJ178" s="1380"/>
      <c r="GK178" s="1380"/>
      <c r="GL178" s="1380"/>
      <c r="GM178" s="1380"/>
      <c r="GN178" s="1380"/>
      <c r="GO178" s="1380"/>
      <c r="GP178" s="1380"/>
      <c r="GQ178" s="1380"/>
      <c r="GR178" s="1380"/>
      <c r="GS178" s="1380"/>
      <c r="GT178" s="1380"/>
      <c r="GU178" s="1380"/>
      <c r="GV178" s="1380"/>
      <c r="GW178" s="1380"/>
      <c r="GX178" s="1380"/>
      <c r="GY178" s="1380"/>
      <c r="GZ178" s="1380"/>
      <c r="HA178" s="1380"/>
      <c r="HB178" s="1380"/>
      <c r="HC178" s="1380"/>
      <c r="HD178" s="1380"/>
      <c r="HE178" s="1380"/>
      <c r="HF178" s="1380"/>
      <c r="HG178" s="1380"/>
      <c r="HH178" s="1380"/>
      <c r="HI178" s="1380"/>
      <c r="HJ178" s="1380"/>
      <c r="HK178" s="1380"/>
      <c r="HL178" s="1380"/>
      <c r="HM178" s="1380"/>
      <c r="HN178" s="1380"/>
      <c r="HO178" s="1380"/>
      <c r="HP178" s="1380"/>
      <c r="HQ178" s="1380"/>
      <c r="HR178" s="1380"/>
      <c r="HS178" s="1380"/>
      <c r="HT178" s="1380"/>
      <c r="HU178" s="1380"/>
      <c r="HV178" s="1380"/>
      <c r="HW178" s="1380"/>
      <c r="HX178" s="1380"/>
      <c r="HY178" s="1380"/>
      <c r="HZ178" s="1380"/>
      <c r="IA178" s="1380"/>
      <c r="IB178" s="1380"/>
      <c r="IC178" s="1380"/>
      <c r="ID178" s="1380"/>
      <c r="IE178" s="1380"/>
      <c r="IF178" s="1380"/>
      <c r="IG178" s="1380"/>
      <c r="IH178" s="1380"/>
      <c r="II178" s="1380"/>
      <c r="IJ178" s="1380"/>
      <c r="IK178" s="1380"/>
      <c r="IL178" s="1380"/>
      <c r="IM178" s="1380"/>
      <c r="IN178" s="1380"/>
      <c r="IO178" s="1380"/>
      <c r="IP178" s="1380"/>
      <c r="IQ178" s="1380"/>
      <c r="IR178" s="1380"/>
      <c r="IS178" s="1380"/>
      <c r="IT178" s="1380"/>
      <c r="IU178" s="1380"/>
      <c r="IV178" s="1380"/>
      <c r="IW178" s="1380"/>
      <c r="IX178" s="1380"/>
      <c r="IY178" s="1380"/>
      <c r="IZ178" s="1380"/>
      <c r="JA178" s="1380"/>
      <c r="JB178" s="1380"/>
      <c r="JC178" s="1380"/>
      <c r="JD178" s="1380"/>
      <c r="JE178" s="1380"/>
      <c r="JF178" s="1380"/>
      <c r="JG178" s="1380"/>
      <c r="JH178" s="1380"/>
      <c r="JI178" s="1380"/>
      <c r="JJ178" s="1380"/>
      <c r="JK178" s="1380"/>
      <c r="JL178" s="1380"/>
      <c r="JM178" s="1380"/>
      <c r="JN178" s="1380"/>
      <c r="JO178" s="1380"/>
      <c r="JP178" s="1380"/>
      <c r="JQ178" s="1380"/>
      <c r="JR178" s="1380"/>
      <c r="JS178" s="1380"/>
      <c r="JT178" s="1380"/>
      <c r="JU178" s="1380"/>
      <c r="JV178" s="1380"/>
      <c r="JW178" s="1380"/>
      <c r="JX178" s="1380"/>
      <c r="JY178" s="1380"/>
      <c r="JZ178" s="1380"/>
      <c r="KA178" s="1380"/>
      <c r="KB178" s="1380"/>
      <c r="KC178" s="1380"/>
      <c r="KD178" s="1380"/>
      <c r="KE178" s="1380"/>
      <c r="KF178" s="1380"/>
      <c r="KG178" s="1380"/>
      <c r="KH178" s="1380"/>
      <c r="KI178" s="1380"/>
      <c r="KJ178" s="1380"/>
      <c r="KK178" s="1380"/>
      <c r="KL178" s="1380"/>
      <c r="KM178" s="1380"/>
      <c r="KN178" s="1380"/>
      <c r="KO178" s="1380"/>
      <c r="KP178" s="1380"/>
      <c r="KQ178" s="1380"/>
      <c r="KR178" s="1380"/>
      <c r="KS178" s="1380"/>
      <c r="KT178" s="1380"/>
      <c r="KU178" s="1380"/>
      <c r="KV178" s="1380"/>
      <c r="KW178" s="1380"/>
      <c r="KX178" s="1380"/>
      <c r="KY178" s="1380"/>
      <c r="KZ178" s="1380"/>
      <c r="LA178" s="1380"/>
      <c r="LB178" s="1380"/>
      <c r="LC178" s="1380"/>
      <c r="LD178" s="1380"/>
      <c r="LE178" s="1380"/>
      <c r="LF178" s="1380"/>
      <c r="LG178" s="1380"/>
      <c r="LH178" s="1380"/>
      <c r="LI178" s="1380"/>
      <c r="LJ178" s="1380"/>
      <c r="LK178" s="1380"/>
      <c r="LL178" s="1380"/>
      <c r="LM178" s="1380"/>
      <c r="LN178" s="1380"/>
      <c r="LO178" s="1380"/>
      <c r="LP178" s="1380"/>
      <c r="LQ178" s="1380"/>
      <c r="LR178" s="1380"/>
      <c r="LS178" s="1380"/>
      <c r="LT178" s="1380"/>
      <c r="LU178" s="1380"/>
      <c r="LV178" s="1380"/>
      <c r="LW178" s="1380"/>
      <c r="LX178" s="1380"/>
      <c r="LY178" s="1380"/>
      <c r="LZ178" s="1380"/>
      <c r="MA178" s="1380"/>
      <c r="MB178" s="1380"/>
      <c r="MC178" s="1380"/>
      <c r="MD178" s="1380"/>
      <c r="ME178" s="1380"/>
      <c r="MF178" s="1380"/>
      <c r="MG178" s="1380"/>
      <c r="MH178" s="1380"/>
      <c r="MI178" s="1380"/>
      <c r="MJ178" s="1380"/>
      <c r="MK178" s="1380"/>
      <c r="ML178" s="1380"/>
      <c r="MM178" s="1380"/>
      <c r="MN178" s="1380"/>
      <c r="MO178" s="1380"/>
      <c r="MP178" s="1380"/>
      <c r="MQ178" s="1380"/>
      <c r="MR178" s="1380"/>
      <c r="MS178" s="1380"/>
      <c r="MT178" s="1380"/>
      <c r="MU178" s="2512"/>
      <c r="MV178" s="2512"/>
      <c r="MW178" s="2512"/>
      <c r="MX178" s="2512"/>
      <c r="MY178" s="2512"/>
      <c r="MZ178" s="2512"/>
      <c r="NA178" s="2512"/>
      <c r="NB178" s="2512"/>
      <c r="NC178" s="2512"/>
      <c r="ND178" s="2512"/>
      <c r="NE178" s="2512"/>
      <c r="NF178" s="2512"/>
      <c r="NG178" s="2512"/>
      <c r="NH178" s="2512"/>
      <c r="NI178" s="2512"/>
      <c r="NJ178" s="2512"/>
      <c r="NK178" s="2512"/>
      <c r="NL178" s="2512"/>
      <c r="NM178" s="2512"/>
      <c r="NN178" s="2512"/>
      <c r="NO178" s="1380"/>
      <c r="NP178" s="1380"/>
      <c r="NQ178" s="2082">
        <v>178</v>
      </c>
      <c r="NR178" s="2512"/>
      <c r="NS178" s="2512"/>
      <c r="NT178" s="2512"/>
      <c r="NU178" s="2512"/>
      <c r="NV178" s="2512"/>
      <c r="NW178" s="2512"/>
      <c r="NX178" s="2512"/>
      <c r="NY178" s="2512"/>
      <c r="NZ178" s="2512"/>
      <c r="OA178" s="2512"/>
      <c r="OB178" s="2512"/>
      <c r="OC178" s="2512"/>
      <c r="OD178" s="2512"/>
      <c r="OE178" s="2512"/>
      <c r="OF178" s="2512"/>
      <c r="OG178" s="2512"/>
      <c r="OH178" s="2512"/>
      <c r="OI178" s="2512"/>
      <c r="OJ178" s="2512"/>
      <c r="OK178" s="2512"/>
      <c r="OL178" s="2512"/>
      <c r="OM178" s="2512"/>
      <c r="ON178" s="2512"/>
      <c r="OO178" s="2512"/>
      <c r="OP178" s="2512"/>
      <c r="OQ178" s="2512"/>
      <c r="OR178" s="2512"/>
      <c r="OS178" s="2512"/>
      <c r="OT178" s="2512"/>
      <c r="OU178" s="2512"/>
      <c r="OV178" s="2512"/>
      <c r="OW178" s="2512"/>
      <c r="OX178" s="2512"/>
      <c r="OY178" s="2512"/>
      <c r="OZ178" s="2512"/>
      <c r="PA178" s="2512"/>
      <c r="PB178" s="2512"/>
      <c r="PC178" s="2512"/>
      <c r="PD178" s="2512"/>
      <c r="PE178" s="2512"/>
      <c r="PF178" s="2512"/>
      <c r="PG178" s="2512"/>
      <c r="PH178" s="2512"/>
      <c r="PI178" s="2512"/>
      <c r="PJ178" s="2512"/>
      <c r="PK178" s="2512"/>
      <c r="PL178" s="2512"/>
      <c r="PM178" s="2512"/>
      <c r="PN178" s="2512"/>
      <c r="PO178" s="2512"/>
      <c r="PP178" s="2512"/>
      <c r="PQ178" s="2512"/>
      <c r="PR178" s="2512"/>
      <c r="PS178" s="2512"/>
      <c r="PT178" s="2512"/>
      <c r="PU178" s="2512"/>
      <c r="PV178" s="2512"/>
      <c r="PW178" s="2512"/>
      <c r="PX178" s="2512"/>
      <c r="PY178" s="2512"/>
      <c r="PZ178" s="2512"/>
      <c r="QA178" s="2512"/>
      <c r="QB178" s="2512"/>
      <c r="QC178" s="2512"/>
      <c r="QD178" s="2512"/>
      <c r="QE178" s="2512"/>
      <c r="QF178" s="2512"/>
      <c r="QG178" s="2512"/>
      <c r="QH178" s="2512"/>
      <c r="QI178" s="2512"/>
      <c r="QJ178" s="2512"/>
      <c r="QK178" s="2512"/>
      <c r="QL178" s="2512"/>
      <c r="QM178" s="2512"/>
      <c r="QN178" s="2512"/>
      <c r="QO178" s="2512"/>
      <c r="QP178" s="2512"/>
      <c r="QQ178" s="2512"/>
      <c r="QR178" s="2512"/>
      <c r="QS178" s="2512"/>
      <c r="QT178" s="2512"/>
      <c r="QU178" s="2512"/>
      <c r="QV178" s="2512"/>
      <c r="QW178" s="2512"/>
      <c r="QX178" s="2512"/>
      <c r="QY178" s="2512"/>
      <c r="QZ178" s="2512"/>
      <c r="RA178" s="2512"/>
      <c r="RB178" s="2512"/>
      <c r="RC178" s="2512"/>
      <c r="RD178" s="2512"/>
      <c r="RE178" s="2512"/>
      <c r="RF178" s="2512"/>
      <c r="RG178" s="2512"/>
      <c r="RH178" s="2512"/>
      <c r="RI178" s="2512"/>
      <c r="RJ178" s="2512"/>
      <c r="RK178" s="2512"/>
      <c r="RL178" s="2512"/>
      <c r="RM178" s="2512"/>
      <c r="RN178" s="2512"/>
      <c r="RO178" s="2512"/>
      <c r="RP178" s="2512"/>
      <c r="RQ178" s="2512"/>
      <c r="RR178" s="2512"/>
      <c r="RS178" s="2512"/>
      <c r="RT178" s="2512"/>
      <c r="RU178" s="2512"/>
      <c r="RV178" s="2512"/>
      <c r="RW178" s="2512"/>
      <c r="RX178" s="2512"/>
      <c r="RY178" s="2512"/>
    </row>
    <row r="179" spans="1:493" s="95" customFormat="1" ht="13.35" customHeight="1">
      <c r="A179" s="269"/>
      <c r="B179" s="2512"/>
      <c r="C179" s="159" t="s">
        <v>1270</v>
      </c>
      <c r="D179" s="2512"/>
      <c r="E179" s="2512"/>
      <c r="F179" s="2512"/>
      <c r="G179" s="2512"/>
      <c r="H179" s="2512"/>
      <c r="I179" s="2512"/>
      <c r="J179" s="2512"/>
      <c r="K179" s="3387">
        <f>P172+K178</f>
        <v>49144</v>
      </c>
      <c r="L179" s="3388"/>
      <c r="M179" s="2512"/>
      <c r="N179" s="2512"/>
      <c r="O179" s="2512"/>
      <c r="P179" s="2512"/>
      <c r="Q179" s="2512"/>
      <c r="R179" s="2512"/>
      <c r="S179" s="2512"/>
      <c r="T179" s="2512"/>
      <c r="U179" s="2512"/>
      <c r="V179" s="2512"/>
      <c r="W179" s="2512"/>
      <c r="X179" s="1380"/>
      <c r="Y179" s="1380"/>
      <c r="Z179" s="1202">
        <v>69</v>
      </c>
      <c r="AA179" s="1380"/>
      <c r="AB179" s="1380"/>
      <c r="AC179" s="1380"/>
      <c r="AD179" s="1380"/>
      <c r="AE179" s="1380"/>
      <c r="AF179" s="1380"/>
      <c r="AG179" s="1380"/>
      <c r="AH179" s="1380"/>
      <c r="AI179" s="1380"/>
      <c r="AJ179" s="1380"/>
      <c r="AK179" s="1380"/>
      <c r="AL179" s="1380"/>
      <c r="AM179" s="1380"/>
      <c r="AN179" s="1380"/>
      <c r="AO179" s="1380"/>
      <c r="AP179" s="1380"/>
      <c r="AQ179" s="1380"/>
      <c r="AR179" s="1380"/>
      <c r="AS179" s="1380"/>
      <c r="AT179" s="1380"/>
      <c r="AU179" s="1380"/>
      <c r="AV179" s="1380"/>
      <c r="AW179" s="1380"/>
      <c r="AX179" s="1380"/>
      <c r="AY179" s="1380"/>
      <c r="AZ179" s="1380"/>
      <c r="BA179" s="1380"/>
      <c r="BB179" s="1380"/>
      <c r="BC179" s="1380"/>
      <c r="BD179" s="1380"/>
      <c r="BE179" s="1380"/>
      <c r="BF179" s="1380"/>
      <c r="BG179" s="1380"/>
      <c r="BH179" s="1380"/>
      <c r="BI179" s="1380"/>
      <c r="BJ179" s="1380"/>
      <c r="BK179" s="1380"/>
      <c r="BL179" s="1380"/>
      <c r="BM179" s="1380"/>
      <c r="BN179" s="1380"/>
      <c r="BO179" s="1380"/>
      <c r="BP179" s="1380"/>
      <c r="BQ179" s="1380"/>
      <c r="BR179" s="1380"/>
      <c r="BS179" s="1380"/>
      <c r="BT179" s="1380"/>
      <c r="BU179" s="1380"/>
      <c r="BV179" s="1380"/>
      <c r="BW179" s="1380"/>
      <c r="BX179" s="1380"/>
      <c r="BY179" s="1380"/>
      <c r="BZ179" s="1380"/>
      <c r="CA179" s="1380"/>
      <c r="CB179" s="1380"/>
      <c r="CC179" s="1380"/>
      <c r="CD179" s="1380"/>
      <c r="CE179" s="1380"/>
      <c r="CF179" s="1380"/>
      <c r="CG179" s="1380"/>
      <c r="CH179" s="1380"/>
      <c r="CI179" s="1380"/>
      <c r="CJ179" s="1380"/>
      <c r="CK179" s="1380"/>
      <c r="CL179" s="1380"/>
      <c r="CM179" s="1380"/>
      <c r="CN179" s="1380"/>
      <c r="CO179" s="1380"/>
      <c r="CP179" s="1380"/>
      <c r="CQ179" s="1380"/>
      <c r="CR179" s="1380"/>
      <c r="CS179" s="1380"/>
      <c r="CT179" s="1380"/>
      <c r="CU179" s="1380"/>
      <c r="CV179" s="1380"/>
      <c r="CW179" s="1380"/>
      <c r="CX179" s="1380"/>
      <c r="CY179" s="1380"/>
      <c r="CZ179" s="1380"/>
      <c r="DA179" s="1380"/>
      <c r="DB179" s="1380"/>
      <c r="DC179" s="1380"/>
      <c r="DD179" s="1380"/>
      <c r="DE179" s="1380"/>
      <c r="DF179" s="1380"/>
      <c r="DG179" s="1380"/>
      <c r="DH179" s="1380"/>
      <c r="DI179" s="1380"/>
      <c r="DJ179" s="1380"/>
      <c r="DK179" s="1380"/>
      <c r="DL179" s="1380"/>
      <c r="DM179" s="1380"/>
      <c r="DN179" s="1380"/>
      <c r="DO179" s="1380"/>
      <c r="DP179" s="1380"/>
      <c r="DQ179" s="1380"/>
      <c r="DR179" s="1380"/>
      <c r="DS179" s="1380"/>
      <c r="DT179" s="1380"/>
      <c r="DU179" s="1380"/>
      <c r="DV179" s="1380"/>
      <c r="DW179" s="1380"/>
      <c r="DX179" s="1380"/>
      <c r="DY179" s="1380"/>
      <c r="DZ179" s="1380"/>
      <c r="EA179" s="1380"/>
      <c r="EB179" s="1380"/>
      <c r="EC179" s="1380"/>
      <c r="ED179" s="1380"/>
      <c r="EE179" s="1380"/>
      <c r="EF179" s="1380"/>
      <c r="EG179" s="1380"/>
      <c r="EH179" s="1380"/>
      <c r="EI179" s="1380"/>
      <c r="EJ179" s="1380"/>
      <c r="EK179" s="1380"/>
      <c r="EL179" s="1380"/>
      <c r="EM179" s="1380"/>
      <c r="EN179" s="1380"/>
      <c r="EO179" s="1380"/>
      <c r="EP179" s="1380"/>
      <c r="EQ179" s="1380"/>
      <c r="ER179" s="1380"/>
      <c r="ES179" s="1380"/>
      <c r="ET179" s="1380"/>
      <c r="EU179" s="1380"/>
      <c r="EV179" s="1380"/>
      <c r="EW179" s="1380"/>
      <c r="EX179" s="1380"/>
      <c r="EY179" s="1380"/>
      <c r="EZ179" s="1380"/>
      <c r="FA179" s="1380"/>
      <c r="FB179" s="1380"/>
      <c r="FC179" s="1380"/>
      <c r="FD179" s="1380"/>
      <c r="FE179" s="1380"/>
      <c r="FF179" s="1380"/>
      <c r="FG179" s="1380"/>
      <c r="FH179" s="1380"/>
      <c r="FI179" s="1380"/>
      <c r="FJ179" s="1380"/>
      <c r="FK179" s="1380"/>
      <c r="FL179" s="1380"/>
      <c r="FM179" s="1380"/>
      <c r="FN179" s="1380"/>
      <c r="FO179" s="1380"/>
      <c r="FP179" s="1380"/>
      <c r="FQ179" s="1380"/>
      <c r="FR179" s="1380"/>
      <c r="FS179" s="1380"/>
      <c r="FT179" s="1380"/>
      <c r="FU179" s="1380"/>
      <c r="FV179" s="1380"/>
      <c r="FW179" s="1380"/>
      <c r="FX179" s="1380"/>
      <c r="FY179" s="1380"/>
      <c r="FZ179" s="1380"/>
      <c r="GA179" s="1380"/>
      <c r="GB179" s="1380"/>
      <c r="GC179" s="1380"/>
      <c r="GD179" s="1380"/>
      <c r="GE179" s="1380"/>
      <c r="GF179" s="1380"/>
      <c r="GG179" s="1380"/>
      <c r="GH179" s="1380"/>
      <c r="GI179" s="1380"/>
      <c r="GJ179" s="1380"/>
      <c r="GK179" s="1380"/>
      <c r="GL179" s="1380"/>
      <c r="GM179" s="1380"/>
      <c r="GN179" s="1380"/>
      <c r="GO179" s="1380"/>
      <c r="GP179" s="1380"/>
      <c r="GQ179" s="1380"/>
      <c r="GR179" s="1380"/>
      <c r="GS179" s="1380"/>
      <c r="GT179" s="1380"/>
      <c r="GU179" s="1380"/>
      <c r="GV179" s="1380"/>
      <c r="GW179" s="1380"/>
      <c r="GX179" s="1380"/>
      <c r="GY179" s="1380"/>
      <c r="GZ179" s="1380"/>
      <c r="HA179" s="1380"/>
      <c r="HB179" s="1380"/>
      <c r="HC179" s="1380"/>
      <c r="HD179" s="1380"/>
      <c r="HE179" s="1380"/>
      <c r="HF179" s="1380"/>
      <c r="HG179" s="1380"/>
      <c r="HH179" s="1380"/>
      <c r="HI179" s="1380"/>
      <c r="HJ179" s="1380"/>
      <c r="HK179" s="1380"/>
      <c r="HL179" s="1380"/>
      <c r="HM179" s="1380"/>
      <c r="HN179" s="1380"/>
      <c r="HO179" s="1380"/>
      <c r="HP179" s="1380"/>
      <c r="HQ179" s="1380"/>
      <c r="HR179" s="1380"/>
      <c r="HS179" s="1380"/>
      <c r="HT179" s="1380"/>
      <c r="HU179" s="1380"/>
      <c r="HV179" s="1380"/>
      <c r="HW179" s="1380"/>
      <c r="HX179" s="1380"/>
      <c r="HY179" s="1380"/>
      <c r="HZ179" s="1380"/>
      <c r="IA179" s="1380"/>
      <c r="IB179" s="1380"/>
      <c r="IC179" s="1380"/>
      <c r="ID179" s="1380"/>
      <c r="IE179" s="1380"/>
      <c r="IF179" s="1380"/>
      <c r="IG179" s="1380"/>
      <c r="IH179" s="1380"/>
      <c r="II179" s="1380"/>
      <c r="IJ179" s="1380"/>
      <c r="IK179" s="1380"/>
      <c r="IL179" s="1380"/>
      <c r="IM179" s="1380"/>
      <c r="IN179" s="1380"/>
      <c r="IO179" s="1380"/>
      <c r="IP179" s="1380"/>
      <c r="IQ179" s="1380"/>
      <c r="IR179" s="1380"/>
      <c r="IS179" s="1380"/>
      <c r="IT179" s="1380"/>
      <c r="IU179" s="1380"/>
      <c r="IV179" s="1380"/>
      <c r="IW179" s="1380"/>
      <c r="IX179" s="1380"/>
      <c r="IY179" s="1380"/>
      <c r="IZ179" s="1380"/>
      <c r="JA179" s="1380"/>
      <c r="JB179" s="1380"/>
      <c r="JC179" s="1380"/>
      <c r="JD179" s="1380"/>
      <c r="JE179" s="1380"/>
      <c r="JF179" s="1380"/>
      <c r="JG179" s="1380"/>
      <c r="JH179" s="1380"/>
      <c r="JI179" s="1380"/>
      <c r="JJ179" s="1380"/>
      <c r="JK179" s="1380"/>
      <c r="JL179" s="1380"/>
      <c r="JM179" s="1380"/>
      <c r="JN179" s="1380"/>
      <c r="JO179" s="1380"/>
      <c r="JP179" s="1380"/>
      <c r="JQ179" s="1380"/>
      <c r="JR179" s="1380"/>
      <c r="JS179" s="1380"/>
      <c r="JT179" s="1380"/>
      <c r="JU179" s="1380"/>
      <c r="JV179" s="1380"/>
      <c r="JW179" s="1380"/>
      <c r="JX179" s="1380"/>
      <c r="JY179" s="1380"/>
      <c r="JZ179" s="1380"/>
      <c r="KA179" s="1380"/>
      <c r="KB179" s="1380"/>
      <c r="KC179" s="1380"/>
      <c r="KD179" s="1380"/>
      <c r="KE179" s="1380"/>
      <c r="KF179" s="1380"/>
      <c r="KG179" s="1380"/>
      <c r="KH179" s="1380"/>
      <c r="KI179" s="1380"/>
      <c r="KJ179" s="1380"/>
      <c r="KK179" s="1380"/>
      <c r="KL179" s="1380"/>
      <c r="KM179" s="1380"/>
      <c r="KN179" s="1380"/>
      <c r="KO179" s="1380"/>
      <c r="KP179" s="1380"/>
      <c r="KQ179" s="1380"/>
      <c r="KR179" s="1380"/>
      <c r="KS179" s="1380"/>
      <c r="KT179" s="1380"/>
      <c r="KU179" s="1380"/>
      <c r="KV179" s="1380"/>
      <c r="KW179" s="1380"/>
      <c r="KX179" s="1380"/>
      <c r="KY179" s="1380"/>
      <c r="KZ179" s="1380"/>
      <c r="LA179" s="1380"/>
      <c r="LB179" s="1380"/>
      <c r="LC179" s="1380"/>
      <c r="LD179" s="1380"/>
      <c r="LE179" s="1380"/>
      <c r="LF179" s="1380"/>
      <c r="LG179" s="1380"/>
      <c r="LH179" s="1380"/>
      <c r="LI179" s="1380"/>
      <c r="LJ179" s="1380"/>
      <c r="LK179" s="1380"/>
      <c r="LL179" s="1380"/>
      <c r="LM179" s="1380"/>
      <c r="LN179" s="1380"/>
      <c r="LO179" s="1380"/>
      <c r="LP179" s="1380"/>
      <c r="LQ179" s="1380"/>
      <c r="LR179" s="1380"/>
      <c r="LS179" s="1380"/>
      <c r="LT179" s="1380"/>
      <c r="LU179" s="1380"/>
      <c r="LV179" s="1380"/>
      <c r="LW179" s="1380"/>
      <c r="LX179" s="1380"/>
      <c r="LY179" s="1380"/>
      <c r="LZ179" s="1380"/>
      <c r="MA179" s="1380"/>
      <c r="MB179" s="1380"/>
      <c r="MC179" s="1380"/>
      <c r="MD179" s="1380"/>
      <c r="ME179" s="1380"/>
      <c r="MF179" s="1380"/>
      <c r="MG179" s="1380"/>
      <c r="MH179" s="1380"/>
      <c r="MI179" s="1380"/>
      <c r="MJ179" s="1380"/>
      <c r="MK179" s="1380"/>
      <c r="ML179" s="1380"/>
      <c r="MM179" s="1380"/>
      <c r="MN179" s="1380"/>
      <c r="MO179" s="1380"/>
      <c r="MP179" s="1380"/>
      <c r="MQ179" s="1380"/>
      <c r="MR179" s="1380"/>
      <c r="MS179" s="1380"/>
      <c r="MT179" s="1380"/>
      <c r="MU179" s="2512"/>
      <c r="MV179" s="2512"/>
      <c r="MW179" s="2512"/>
      <c r="MX179" s="2512"/>
      <c r="MY179" s="2512"/>
      <c r="MZ179" s="2512"/>
      <c r="NA179" s="2512"/>
      <c r="NB179" s="2512"/>
      <c r="NC179" s="2512"/>
      <c r="ND179" s="2512"/>
      <c r="NE179" s="2512"/>
      <c r="NF179" s="2512"/>
      <c r="NG179" s="2512"/>
      <c r="NH179" s="2512"/>
      <c r="NI179" s="2512"/>
      <c r="NJ179" s="2512"/>
      <c r="NK179" s="2512"/>
      <c r="NL179" s="2512"/>
      <c r="NM179" s="2512"/>
      <c r="NN179" s="2512"/>
      <c r="NO179" s="1380"/>
      <c r="NP179" s="1380"/>
      <c r="NQ179" s="2080">
        <v>179</v>
      </c>
      <c r="NR179" s="2512"/>
      <c r="NS179" s="2512"/>
      <c r="NT179" s="2512"/>
      <c r="NU179" s="2512"/>
      <c r="NV179" s="2512"/>
      <c r="NW179" s="2512"/>
      <c r="NX179" s="2512"/>
      <c r="NY179" s="2512"/>
      <c r="NZ179" s="2512"/>
      <c r="OA179" s="2512"/>
      <c r="OB179" s="2512"/>
      <c r="OC179" s="2512"/>
      <c r="OD179" s="2512"/>
      <c r="OE179" s="2512"/>
      <c r="OF179" s="2512"/>
      <c r="OG179" s="2512"/>
      <c r="OH179" s="2512"/>
      <c r="OI179" s="2512"/>
      <c r="OJ179" s="2512"/>
      <c r="OK179" s="2512"/>
      <c r="OL179" s="2512"/>
      <c r="OM179" s="2512"/>
      <c r="ON179" s="2512"/>
      <c r="OO179" s="2512"/>
      <c r="OP179" s="2512"/>
      <c r="OQ179" s="2512"/>
      <c r="OR179" s="2512"/>
      <c r="OS179" s="2512"/>
      <c r="OT179" s="2512"/>
      <c r="OU179" s="2512"/>
      <c r="OV179" s="2512"/>
      <c r="OW179" s="2512"/>
      <c r="OX179" s="2512"/>
      <c r="OY179" s="2512"/>
      <c r="OZ179" s="2512"/>
      <c r="PA179" s="2512"/>
      <c r="PB179" s="2512"/>
      <c r="PC179" s="2512"/>
      <c r="PD179" s="2512"/>
      <c r="PE179" s="2512"/>
      <c r="PF179" s="2512"/>
      <c r="PG179" s="2512"/>
      <c r="PH179" s="2512"/>
      <c r="PI179" s="2512"/>
      <c r="PJ179" s="2512"/>
      <c r="PK179" s="2512"/>
      <c r="PL179" s="2512"/>
      <c r="PM179" s="2512"/>
      <c r="PN179" s="2512"/>
      <c r="PO179" s="2512"/>
      <c r="PP179" s="2512"/>
      <c r="PQ179" s="2512"/>
      <c r="PR179" s="2512"/>
      <c r="PS179" s="2512"/>
      <c r="PT179" s="2512"/>
      <c r="PU179" s="2512"/>
      <c r="PV179" s="2512"/>
      <c r="PW179" s="2512"/>
      <c r="PX179" s="2512"/>
      <c r="PY179" s="2512"/>
      <c r="PZ179" s="2512"/>
      <c r="QA179" s="2512"/>
      <c r="QB179" s="2512"/>
      <c r="QC179" s="2512"/>
      <c r="QD179" s="2512"/>
      <c r="QE179" s="2512"/>
      <c r="QF179" s="2512"/>
      <c r="QG179" s="2512"/>
      <c r="QH179" s="2512"/>
      <c r="QI179" s="2512"/>
      <c r="QJ179" s="2512"/>
      <c r="QK179" s="2512"/>
      <c r="QL179" s="2512"/>
      <c r="QM179" s="2512"/>
      <c r="QN179" s="2512"/>
      <c r="QO179" s="2512"/>
      <c r="QP179" s="2512"/>
      <c r="QQ179" s="2512"/>
      <c r="QR179" s="2512"/>
      <c r="QS179" s="2512"/>
      <c r="QT179" s="2512"/>
      <c r="QU179" s="2512"/>
      <c r="QV179" s="2512"/>
      <c r="QW179" s="2512"/>
      <c r="QX179" s="2512"/>
      <c r="QY179" s="2512"/>
      <c r="QZ179" s="2512"/>
      <c r="RA179" s="2512"/>
      <c r="RB179" s="2512"/>
      <c r="RC179" s="2512"/>
      <c r="RD179" s="2512"/>
      <c r="RE179" s="2512"/>
      <c r="RF179" s="2512"/>
      <c r="RG179" s="2512"/>
      <c r="RH179" s="2512"/>
      <c r="RI179" s="2512"/>
      <c r="RJ179" s="2512"/>
      <c r="RK179" s="2512"/>
      <c r="RL179" s="2512"/>
      <c r="RM179" s="2512"/>
      <c r="RN179" s="2512"/>
      <c r="RO179" s="2512"/>
      <c r="RP179" s="2512"/>
      <c r="RQ179" s="2512"/>
      <c r="RR179" s="2512"/>
      <c r="RS179" s="2512"/>
      <c r="RT179" s="2512"/>
      <c r="RU179" s="2512"/>
      <c r="RV179" s="2512"/>
      <c r="RW179" s="2512"/>
      <c r="RX179" s="2512"/>
      <c r="RY179" s="2512"/>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454"/>
      <c r="JX180" s="253"/>
      <c r="JY180" s="253"/>
      <c r="JZ180" s="253"/>
      <c r="KA180" s="253"/>
      <c r="KB180" s="1454"/>
      <c r="KC180" s="253"/>
      <c r="KD180" s="253"/>
      <c r="KE180" s="253"/>
      <c r="KF180" s="253"/>
      <c r="KG180" s="1454"/>
      <c r="KH180" s="253"/>
      <c r="KI180" s="253"/>
      <c r="KJ180" s="253"/>
      <c r="KK180" s="253"/>
      <c r="KL180" s="1454"/>
      <c r="KM180" s="1454"/>
      <c r="KN180" s="1454"/>
      <c r="KO180" s="1454"/>
      <c r="KP180" s="1454"/>
      <c r="KQ180" s="1454"/>
      <c r="KR180" s="1454"/>
      <c r="KS180" s="1454"/>
      <c r="KT180" s="1454"/>
      <c r="KU180" s="1454"/>
      <c r="KV180" s="1454"/>
      <c r="KW180" s="1454"/>
      <c r="KX180" s="1454"/>
      <c r="KY180" s="1454"/>
      <c r="KZ180" s="1454"/>
      <c r="LA180" s="1454"/>
      <c r="LB180" s="1454"/>
      <c r="LC180" s="1454"/>
      <c r="LD180" s="1454"/>
      <c r="LE180" s="1454"/>
      <c r="LF180" s="1454"/>
      <c r="LG180" s="1454"/>
      <c r="LH180" s="253"/>
      <c r="LI180" s="253"/>
      <c r="LJ180" s="253"/>
      <c r="LK180" s="253"/>
      <c r="LL180" s="253"/>
      <c r="LM180" s="253"/>
      <c r="LN180" s="1317"/>
      <c r="LO180" s="253"/>
      <c r="LP180" s="253"/>
      <c r="LQ180" s="253"/>
      <c r="LR180" s="253"/>
      <c r="LS180" s="253"/>
      <c r="LT180" s="253"/>
      <c r="LU180" s="253"/>
      <c r="LV180" s="253"/>
      <c r="LW180" s="253"/>
      <c r="LX180" s="253"/>
      <c r="LY180" s="253"/>
      <c r="LZ180" s="253"/>
      <c r="MA180" s="253"/>
      <c r="MB180" s="253"/>
      <c r="MC180" s="253"/>
      <c r="MD180" s="1317"/>
      <c r="ME180" s="1317"/>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292"/>
      <c r="NQ180" s="2082">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51</v>
      </c>
      <c r="B181" s="6" t="s">
        <v>1271</v>
      </c>
      <c r="C181" s="77"/>
      <c r="D181" s="77"/>
      <c r="E181" s="77"/>
      <c r="F181" s="77"/>
      <c r="G181" s="77"/>
      <c r="H181" s="77"/>
      <c r="I181" s="77"/>
      <c r="J181" s="77"/>
      <c r="K181" s="77"/>
      <c r="L181" s="77"/>
      <c r="M181" s="77"/>
      <c r="N181" s="77"/>
      <c r="O181" s="77"/>
      <c r="P181" s="77"/>
      <c r="Q181" s="77"/>
      <c r="R181" s="77"/>
      <c r="S181" s="6" t="s">
        <v>814</v>
      </c>
      <c r="U181" s="41"/>
      <c r="JW181" s="251"/>
      <c r="KB181" s="251"/>
      <c r="KG181" s="251"/>
      <c r="KL181" s="251"/>
      <c r="LH181" s="1318"/>
      <c r="LN181" s="251"/>
      <c r="LO181" s="255"/>
      <c r="MD181" s="251"/>
      <c r="MF181" s="255"/>
      <c r="NQ181" s="2082">
        <v>181</v>
      </c>
    </row>
    <row r="182" spans="1:493" ht="2.25" customHeight="1">
      <c r="A182" s="77"/>
      <c r="B182" s="77"/>
      <c r="C182" s="77"/>
      <c r="D182" s="77"/>
      <c r="E182" s="77"/>
      <c r="F182" s="77"/>
      <c r="G182" s="77"/>
      <c r="H182" s="77"/>
      <c r="I182" s="77"/>
      <c r="J182" s="77"/>
      <c r="K182" s="77"/>
      <c r="L182" s="77"/>
      <c r="M182" s="77"/>
      <c r="N182" s="77"/>
      <c r="O182" s="77"/>
      <c r="P182" s="77"/>
      <c r="Q182" s="41"/>
      <c r="R182" s="41"/>
      <c r="NQ182" s="2082">
        <v>182</v>
      </c>
    </row>
    <row r="183" spans="1:493" s="41" customFormat="1" ht="15.6" customHeight="1">
      <c r="A183" s="43"/>
      <c r="B183" s="92" t="s">
        <v>1272</v>
      </c>
      <c r="C183" s="48"/>
      <c r="D183" s="48"/>
      <c r="E183" s="48"/>
      <c r="F183" s="48"/>
      <c r="G183" s="48"/>
      <c r="H183" s="3449">
        <f>'Part VI-Pro Forma'!B10*M50</f>
        <v>16260.48</v>
      </c>
      <c r="I183" s="3449"/>
      <c r="J183" s="1037" t="s">
        <v>1273</v>
      </c>
      <c r="M183" s="48"/>
      <c r="N183" s="48"/>
      <c r="O183" s="48"/>
      <c r="P183" s="2734">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454"/>
      <c r="JX183" s="253"/>
      <c r="JY183" s="253"/>
      <c r="JZ183" s="253"/>
      <c r="KA183" s="253"/>
      <c r="KB183" s="1454"/>
      <c r="KC183" s="253"/>
      <c r="KD183" s="253"/>
      <c r="KE183" s="253"/>
      <c r="KF183" s="253"/>
      <c r="KG183" s="1454"/>
      <c r="KH183" s="253"/>
      <c r="KI183" s="253"/>
      <c r="KJ183" s="253"/>
      <c r="KK183" s="253"/>
      <c r="KL183" s="1454"/>
      <c r="KM183" s="1454"/>
      <c r="KN183" s="1454"/>
      <c r="KO183" s="1454"/>
      <c r="KP183" s="1454"/>
      <c r="KQ183" s="1454"/>
      <c r="KR183" s="1454"/>
      <c r="KS183" s="1454"/>
      <c r="KT183" s="1454"/>
      <c r="KU183" s="1454"/>
      <c r="KV183" s="1454"/>
      <c r="KW183" s="1454"/>
      <c r="KX183" s="1454"/>
      <c r="KY183" s="1454"/>
      <c r="KZ183" s="1454"/>
      <c r="LA183" s="1454"/>
      <c r="LB183" s="1454"/>
      <c r="LC183" s="1454"/>
      <c r="LD183" s="1454"/>
      <c r="LE183" s="1454"/>
      <c r="LF183" s="1454"/>
      <c r="LG183" s="1454"/>
      <c r="LH183" s="253"/>
      <c r="LI183" s="253"/>
      <c r="LJ183" s="253"/>
      <c r="LK183" s="253"/>
      <c r="LL183" s="253"/>
      <c r="LM183" s="253"/>
      <c r="LN183" s="1317"/>
      <c r="LO183" s="253"/>
      <c r="LP183" s="253"/>
      <c r="LQ183" s="253"/>
      <c r="LR183" s="253"/>
      <c r="LS183" s="253"/>
      <c r="LT183" s="253"/>
      <c r="LU183" s="253"/>
      <c r="LV183" s="253"/>
      <c r="LW183" s="253"/>
      <c r="LX183" s="253"/>
      <c r="LY183" s="253"/>
      <c r="LZ183" s="253"/>
      <c r="MA183" s="253"/>
      <c r="MB183" s="253"/>
      <c r="MC183" s="253"/>
      <c r="MD183" s="1317"/>
      <c r="ME183" s="1317"/>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293"/>
      <c r="NQ183" s="2082">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92"/>
      <c r="C184" s="40"/>
      <c r="D184" s="48"/>
      <c r="E184" s="40"/>
      <c r="F184" s="40"/>
      <c r="G184" s="40"/>
      <c r="H184" s="40"/>
      <c r="I184" s="40"/>
      <c r="J184" s="52"/>
      <c r="K184" s="40"/>
      <c r="L184" s="40"/>
      <c r="M184" s="40"/>
      <c r="N184" s="40"/>
      <c r="O184" s="40"/>
      <c r="P184" s="40"/>
      <c r="Q184" s="210"/>
      <c r="R184" s="210"/>
      <c r="NP184" s="1293"/>
      <c r="NQ184" s="2082">
        <v>184</v>
      </c>
    </row>
    <row r="185" spans="1:493" ht="15.6" customHeight="1">
      <c r="A185" s="77"/>
      <c r="B185" s="292" t="s">
        <v>1274</v>
      </c>
      <c r="C185" s="40"/>
      <c r="D185" s="40"/>
      <c r="E185" s="40"/>
      <c r="F185" s="40"/>
      <c r="G185" s="40"/>
      <c r="H185" s="40"/>
      <c r="I185" s="40"/>
      <c r="J185" s="292"/>
      <c r="K185" s="40"/>
      <c r="L185" s="528"/>
      <c r="M185" s="40"/>
      <c r="N185" s="40"/>
      <c r="O185" s="40"/>
      <c r="P185" s="40"/>
      <c r="Q185" s="54"/>
      <c r="S185" s="2541" t="str">
        <f>B185</f>
        <v>Other Income (OI) by Year:</v>
      </c>
      <c r="NP185" s="1293"/>
      <c r="NQ185" s="2083">
        <v>185</v>
      </c>
    </row>
    <row r="186" spans="1:493" ht="15.6" customHeight="1">
      <c r="A186" s="77"/>
      <c r="B186" s="529" t="s">
        <v>1275</v>
      </c>
      <c r="C186" s="40"/>
      <c r="D186" s="40"/>
      <c r="E186" s="40"/>
      <c r="F186" s="40"/>
      <c r="G186" s="77"/>
      <c r="H186" s="530">
        <v>1</v>
      </c>
      <c r="I186" s="530">
        <v>2</v>
      </c>
      <c r="J186" s="530">
        <v>3</v>
      </c>
      <c r="K186" s="530">
        <v>4</v>
      </c>
      <c r="L186" s="531">
        <v>5</v>
      </c>
      <c r="M186" s="530">
        <v>6</v>
      </c>
      <c r="N186" s="530">
        <v>7</v>
      </c>
      <c r="O186" s="530">
        <v>8</v>
      </c>
      <c r="P186" s="530">
        <v>9</v>
      </c>
      <c r="Q186" s="530">
        <v>10</v>
      </c>
      <c r="R186" s="360"/>
      <c r="S186" s="43" t="str">
        <f>B186</f>
        <v>Included in Mgt Fee:</v>
      </c>
      <c r="NP186" s="1293"/>
      <c r="NQ186" s="2082">
        <v>186</v>
      </c>
    </row>
    <row r="187" spans="1:493" ht="15.6" customHeight="1">
      <c r="A187" s="77"/>
      <c r="B187" s="48" t="s">
        <v>1276</v>
      </c>
      <c r="C187" s="48"/>
      <c r="D187" s="48"/>
      <c r="E187" s="48"/>
      <c r="F187" s="48"/>
      <c r="G187" s="77"/>
      <c r="H187" s="2735"/>
      <c r="I187" s="2735"/>
      <c r="J187" s="2735"/>
      <c r="K187" s="2735"/>
      <c r="L187" s="2735"/>
      <c r="M187" s="2735"/>
      <c r="N187" s="2735"/>
      <c r="O187" s="2735"/>
      <c r="P187" s="2735"/>
      <c r="Q187" s="2735"/>
      <c r="R187" s="2736"/>
      <c r="S187" s="3365"/>
      <c r="T187" s="3366"/>
      <c r="U187" s="3366"/>
      <c r="V187" s="3366"/>
      <c r="W187" s="3367"/>
      <c r="NQ187" s="2080">
        <v>187</v>
      </c>
    </row>
    <row r="188" spans="1:493" ht="15.6" customHeight="1">
      <c r="A188" s="77"/>
      <c r="B188" s="48" t="s">
        <v>450</v>
      </c>
      <c r="C188" s="3389"/>
      <c r="D188" s="3390"/>
      <c r="E188" s="3390"/>
      <c r="F188" s="3391"/>
      <c r="G188" s="77"/>
      <c r="H188" s="532"/>
      <c r="I188" s="532"/>
      <c r="J188" s="532"/>
      <c r="K188" s="532"/>
      <c r="L188" s="533"/>
      <c r="M188" s="532"/>
      <c r="N188" s="532"/>
      <c r="O188" s="532"/>
      <c r="P188" s="532"/>
      <c r="Q188" s="532"/>
      <c r="R188" s="2736"/>
      <c r="S188" s="3359"/>
      <c r="T188" s="3360"/>
      <c r="U188" s="3360"/>
      <c r="V188" s="3360"/>
      <c r="W188" s="3361"/>
      <c r="NQ188" s="2082">
        <v>188</v>
      </c>
    </row>
    <row r="189" spans="1:493" ht="15.6" customHeight="1">
      <c r="A189" s="77"/>
      <c r="B189" s="48"/>
      <c r="C189" s="48" t="s">
        <v>1277</v>
      </c>
      <c r="D189" s="48"/>
      <c r="E189" s="48"/>
      <c r="F189" s="48"/>
      <c r="G189" s="77"/>
      <c r="H189" s="2737">
        <f>SUM(H187:H188)</f>
        <v>0</v>
      </c>
      <c r="I189" s="2737">
        <f>SUM(I187:I188)</f>
        <v>0</v>
      </c>
      <c r="J189" s="2737">
        <f t="shared" ref="J189:Q189" si="370">SUM(J187:J188)</f>
        <v>0</v>
      </c>
      <c r="K189" s="2737">
        <f t="shared" si="370"/>
        <v>0</v>
      </c>
      <c r="L189" s="2737">
        <f t="shared" si="370"/>
        <v>0</v>
      </c>
      <c r="M189" s="2737">
        <f t="shared" si="370"/>
        <v>0</v>
      </c>
      <c r="N189" s="2737">
        <f t="shared" si="370"/>
        <v>0</v>
      </c>
      <c r="O189" s="2737">
        <f t="shared" si="370"/>
        <v>0</v>
      </c>
      <c r="P189" s="2737">
        <f t="shared" si="370"/>
        <v>0</v>
      </c>
      <c r="Q189" s="2737">
        <f t="shared" si="370"/>
        <v>0</v>
      </c>
      <c r="R189" s="328"/>
      <c r="S189" s="3371"/>
      <c r="T189" s="3372"/>
      <c r="U189" s="3372"/>
      <c r="V189" s="3372"/>
      <c r="W189" s="3373"/>
      <c r="NP189" s="1293"/>
      <c r="NQ189" s="2082">
        <v>189</v>
      </c>
    </row>
    <row r="190" spans="1:493" ht="15.6" customHeight="1">
      <c r="A190" s="77"/>
      <c r="B190" s="534" t="s">
        <v>1278</v>
      </c>
      <c r="C190" s="40"/>
      <c r="D190" s="40"/>
      <c r="E190" s="40"/>
      <c r="F190" s="40"/>
      <c r="G190" s="77"/>
      <c r="H190" s="535"/>
      <c r="I190" s="40"/>
      <c r="J190" s="40"/>
      <c r="K190" s="40"/>
      <c r="L190" s="40"/>
      <c r="M190" s="40"/>
      <c r="N190" s="40"/>
      <c r="O190" s="40"/>
      <c r="P190" s="40"/>
      <c r="Q190" s="40"/>
      <c r="R190" s="77"/>
      <c r="S190" s="43" t="str">
        <f>B190</f>
        <v>NOT Included in Mgt Fee:</v>
      </c>
      <c r="NQ190" s="2080">
        <v>190</v>
      </c>
    </row>
    <row r="191" spans="1:493" ht="15.6" customHeight="1">
      <c r="A191" s="77"/>
      <c r="B191" s="48" t="s">
        <v>1279</v>
      </c>
      <c r="C191" s="48"/>
      <c r="D191" s="48"/>
      <c r="E191" s="48"/>
      <c r="F191" s="48"/>
      <c r="G191" s="77"/>
      <c r="H191" s="2735"/>
      <c r="I191" s="2735"/>
      <c r="J191" s="2735"/>
      <c r="K191" s="2735"/>
      <c r="L191" s="2735"/>
      <c r="M191" s="2735"/>
      <c r="N191" s="2735"/>
      <c r="O191" s="2735"/>
      <c r="P191" s="2735"/>
      <c r="Q191" s="2735"/>
      <c r="R191" s="2736"/>
      <c r="S191" s="3365"/>
      <c r="T191" s="3366"/>
      <c r="U191" s="3366"/>
      <c r="V191" s="3366"/>
      <c r="W191" s="3367"/>
      <c r="NQ191" s="2082">
        <v>191</v>
      </c>
    </row>
    <row r="192" spans="1:493" ht="15.6" customHeight="1">
      <c r="A192" s="77"/>
      <c r="B192" s="48" t="s">
        <v>450</v>
      </c>
      <c r="C192" s="3389"/>
      <c r="D192" s="3390"/>
      <c r="E192" s="3390"/>
      <c r="F192" s="3391"/>
      <c r="G192" s="77"/>
      <c r="H192" s="532"/>
      <c r="I192" s="532"/>
      <c r="J192" s="532"/>
      <c r="K192" s="532"/>
      <c r="L192" s="533"/>
      <c r="M192" s="532"/>
      <c r="N192" s="532"/>
      <c r="O192" s="532"/>
      <c r="P192" s="532"/>
      <c r="Q192" s="532"/>
      <c r="R192" s="2736"/>
      <c r="S192" s="3359"/>
      <c r="T192" s="3360"/>
      <c r="U192" s="3360"/>
      <c r="V192" s="3360"/>
      <c r="W192" s="3361"/>
      <c r="NQ192" s="2082">
        <v>192</v>
      </c>
    </row>
    <row r="193" spans="1:493" ht="15.6" customHeight="1">
      <c r="A193" s="77"/>
      <c r="B193" s="48"/>
      <c r="C193" s="48" t="s">
        <v>1280</v>
      </c>
      <c r="D193" s="48"/>
      <c r="E193" s="48"/>
      <c r="F193" s="48"/>
      <c r="G193" s="77"/>
      <c r="H193" s="2737">
        <f>SUM(H191:H192)</f>
        <v>0</v>
      </c>
      <c r="I193" s="2737">
        <f>SUM(I191:I192)</f>
        <v>0</v>
      </c>
      <c r="J193" s="2737">
        <f t="shared" ref="J193:Q193" si="371">SUM(J191:J192)</f>
        <v>0</v>
      </c>
      <c r="K193" s="2737">
        <f t="shared" si="371"/>
        <v>0</v>
      </c>
      <c r="L193" s="2737">
        <f t="shared" si="371"/>
        <v>0</v>
      </c>
      <c r="M193" s="2737">
        <f t="shared" si="371"/>
        <v>0</v>
      </c>
      <c r="N193" s="2737">
        <f t="shared" si="371"/>
        <v>0</v>
      </c>
      <c r="O193" s="2737">
        <f t="shared" si="371"/>
        <v>0</v>
      </c>
      <c r="P193" s="2737">
        <f t="shared" si="371"/>
        <v>0</v>
      </c>
      <c r="Q193" s="2737">
        <f t="shared" si="371"/>
        <v>0</v>
      </c>
      <c r="R193" s="328"/>
      <c r="S193" s="3371"/>
      <c r="T193" s="3372"/>
      <c r="U193" s="3372"/>
      <c r="V193" s="3372"/>
      <c r="W193" s="3373"/>
      <c r="NQ193" s="2082">
        <v>193</v>
      </c>
    </row>
    <row r="194" spans="1:493" ht="15.6" customHeight="1">
      <c r="A194" s="77"/>
      <c r="B194" s="292"/>
      <c r="C194" s="40"/>
      <c r="D194" s="40"/>
      <c r="E194" s="40"/>
      <c r="F194" s="40"/>
      <c r="G194" s="77"/>
      <c r="H194" s="535"/>
      <c r="I194" s="40"/>
      <c r="J194" s="40"/>
      <c r="K194" s="40"/>
      <c r="L194" s="40"/>
      <c r="M194" s="40"/>
      <c r="N194" s="40"/>
      <c r="O194" s="40"/>
      <c r="P194" s="40"/>
      <c r="Q194" s="40"/>
      <c r="R194" s="77"/>
      <c r="NQ194" s="2082">
        <v>194</v>
      </c>
    </row>
    <row r="195" spans="1:493" ht="15.6" customHeight="1">
      <c r="A195" s="77"/>
      <c r="B195" s="529" t="s">
        <v>1275</v>
      </c>
      <c r="C195" s="40"/>
      <c r="D195" s="40"/>
      <c r="E195" s="40"/>
      <c r="F195" s="40"/>
      <c r="G195" s="77"/>
      <c r="H195" s="530">
        <v>11</v>
      </c>
      <c r="I195" s="530">
        <v>12</v>
      </c>
      <c r="J195" s="530">
        <v>13</v>
      </c>
      <c r="K195" s="530">
        <v>14</v>
      </c>
      <c r="L195" s="530">
        <v>15</v>
      </c>
      <c r="M195" s="530">
        <v>16</v>
      </c>
      <c r="N195" s="530">
        <v>17</v>
      </c>
      <c r="O195" s="530">
        <v>18</v>
      </c>
      <c r="P195" s="530">
        <v>19</v>
      </c>
      <c r="Q195" s="530">
        <v>20</v>
      </c>
      <c r="S195" s="72" t="s">
        <v>1281</v>
      </c>
      <c r="T195" s="43" t="str">
        <f>B195</f>
        <v>Included in Mgt Fee:</v>
      </c>
      <c r="NQ195" s="2082">
        <v>195</v>
      </c>
    </row>
    <row r="196" spans="1:493" ht="15.6" customHeight="1">
      <c r="A196" s="35"/>
      <c r="B196" s="48" t="s">
        <v>1276</v>
      </c>
      <c r="C196" s="48"/>
      <c r="D196" s="48"/>
      <c r="E196" s="48"/>
      <c r="F196" s="48"/>
      <c r="G196" s="77"/>
      <c r="H196" s="2735"/>
      <c r="I196" s="2735"/>
      <c r="J196" s="2735"/>
      <c r="K196" s="2735"/>
      <c r="L196" s="2738"/>
      <c r="M196" s="2735"/>
      <c r="N196" s="2735"/>
      <c r="O196" s="2735"/>
      <c r="P196" s="2735"/>
      <c r="Q196" s="2735"/>
      <c r="R196" s="2736"/>
      <c r="S196" s="3365"/>
      <c r="T196" s="3366"/>
      <c r="U196" s="3366"/>
      <c r="V196" s="3366"/>
      <c r="W196" s="3367"/>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2083">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450</v>
      </c>
      <c r="C197" s="3389"/>
      <c r="D197" s="3390"/>
      <c r="E197" s="3390"/>
      <c r="F197" s="3391"/>
      <c r="G197" s="77"/>
      <c r="H197" s="532"/>
      <c r="I197" s="532"/>
      <c r="J197" s="532"/>
      <c r="K197" s="532"/>
      <c r="L197" s="533"/>
      <c r="M197" s="532"/>
      <c r="N197" s="532"/>
      <c r="O197" s="532"/>
      <c r="P197" s="532"/>
      <c r="Q197" s="532"/>
      <c r="R197" s="2736"/>
      <c r="S197" s="3359"/>
      <c r="T197" s="3360"/>
      <c r="U197" s="3360"/>
      <c r="V197" s="3360"/>
      <c r="W197" s="3361"/>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2082">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1277</v>
      </c>
      <c r="D198" s="48"/>
      <c r="E198" s="48"/>
      <c r="F198" s="48"/>
      <c r="G198" s="77"/>
      <c r="H198" s="2737">
        <f>SUM(H196:H197)</f>
        <v>0</v>
      </c>
      <c r="I198" s="2737">
        <f>SUM(I196:I197)</f>
        <v>0</v>
      </c>
      <c r="J198" s="2737">
        <f t="shared" ref="J198:Q198" si="372">SUM(J196:J197)</f>
        <v>0</v>
      </c>
      <c r="K198" s="2737">
        <f t="shared" si="372"/>
        <v>0</v>
      </c>
      <c r="L198" s="2737">
        <f t="shared" si="372"/>
        <v>0</v>
      </c>
      <c r="M198" s="2737">
        <f t="shared" si="372"/>
        <v>0</v>
      </c>
      <c r="N198" s="2737">
        <f t="shared" si="372"/>
        <v>0</v>
      </c>
      <c r="O198" s="2737">
        <f t="shared" si="372"/>
        <v>0</v>
      </c>
      <c r="P198" s="2737">
        <f t="shared" si="372"/>
        <v>0</v>
      </c>
      <c r="Q198" s="2737">
        <f t="shared" si="372"/>
        <v>0</v>
      </c>
      <c r="R198" s="328"/>
      <c r="S198" s="3371"/>
      <c r="T198" s="3372"/>
      <c r="U198" s="3372"/>
      <c r="V198" s="3372"/>
      <c r="W198" s="3373"/>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2080">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34" t="s">
        <v>1278</v>
      </c>
      <c r="C199" s="40"/>
      <c r="D199" s="40"/>
      <c r="E199" s="40"/>
      <c r="F199" s="40"/>
      <c r="G199" s="77"/>
      <c r="H199" s="535"/>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2082">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1279</v>
      </c>
      <c r="C200" s="48"/>
      <c r="D200" s="48"/>
      <c r="E200" s="48"/>
      <c r="F200" s="48"/>
      <c r="G200" s="77"/>
      <c r="H200" s="2735"/>
      <c r="I200" s="2735"/>
      <c r="J200" s="2735"/>
      <c r="K200" s="2735"/>
      <c r="L200" s="2738"/>
      <c r="M200" s="2735"/>
      <c r="N200" s="2735"/>
      <c r="O200" s="2735"/>
      <c r="P200" s="2735"/>
      <c r="Q200" s="2735"/>
      <c r="R200" s="2736"/>
      <c r="S200" s="3365"/>
      <c r="T200" s="3366"/>
      <c r="U200" s="3366"/>
      <c r="V200" s="3366"/>
      <c r="W200" s="3367"/>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2082">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450</v>
      </c>
      <c r="C201" s="3389"/>
      <c r="D201" s="3390"/>
      <c r="E201" s="3390"/>
      <c r="F201" s="3391"/>
      <c r="G201" s="77"/>
      <c r="H201" s="532"/>
      <c r="I201" s="532"/>
      <c r="J201" s="532"/>
      <c r="K201" s="532"/>
      <c r="L201" s="533"/>
      <c r="M201" s="532"/>
      <c r="N201" s="532"/>
      <c r="O201" s="532"/>
      <c r="P201" s="532"/>
      <c r="Q201" s="532"/>
      <c r="R201" s="2736"/>
      <c r="S201" s="3359"/>
      <c r="T201" s="3360"/>
      <c r="U201" s="3360"/>
      <c r="V201" s="3360"/>
      <c r="W201" s="3361"/>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2080">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1280</v>
      </c>
      <c r="D202" s="48"/>
      <c r="E202" s="48"/>
      <c r="F202" s="48"/>
      <c r="G202" s="77"/>
      <c r="H202" s="2737">
        <f>SUM(H200:H201)</f>
        <v>0</v>
      </c>
      <c r="I202" s="2737">
        <f>SUM(I200:I201)</f>
        <v>0</v>
      </c>
      <c r="J202" s="2737">
        <f t="shared" ref="J202:Q202" si="373">SUM(J200:J201)</f>
        <v>0</v>
      </c>
      <c r="K202" s="2737">
        <f t="shared" si="373"/>
        <v>0</v>
      </c>
      <c r="L202" s="2737">
        <f t="shared" si="373"/>
        <v>0</v>
      </c>
      <c r="M202" s="2737">
        <f t="shared" si="373"/>
        <v>0</v>
      </c>
      <c r="N202" s="2737">
        <f t="shared" si="373"/>
        <v>0</v>
      </c>
      <c r="O202" s="2737">
        <f t="shared" si="373"/>
        <v>0</v>
      </c>
      <c r="P202" s="2737">
        <f t="shared" si="373"/>
        <v>0</v>
      </c>
      <c r="Q202" s="2737">
        <f t="shared" si="373"/>
        <v>0</v>
      </c>
      <c r="R202" s="328"/>
      <c r="S202" s="3371"/>
      <c r="T202" s="3372"/>
      <c r="U202" s="3372"/>
      <c r="V202" s="3372"/>
      <c r="W202" s="3373"/>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2082">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92"/>
      <c r="C203" s="40"/>
      <c r="D203" s="40"/>
      <c r="E203" s="40"/>
      <c r="F203" s="40"/>
      <c r="G203" s="77"/>
      <c r="H203" s="535"/>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2082">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9" t="s">
        <v>1275</v>
      </c>
      <c r="C204" s="40"/>
      <c r="D204" s="40"/>
      <c r="E204" s="40"/>
      <c r="F204" s="40"/>
      <c r="G204" s="77"/>
      <c r="H204" s="530">
        <v>21</v>
      </c>
      <c r="I204" s="530">
        <v>22</v>
      </c>
      <c r="J204" s="530">
        <v>23</v>
      </c>
      <c r="K204" s="530">
        <v>24</v>
      </c>
      <c r="L204" s="530">
        <v>25</v>
      </c>
      <c r="M204" s="530">
        <v>26</v>
      </c>
      <c r="N204" s="530">
        <v>27</v>
      </c>
      <c r="O204" s="530">
        <v>28</v>
      </c>
      <c r="P204" s="530">
        <v>29</v>
      </c>
      <c r="Q204" s="530">
        <v>30</v>
      </c>
      <c r="R204" s="360"/>
      <c r="S204" s="72" t="s">
        <v>1282</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2082">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1276</v>
      </c>
      <c r="C205" s="48"/>
      <c r="D205" s="48"/>
      <c r="E205" s="48"/>
      <c r="F205" s="48"/>
      <c r="G205" s="77"/>
      <c r="H205" s="2735"/>
      <c r="I205" s="2735"/>
      <c r="J205" s="2735"/>
      <c r="K205" s="2735"/>
      <c r="L205" s="2738"/>
      <c r="M205" s="2735"/>
      <c r="N205" s="2735"/>
      <c r="O205" s="2735"/>
      <c r="P205" s="2735"/>
      <c r="Q205" s="2735"/>
      <c r="R205" s="2736"/>
      <c r="S205" s="3365"/>
      <c r="T205" s="3366"/>
      <c r="U205" s="3366"/>
      <c r="V205" s="3366"/>
      <c r="W205" s="3367"/>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2082">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450</v>
      </c>
      <c r="C206" s="3389"/>
      <c r="D206" s="3390"/>
      <c r="E206" s="3390"/>
      <c r="F206" s="3391"/>
      <c r="G206" s="77"/>
      <c r="H206" s="532"/>
      <c r="I206" s="532"/>
      <c r="J206" s="532"/>
      <c r="K206" s="532"/>
      <c r="L206" s="533"/>
      <c r="M206" s="532"/>
      <c r="N206" s="532"/>
      <c r="O206" s="532"/>
      <c r="P206" s="532"/>
      <c r="Q206" s="532"/>
      <c r="R206" s="2736"/>
      <c r="S206" s="3359"/>
      <c r="T206" s="3360"/>
      <c r="U206" s="3360"/>
      <c r="V206" s="3360"/>
      <c r="W206" s="3361"/>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2082">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1277</v>
      </c>
      <c r="D207" s="48"/>
      <c r="E207" s="48"/>
      <c r="F207" s="48"/>
      <c r="G207" s="77"/>
      <c r="H207" s="2737">
        <f>SUM(H205:H206)</f>
        <v>0</v>
      </c>
      <c r="I207" s="2737">
        <f>SUM(I205:I206)</f>
        <v>0</v>
      </c>
      <c r="J207" s="2737">
        <f t="shared" ref="J207:Q207" si="374">SUM(J205:J206)</f>
        <v>0</v>
      </c>
      <c r="K207" s="2737">
        <f t="shared" si="374"/>
        <v>0</v>
      </c>
      <c r="L207" s="2737">
        <f t="shared" si="374"/>
        <v>0</v>
      </c>
      <c r="M207" s="2737">
        <f t="shared" si="374"/>
        <v>0</v>
      </c>
      <c r="N207" s="2737">
        <f t="shared" si="374"/>
        <v>0</v>
      </c>
      <c r="O207" s="2737">
        <f t="shared" si="374"/>
        <v>0</v>
      </c>
      <c r="P207" s="2737">
        <f t="shared" si="374"/>
        <v>0</v>
      </c>
      <c r="Q207" s="2737">
        <f t="shared" si="374"/>
        <v>0</v>
      </c>
      <c r="R207" s="328"/>
      <c r="S207" s="3371"/>
      <c r="T207" s="3372"/>
      <c r="U207" s="3372"/>
      <c r="V207" s="3372"/>
      <c r="W207" s="3373"/>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2083">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34" t="s">
        <v>1278</v>
      </c>
      <c r="C208" s="40"/>
      <c r="D208" s="40"/>
      <c r="E208" s="40"/>
      <c r="F208" s="40"/>
      <c r="G208" s="77"/>
      <c r="H208" s="535"/>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2082">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1279</v>
      </c>
      <c r="C209" s="48"/>
      <c r="D209" s="48"/>
      <c r="E209" s="48"/>
      <c r="F209" s="48"/>
      <c r="G209" s="77"/>
      <c r="H209" s="2735"/>
      <c r="I209" s="2735"/>
      <c r="J209" s="2735"/>
      <c r="K209" s="2735"/>
      <c r="L209" s="2738"/>
      <c r="M209" s="2735"/>
      <c r="N209" s="2735"/>
      <c r="O209" s="2735"/>
      <c r="P209" s="2735"/>
      <c r="Q209" s="2735"/>
      <c r="R209" s="2736"/>
      <c r="S209" s="3365"/>
      <c r="T209" s="3366"/>
      <c r="U209" s="3366"/>
      <c r="V209" s="3366"/>
      <c r="W209" s="3367"/>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2080">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450</v>
      </c>
      <c r="C210" s="3389"/>
      <c r="D210" s="3390"/>
      <c r="E210" s="3390"/>
      <c r="F210" s="3391"/>
      <c r="G210" s="77"/>
      <c r="H210" s="532"/>
      <c r="I210" s="532"/>
      <c r="J210" s="532"/>
      <c r="K210" s="532"/>
      <c r="L210" s="533"/>
      <c r="M210" s="532"/>
      <c r="N210" s="532"/>
      <c r="O210" s="532"/>
      <c r="P210" s="532"/>
      <c r="Q210" s="532"/>
      <c r="R210" s="2736"/>
      <c r="S210" s="3359"/>
      <c r="T210" s="3360"/>
      <c r="U210" s="3360"/>
      <c r="V210" s="3360"/>
      <c r="W210" s="3361"/>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2082">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1280</v>
      </c>
      <c r="D211" s="48"/>
      <c r="E211" s="48"/>
      <c r="F211" s="48"/>
      <c r="G211" s="77"/>
      <c r="H211" s="2737">
        <f>SUM(H209:H210)</f>
        <v>0</v>
      </c>
      <c r="I211" s="2737">
        <f>SUM(I209:I210)</f>
        <v>0</v>
      </c>
      <c r="J211" s="2737">
        <f t="shared" ref="J211:Q211" si="375">SUM(J209:J210)</f>
        <v>0</v>
      </c>
      <c r="K211" s="2737">
        <f t="shared" si="375"/>
        <v>0</v>
      </c>
      <c r="L211" s="2737">
        <f t="shared" si="375"/>
        <v>0</v>
      </c>
      <c r="M211" s="2737">
        <f t="shared" si="375"/>
        <v>0</v>
      </c>
      <c r="N211" s="2737">
        <f t="shared" si="375"/>
        <v>0</v>
      </c>
      <c r="O211" s="2737">
        <f t="shared" si="375"/>
        <v>0</v>
      </c>
      <c r="P211" s="2737">
        <f t="shared" si="375"/>
        <v>0</v>
      </c>
      <c r="Q211" s="2737">
        <f t="shared" si="375"/>
        <v>0</v>
      </c>
      <c r="R211" s="328"/>
      <c r="S211" s="3371"/>
      <c r="T211" s="3372"/>
      <c r="U211" s="3372"/>
      <c r="V211" s="3372"/>
      <c r="W211" s="3373"/>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2082">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92"/>
      <c r="C212" s="40"/>
      <c r="D212" s="40"/>
      <c r="E212" s="40"/>
      <c r="F212" s="40"/>
      <c r="G212" s="77"/>
      <c r="H212" s="535"/>
      <c r="I212" s="40"/>
      <c r="J212" s="40"/>
      <c r="K212" s="40"/>
      <c r="L212" s="40"/>
      <c r="M212" s="40"/>
      <c r="N212" s="40"/>
      <c r="O212" s="40"/>
      <c r="P212" s="40"/>
      <c r="Q212" s="40"/>
      <c r="R212" s="77"/>
      <c r="NQ212" s="2080">
        <v>212</v>
      </c>
    </row>
    <row r="213" spans="1:493" ht="15.6" customHeight="1">
      <c r="A213" s="77"/>
      <c r="B213" s="529" t="s">
        <v>1275</v>
      </c>
      <c r="C213" s="40"/>
      <c r="D213" s="40"/>
      <c r="E213" s="40"/>
      <c r="F213" s="40"/>
      <c r="G213" s="77"/>
      <c r="H213" s="530">
        <v>31</v>
      </c>
      <c r="I213" s="530">
        <v>32</v>
      </c>
      <c r="J213" s="530">
        <v>33</v>
      </c>
      <c r="K213" s="530">
        <v>34</v>
      </c>
      <c r="L213" s="530">
        <v>35</v>
      </c>
      <c r="M213" s="40"/>
      <c r="N213" s="40"/>
      <c r="O213" s="40"/>
      <c r="P213" s="40"/>
      <c r="Q213" s="40"/>
      <c r="S213" s="72" t="s">
        <v>1282</v>
      </c>
      <c r="T213" s="43" t="str">
        <f>B213</f>
        <v>Included in Mgt Fee:</v>
      </c>
      <c r="NQ213" s="2082">
        <v>213</v>
      </c>
    </row>
    <row r="214" spans="1:493" ht="15.6" customHeight="1">
      <c r="A214" s="77"/>
      <c r="B214" s="48" t="s">
        <v>1276</v>
      </c>
      <c r="C214" s="48"/>
      <c r="D214" s="48"/>
      <c r="E214" s="48"/>
      <c r="F214" s="48"/>
      <c r="G214" s="77"/>
      <c r="H214" s="2735"/>
      <c r="I214" s="2735"/>
      <c r="J214" s="2735"/>
      <c r="K214" s="2735"/>
      <c r="L214" s="2738"/>
      <c r="M214" s="40"/>
      <c r="N214" s="40"/>
      <c r="O214" s="40"/>
      <c r="P214" s="40"/>
      <c r="Q214" s="40"/>
      <c r="R214" s="77"/>
      <c r="S214" s="3365"/>
      <c r="T214" s="3366"/>
      <c r="U214" s="3366"/>
      <c r="V214" s="3366"/>
      <c r="W214" s="3367"/>
      <c r="NQ214" s="2082">
        <v>214</v>
      </c>
    </row>
    <row r="215" spans="1:493" ht="15.6" customHeight="1">
      <c r="A215" s="77"/>
      <c r="B215" s="48" t="s">
        <v>450</v>
      </c>
      <c r="C215" s="3389"/>
      <c r="D215" s="3390"/>
      <c r="E215" s="3390"/>
      <c r="F215" s="3391"/>
      <c r="G215" s="77"/>
      <c r="H215" s="532"/>
      <c r="I215" s="532"/>
      <c r="J215" s="532"/>
      <c r="K215" s="532"/>
      <c r="L215" s="533"/>
      <c r="M215" s="40"/>
      <c r="N215" s="40"/>
      <c r="O215" s="40"/>
      <c r="P215" s="40"/>
      <c r="Q215" s="40"/>
      <c r="R215" s="77"/>
      <c r="S215" s="3359"/>
      <c r="T215" s="3360"/>
      <c r="U215" s="3360"/>
      <c r="V215" s="3360"/>
      <c r="W215" s="3361"/>
      <c r="NQ215" s="2082">
        <v>215</v>
      </c>
    </row>
    <row r="216" spans="1:493" ht="15.6" customHeight="1">
      <c r="A216" s="77"/>
      <c r="B216" s="48"/>
      <c r="C216" s="48" t="s">
        <v>1277</v>
      </c>
      <c r="D216" s="48"/>
      <c r="E216" s="48"/>
      <c r="F216" s="48"/>
      <c r="G216" s="77"/>
      <c r="H216" s="2737">
        <f>SUM(H214:H215)</f>
        <v>0</v>
      </c>
      <c r="I216" s="2737">
        <f>SUM(I214:I215)</f>
        <v>0</v>
      </c>
      <c r="J216" s="2737">
        <f>SUM(J214:J215)</f>
        <v>0</v>
      </c>
      <c r="K216" s="2737">
        <f>SUM(K214:K215)</f>
        <v>0</v>
      </c>
      <c r="L216" s="2737">
        <f>SUM(L214:L215)</f>
        <v>0</v>
      </c>
      <c r="M216" s="40"/>
      <c r="N216" s="40"/>
      <c r="O216" s="40"/>
      <c r="P216" s="40"/>
      <c r="Q216" s="40"/>
      <c r="R216" s="77"/>
      <c r="S216" s="3371"/>
      <c r="T216" s="3372"/>
      <c r="U216" s="3372"/>
      <c r="V216" s="3372"/>
      <c r="W216" s="3373"/>
      <c r="NQ216" s="2082">
        <v>216</v>
      </c>
    </row>
    <row r="217" spans="1:493" ht="15.6" customHeight="1">
      <c r="A217" s="77"/>
      <c r="B217" s="534" t="s">
        <v>1278</v>
      </c>
      <c r="C217" s="40"/>
      <c r="D217" s="40"/>
      <c r="E217" s="40"/>
      <c r="F217" s="40"/>
      <c r="G217" s="77"/>
      <c r="H217" s="535"/>
      <c r="I217" s="40"/>
      <c r="J217" s="40"/>
      <c r="K217" s="40"/>
      <c r="L217" s="40"/>
      <c r="M217" s="40"/>
      <c r="N217" s="40"/>
      <c r="O217" s="40"/>
      <c r="P217" s="40"/>
      <c r="Q217" s="40"/>
      <c r="R217" s="77"/>
      <c r="S217" s="43" t="str">
        <f>B217</f>
        <v>NOT Included in Mgt Fee:</v>
      </c>
      <c r="NQ217" s="2082">
        <v>217</v>
      </c>
    </row>
    <row r="218" spans="1:493" ht="15.6" customHeight="1">
      <c r="A218" s="77"/>
      <c r="B218" s="48" t="s">
        <v>1279</v>
      </c>
      <c r="C218" s="48"/>
      <c r="D218" s="48"/>
      <c r="E218" s="48"/>
      <c r="F218" s="48"/>
      <c r="G218" s="77"/>
      <c r="H218" s="2735"/>
      <c r="I218" s="2735"/>
      <c r="J218" s="2735"/>
      <c r="K218" s="2735"/>
      <c r="L218" s="2738"/>
      <c r="M218" s="40"/>
      <c r="N218" s="40"/>
      <c r="O218" s="40"/>
      <c r="P218" s="40"/>
      <c r="Q218" s="40"/>
      <c r="R218" s="77"/>
      <c r="S218" s="3365"/>
      <c r="T218" s="3366"/>
      <c r="U218" s="3366"/>
      <c r="V218" s="3366"/>
      <c r="W218" s="3367"/>
      <c r="NQ218" s="2083">
        <v>218</v>
      </c>
    </row>
    <row r="219" spans="1:493" ht="15.6" customHeight="1">
      <c r="A219" s="77"/>
      <c r="B219" s="48" t="s">
        <v>450</v>
      </c>
      <c r="C219" s="3389"/>
      <c r="D219" s="3390"/>
      <c r="E219" s="3390"/>
      <c r="F219" s="3391"/>
      <c r="G219" s="77"/>
      <c r="H219" s="532"/>
      <c r="I219" s="532"/>
      <c r="J219" s="532"/>
      <c r="K219" s="532"/>
      <c r="L219" s="533"/>
      <c r="M219" s="40"/>
      <c r="N219" s="40"/>
      <c r="O219" s="40"/>
      <c r="P219" s="40"/>
      <c r="Q219" s="40"/>
      <c r="R219" s="77"/>
      <c r="S219" s="3359"/>
      <c r="T219" s="3360"/>
      <c r="U219" s="3360"/>
      <c r="V219" s="3360"/>
      <c r="W219" s="3361"/>
      <c r="NQ219" s="2082">
        <v>219</v>
      </c>
    </row>
    <row r="220" spans="1:493" ht="15.6" customHeight="1">
      <c r="A220" s="77"/>
      <c r="B220" s="48"/>
      <c r="C220" s="48" t="s">
        <v>1280</v>
      </c>
      <c r="D220" s="48"/>
      <c r="E220" s="48"/>
      <c r="F220" s="48"/>
      <c r="G220" s="77"/>
      <c r="H220" s="2737">
        <f>SUM(H218:H219)</f>
        <v>0</v>
      </c>
      <c r="I220" s="2737">
        <f>SUM(I218:I219)</f>
        <v>0</v>
      </c>
      <c r="J220" s="2737">
        <f>SUM(J218:J219)</f>
        <v>0</v>
      </c>
      <c r="K220" s="2737">
        <f>SUM(K218:K219)</f>
        <v>0</v>
      </c>
      <c r="L220" s="2737">
        <f>SUM(L218:L219)</f>
        <v>0</v>
      </c>
      <c r="M220" s="40"/>
      <c r="N220" s="40"/>
      <c r="O220" s="40"/>
      <c r="P220" s="40"/>
      <c r="Q220" s="40"/>
      <c r="R220" s="77"/>
      <c r="S220" s="3371"/>
      <c r="T220" s="3372"/>
      <c r="U220" s="3372"/>
      <c r="V220" s="3372"/>
      <c r="W220" s="3373"/>
      <c r="NQ220" s="2080">
        <v>220</v>
      </c>
    </row>
    <row r="221" spans="1:493" ht="2.25" customHeight="1">
      <c r="A221" s="77"/>
      <c r="B221" s="6"/>
      <c r="C221" s="77"/>
      <c r="D221" s="77"/>
      <c r="E221" s="77"/>
      <c r="F221" s="2739"/>
      <c r="G221" s="2739"/>
      <c r="H221" s="77"/>
      <c r="I221" s="77"/>
      <c r="J221" s="77"/>
      <c r="K221" s="77"/>
      <c r="L221" s="77"/>
      <c r="M221" s="77"/>
      <c r="N221" s="77"/>
      <c r="O221" s="77"/>
      <c r="P221" s="77"/>
      <c r="Q221" s="77"/>
      <c r="R221" s="77"/>
      <c r="NQ221" s="2082">
        <v>221</v>
      </c>
    </row>
    <row r="222" spans="1:493" s="41" customFormat="1" ht="11.25" customHeight="1">
      <c r="A222" s="3" t="s">
        <v>68</v>
      </c>
      <c r="B222" s="2536" t="s">
        <v>1283</v>
      </c>
      <c r="C222" s="2536"/>
      <c r="D222" s="2536"/>
      <c r="E222" s="2536"/>
      <c r="F222" s="2536"/>
      <c r="G222" s="2536"/>
      <c r="H222" s="2536"/>
      <c r="I222" s="2536"/>
      <c r="J222" s="2536"/>
      <c r="K222" s="2536"/>
      <c r="L222" s="2536"/>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454"/>
      <c r="JX222" s="253"/>
      <c r="JY222" s="253"/>
      <c r="JZ222" s="253"/>
      <c r="KA222" s="253"/>
      <c r="KB222" s="1454"/>
      <c r="KC222" s="253"/>
      <c r="KD222" s="253"/>
      <c r="KE222" s="253"/>
      <c r="KF222" s="253"/>
      <c r="KG222" s="1454"/>
      <c r="KH222" s="253"/>
      <c r="KI222" s="253"/>
      <c r="KJ222" s="253"/>
      <c r="KK222" s="253"/>
      <c r="KL222" s="1454"/>
      <c r="KM222" s="1454"/>
      <c r="KN222" s="1454"/>
      <c r="KO222" s="1454"/>
      <c r="KP222" s="1454"/>
      <c r="KQ222" s="1454"/>
      <c r="KR222" s="1454"/>
      <c r="KS222" s="1454"/>
      <c r="KT222" s="1454"/>
      <c r="KU222" s="1454"/>
      <c r="KV222" s="1454"/>
      <c r="KW222" s="1454"/>
      <c r="KX222" s="1454"/>
      <c r="KY222" s="1454"/>
      <c r="KZ222" s="1454"/>
      <c r="LA222" s="1454"/>
      <c r="LB222" s="1454"/>
      <c r="LC222" s="1454"/>
      <c r="LD222" s="1454"/>
      <c r="LE222" s="1454"/>
      <c r="LF222" s="1454"/>
      <c r="LG222" s="1454"/>
      <c r="LH222" s="253"/>
      <c r="LI222" s="253"/>
      <c r="LJ222" s="253"/>
      <c r="LK222" s="253"/>
      <c r="LL222" s="253"/>
      <c r="LM222" s="253"/>
      <c r="LN222" s="1317"/>
      <c r="LO222" s="253"/>
      <c r="LP222" s="253"/>
      <c r="LQ222" s="253"/>
      <c r="LR222" s="253"/>
      <c r="LS222" s="253"/>
      <c r="LT222" s="253"/>
      <c r="LU222" s="253"/>
      <c r="LV222" s="253"/>
      <c r="LW222" s="253"/>
      <c r="LX222" s="253"/>
      <c r="LY222" s="253"/>
      <c r="LZ222" s="253"/>
      <c r="MA222" s="253"/>
      <c r="MB222" s="253"/>
      <c r="MC222" s="253"/>
      <c r="MD222" s="1317"/>
      <c r="ME222" s="131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92"/>
      <c r="NQ222" s="2082">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536"/>
      <c r="C223" s="2536"/>
      <c r="D223" s="2536"/>
      <c r="E223" s="2536"/>
      <c r="F223" s="2536"/>
      <c r="G223" s="2536"/>
      <c r="H223" s="2536"/>
      <c r="I223" s="2536"/>
      <c r="J223" s="2536"/>
      <c r="K223" s="2536"/>
      <c r="L223" s="43"/>
      <c r="M223" s="43"/>
      <c r="N223" s="43"/>
      <c r="O223" s="43"/>
      <c r="P223" s="43"/>
      <c r="Q223" s="43"/>
      <c r="R223" s="43"/>
      <c r="S223" s="39" t="s">
        <v>814</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454"/>
      <c r="JX223" s="253"/>
      <c r="JY223" s="253"/>
      <c r="JZ223" s="253"/>
      <c r="KA223" s="253"/>
      <c r="KB223" s="1454"/>
      <c r="KC223" s="253"/>
      <c r="KD223" s="253"/>
      <c r="KE223" s="253"/>
      <c r="KF223" s="253"/>
      <c r="KG223" s="1454"/>
      <c r="KH223" s="253"/>
      <c r="KI223" s="253"/>
      <c r="KJ223" s="253"/>
      <c r="KK223" s="253"/>
      <c r="KL223" s="1454"/>
      <c r="KM223" s="1454"/>
      <c r="KN223" s="1454"/>
      <c r="KO223" s="1454"/>
      <c r="KP223" s="1454"/>
      <c r="KQ223" s="1454"/>
      <c r="KR223" s="1454"/>
      <c r="KS223" s="1454"/>
      <c r="KT223" s="1454"/>
      <c r="KU223" s="1454"/>
      <c r="KV223" s="1454"/>
      <c r="KW223" s="1454"/>
      <c r="KX223" s="1454"/>
      <c r="KY223" s="1454"/>
      <c r="KZ223" s="1454"/>
      <c r="LA223" s="1454"/>
      <c r="LB223" s="1454"/>
      <c r="LC223" s="1454"/>
      <c r="LD223" s="1454"/>
      <c r="LE223" s="1454"/>
      <c r="LF223" s="1454"/>
      <c r="LG223" s="1454"/>
      <c r="LH223" s="253"/>
      <c r="LI223" s="253"/>
      <c r="LJ223" s="253"/>
      <c r="LK223" s="253"/>
      <c r="LL223" s="253"/>
      <c r="LM223" s="253"/>
      <c r="LN223" s="1317"/>
      <c r="LO223" s="253"/>
      <c r="LP223" s="253"/>
      <c r="LQ223" s="253"/>
      <c r="LR223" s="253"/>
      <c r="LS223" s="253"/>
      <c r="LT223" s="253"/>
      <c r="LU223" s="253"/>
      <c r="LV223" s="253"/>
      <c r="LW223" s="253"/>
      <c r="LX223" s="253"/>
      <c r="LY223" s="253"/>
      <c r="LZ223" s="253"/>
      <c r="MA223" s="253"/>
      <c r="MB223" s="253"/>
      <c r="MC223" s="253"/>
      <c r="MD223" s="1317"/>
      <c r="ME223" s="131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92"/>
      <c r="NQ223" s="2080">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1284</v>
      </c>
      <c r="C224" s="43"/>
      <c r="D224" s="43"/>
      <c r="E224" s="43"/>
      <c r="F224"/>
      <c r="G224"/>
      <c r="H224" s="43"/>
      <c r="I224" s="3" t="s">
        <v>1285</v>
      </c>
      <c r="K224" s="43"/>
      <c r="L224" s="43"/>
      <c r="M224" s="43"/>
      <c r="N224" s="43"/>
      <c r="O224" s="3" t="s">
        <v>1286</v>
      </c>
      <c r="P224" s="43"/>
      <c r="Q224" s="2740">
        <f>IF(OR('Part VI-Pro Forma'!$B$22 = "Choose Mgt Fee",'Part VI-Pro Forma'!$B$22 = "Choose One!"), 0,- 'Part VI-Pro Forma'!$B$22)</f>
        <v>52058</v>
      </c>
      <c r="R224" s="43"/>
      <c r="S224" s="3365"/>
      <c r="T224" s="3366"/>
      <c r="U224" s="3366"/>
      <c r="V224" s="3366"/>
      <c r="W224" s="3367"/>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454"/>
      <c r="JX224" s="253"/>
      <c r="JY224" s="253"/>
      <c r="JZ224" s="253"/>
      <c r="KA224" s="253"/>
      <c r="KB224" s="1454"/>
      <c r="KC224" s="253"/>
      <c r="KD224" s="253"/>
      <c r="KE224" s="253"/>
      <c r="KF224" s="253"/>
      <c r="KG224" s="1454"/>
      <c r="KH224" s="253"/>
      <c r="KI224" s="253"/>
      <c r="KJ224" s="253"/>
      <c r="KK224" s="253"/>
      <c r="KL224" s="1454"/>
      <c r="KM224" s="1454"/>
      <c r="KN224" s="1454"/>
      <c r="KO224" s="1454"/>
      <c r="KP224" s="1454"/>
      <c r="KQ224" s="1454"/>
      <c r="KR224" s="1454"/>
      <c r="KS224" s="1454"/>
      <c r="KT224" s="1454"/>
      <c r="KU224" s="1454"/>
      <c r="KV224" s="1454"/>
      <c r="KW224" s="1454"/>
      <c r="KX224" s="1454"/>
      <c r="KY224" s="1454"/>
      <c r="KZ224" s="1454"/>
      <c r="LA224" s="1454"/>
      <c r="LB224" s="1454"/>
      <c r="LC224" s="1454"/>
      <c r="LD224" s="1454"/>
      <c r="LE224" s="1454"/>
      <c r="LF224" s="1454"/>
      <c r="LG224" s="1454"/>
      <c r="LH224" s="253"/>
      <c r="LI224" s="253"/>
      <c r="LJ224" s="253"/>
      <c r="LK224" s="253"/>
      <c r="LL224" s="253"/>
      <c r="LM224" s="253"/>
      <c r="LN224" s="1317"/>
      <c r="LO224" s="253"/>
      <c r="LP224" s="253"/>
      <c r="LQ224" s="253"/>
      <c r="LR224" s="253"/>
      <c r="LS224" s="253"/>
      <c r="LT224" s="253"/>
      <c r="LU224" s="253"/>
      <c r="LV224" s="253"/>
      <c r="LW224" s="253"/>
      <c r="LX224" s="253"/>
      <c r="LY224" s="253"/>
      <c r="LZ224" s="253"/>
      <c r="MA224" s="253"/>
      <c r="MB224" s="253"/>
      <c r="MC224" s="253"/>
      <c r="MD224" s="1317"/>
      <c r="ME224" s="131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92"/>
      <c r="NQ224" s="2082">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1287</v>
      </c>
      <c r="C225" s="43"/>
      <c r="D225" s="43"/>
      <c r="E225" s="43"/>
      <c r="F225" s="3392">
        <v>80000</v>
      </c>
      <c r="G225" s="3393"/>
      <c r="H225" s="43"/>
      <c r="I225" s="43" t="s">
        <v>1288</v>
      </c>
      <c r="K225" s="43"/>
      <c r="L225" s="3392"/>
      <c r="M225" s="3393"/>
      <c r="N225" s="43"/>
      <c r="O225" s="219">
        <f>+Q224/(P67*0.93)</f>
        <v>965.10938079347409</v>
      </c>
      <c r="P225" s="23" t="s">
        <v>1289</v>
      </c>
      <c r="Q225" s="43"/>
      <c r="R225" s="2736"/>
      <c r="S225" s="3359"/>
      <c r="T225" s="3360"/>
      <c r="U225" s="3360"/>
      <c r="V225" s="3360"/>
      <c r="W225" s="3361"/>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454"/>
      <c r="JX225" s="253"/>
      <c r="JY225" s="253"/>
      <c r="JZ225" s="253"/>
      <c r="KA225" s="253"/>
      <c r="KB225" s="1454"/>
      <c r="KC225" s="253"/>
      <c r="KD225" s="253"/>
      <c r="KE225" s="253"/>
      <c r="KF225" s="253"/>
      <c r="KG225" s="1454"/>
      <c r="KH225" s="253"/>
      <c r="KI225" s="253"/>
      <c r="KJ225" s="253"/>
      <c r="KK225" s="253"/>
      <c r="KL225" s="1454"/>
      <c r="KM225" s="1454"/>
      <c r="KN225" s="1454"/>
      <c r="KO225" s="1454"/>
      <c r="KP225" s="1454"/>
      <c r="KQ225" s="1454"/>
      <c r="KR225" s="1454"/>
      <c r="KS225" s="1454"/>
      <c r="KT225" s="1454"/>
      <c r="KU225" s="1454"/>
      <c r="KV225" s="1454"/>
      <c r="KW225" s="1454"/>
      <c r="KX225" s="1454"/>
      <c r="KY225" s="1454"/>
      <c r="KZ225" s="1454"/>
      <c r="LA225" s="1454"/>
      <c r="LB225" s="1454"/>
      <c r="LC225" s="1454"/>
      <c r="LD225" s="1454"/>
      <c r="LE225" s="1454"/>
      <c r="LF225" s="1454"/>
      <c r="LG225" s="1454"/>
      <c r="LH225" s="253"/>
      <c r="LI225" s="253"/>
      <c r="LJ225" s="253"/>
      <c r="LK225" s="253"/>
      <c r="LL225" s="253"/>
      <c r="LM225" s="253"/>
      <c r="LN225" s="1317"/>
      <c r="LO225" s="253"/>
      <c r="LP225" s="253"/>
      <c r="LQ225" s="253"/>
      <c r="LR225" s="253"/>
      <c r="LS225" s="253"/>
      <c r="LT225" s="253"/>
      <c r="LU225" s="253"/>
      <c r="LV225" s="253"/>
      <c r="LW225" s="253"/>
      <c r="LX225" s="253"/>
      <c r="LY225" s="253"/>
      <c r="LZ225" s="253"/>
      <c r="MA225" s="253"/>
      <c r="MB225" s="253"/>
      <c r="MC225" s="253"/>
      <c r="MD225" s="1317"/>
      <c r="ME225" s="131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92"/>
      <c r="NQ225" s="2082">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1290</v>
      </c>
      <c r="C226" s="43"/>
      <c r="D226" s="43"/>
      <c r="E226" s="43"/>
      <c r="F226" s="3397">
        <v>92800</v>
      </c>
      <c r="G226" s="3398"/>
      <c r="H226" s="43"/>
      <c r="I226" s="43" t="s">
        <v>1291</v>
      </c>
      <c r="K226" s="43"/>
      <c r="L226" s="3399"/>
      <c r="M226" s="3400"/>
      <c r="N226" s="43"/>
      <c r="O226" s="219">
        <f>+Q224/(P67*0.93)/12</f>
        <v>80.425781732789503</v>
      </c>
      <c r="P226" s="23" t="s">
        <v>1292</v>
      </c>
      <c r="Q226" s="43"/>
      <c r="R226" s="2736"/>
      <c r="S226" s="3359"/>
      <c r="T226" s="3360"/>
      <c r="U226" s="3360"/>
      <c r="V226" s="3360"/>
      <c r="W226" s="3361"/>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454"/>
      <c r="JX226" s="253"/>
      <c r="JY226" s="253"/>
      <c r="JZ226" s="253"/>
      <c r="KA226" s="253"/>
      <c r="KB226" s="1454"/>
      <c r="KC226" s="253"/>
      <c r="KD226" s="253"/>
      <c r="KE226" s="253"/>
      <c r="KF226" s="253"/>
      <c r="KG226" s="1454"/>
      <c r="KH226" s="253"/>
      <c r="KI226" s="253"/>
      <c r="KJ226" s="253"/>
      <c r="KK226" s="253"/>
      <c r="KL226" s="1454"/>
      <c r="KM226" s="1454"/>
      <c r="KN226" s="1454"/>
      <c r="KO226" s="1454"/>
      <c r="KP226" s="1454"/>
      <c r="KQ226" s="1454"/>
      <c r="KR226" s="1454"/>
      <c r="KS226" s="1454"/>
      <c r="KT226" s="1454"/>
      <c r="KU226" s="1454"/>
      <c r="KV226" s="1454"/>
      <c r="KW226" s="1454"/>
      <c r="KX226" s="1454"/>
      <c r="KY226" s="1454"/>
      <c r="KZ226" s="1454"/>
      <c r="LA226" s="1454"/>
      <c r="LB226" s="1454"/>
      <c r="LC226" s="1454"/>
      <c r="LD226" s="1454"/>
      <c r="LE226" s="1454"/>
      <c r="LF226" s="1454"/>
      <c r="LG226" s="1454"/>
      <c r="LH226" s="253"/>
      <c r="LI226" s="253"/>
      <c r="LJ226" s="253"/>
      <c r="LK226" s="253"/>
      <c r="LL226" s="253"/>
      <c r="LM226" s="253"/>
      <c r="LN226" s="1317"/>
      <c r="LO226" s="253"/>
      <c r="LP226" s="253"/>
      <c r="LQ226" s="253"/>
      <c r="LR226" s="253"/>
      <c r="LS226" s="253"/>
      <c r="LT226" s="253"/>
      <c r="LU226" s="253"/>
      <c r="LV226" s="253"/>
      <c r="LW226" s="253"/>
      <c r="LX226" s="253"/>
      <c r="LY226" s="253"/>
      <c r="LZ226" s="253"/>
      <c r="MA226" s="253"/>
      <c r="MB226" s="253"/>
      <c r="MC226" s="253"/>
      <c r="MD226" s="1317"/>
      <c r="ME226" s="131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92"/>
      <c r="NQ226" s="2082">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1293</v>
      </c>
      <c r="C227" s="43"/>
      <c r="D227" s="43"/>
      <c r="E227" s="43"/>
      <c r="F227" s="3397"/>
      <c r="G227" s="3398"/>
      <c r="H227" s="43"/>
      <c r="I227" s="43"/>
      <c r="K227" s="5" t="s">
        <v>548</v>
      </c>
      <c r="L227" s="3401">
        <f>SUM(L225:M226)</f>
        <v>0</v>
      </c>
      <c r="M227" s="3402"/>
      <c r="N227" s="43"/>
      <c r="O227" s="13" t="s">
        <v>1294</v>
      </c>
      <c r="P227" s="68"/>
      <c r="Q227" s="68"/>
      <c r="R227" s="2736"/>
      <c r="S227" s="3359"/>
      <c r="T227" s="3360"/>
      <c r="U227" s="3360"/>
      <c r="V227" s="3360"/>
      <c r="W227" s="3361"/>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454"/>
      <c r="JX227" s="253"/>
      <c r="JY227" s="253"/>
      <c r="JZ227" s="253"/>
      <c r="KA227" s="253"/>
      <c r="KB227" s="1454"/>
      <c r="KC227" s="253"/>
      <c r="KD227" s="253"/>
      <c r="KE227" s="253"/>
      <c r="KF227" s="253"/>
      <c r="KG227" s="1454"/>
      <c r="KH227" s="253"/>
      <c r="KI227" s="253"/>
      <c r="KJ227" s="253"/>
      <c r="KK227" s="253"/>
      <c r="KL227" s="1454"/>
      <c r="KM227" s="1454"/>
      <c r="KN227" s="1454"/>
      <c r="KO227" s="1454"/>
      <c r="KP227" s="1454"/>
      <c r="KQ227" s="1454"/>
      <c r="KR227" s="1454"/>
      <c r="KS227" s="1454"/>
      <c r="KT227" s="1454"/>
      <c r="KU227" s="1454"/>
      <c r="KV227" s="1454"/>
      <c r="KW227" s="1454"/>
      <c r="KX227" s="1454"/>
      <c r="KY227" s="1454"/>
      <c r="KZ227" s="1454"/>
      <c r="LA227" s="1454"/>
      <c r="LB227" s="1454"/>
      <c r="LC227" s="1454"/>
      <c r="LD227" s="1454"/>
      <c r="LE227" s="1454"/>
      <c r="LF227" s="1454"/>
      <c r="LG227" s="1454"/>
      <c r="LH227" s="253"/>
      <c r="LI227" s="253"/>
      <c r="LJ227" s="253"/>
      <c r="LK227" s="253"/>
      <c r="LL227" s="253"/>
      <c r="LM227" s="253"/>
      <c r="LN227" s="1317"/>
      <c r="LO227" s="253"/>
      <c r="LP227" s="253"/>
      <c r="LQ227" s="253"/>
      <c r="LR227" s="253"/>
      <c r="LS227" s="253"/>
      <c r="LT227" s="253"/>
      <c r="LU227" s="253"/>
      <c r="LV227" s="253"/>
      <c r="LW227" s="253"/>
      <c r="LX227" s="253"/>
      <c r="LY227" s="253"/>
      <c r="LZ227" s="253"/>
      <c r="MA227" s="253"/>
      <c r="MB227" s="253"/>
      <c r="MC227" s="253"/>
      <c r="MD227" s="1317"/>
      <c r="ME227" s="131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92"/>
      <c r="NQ227" s="2082">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934" t="s">
        <v>1295</v>
      </c>
      <c r="F228" s="3397">
        <v>10000</v>
      </c>
      <c r="G228" s="3398"/>
      <c r="H228" s="43"/>
      <c r="I228" s="43"/>
      <c r="K228" s="43"/>
      <c r="L228" s="43"/>
      <c r="M228" s="43"/>
      <c r="N228" s="43"/>
      <c r="R228" s="2733"/>
      <c r="S228" s="3359"/>
      <c r="T228" s="3360"/>
      <c r="U228" s="3360"/>
      <c r="V228" s="3360"/>
      <c r="W228" s="3361"/>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454"/>
      <c r="JX228" s="253"/>
      <c r="JY228" s="253"/>
      <c r="JZ228" s="253"/>
      <c r="KA228" s="253"/>
      <c r="KB228" s="1454"/>
      <c r="KC228" s="253"/>
      <c r="KD228" s="253"/>
      <c r="KE228" s="253"/>
      <c r="KF228" s="253"/>
      <c r="KG228" s="1454"/>
      <c r="KH228" s="253"/>
      <c r="KI228" s="253"/>
      <c r="KJ228" s="253"/>
      <c r="KK228" s="253"/>
      <c r="KL228" s="1454"/>
      <c r="KM228" s="1454"/>
      <c r="KN228" s="1454"/>
      <c r="KO228" s="1454"/>
      <c r="KP228" s="1454"/>
      <c r="KQ228" s="1454"/>
      <c r="KR228" s="1454"/>
      <c r="KS228" s="1454"/>
      <c r="KT228" s="1454"/>
      <c r="KU228" s="1454"/>
      <c r="KV228" s="1454"/>
      <c r="KW228" s="1454"/>
      <c r="KX228" s="1454"/>
      <c r="KY228" s="1454"/>
      <c r="KZ228" s="1454"/>
      <c r="LA228" s="1454"/>
      <c r="LB228" s="1454"/>
      <c r="LC228" s="1454"/>
      <c r="LD228" s="1454"/>
      <c r="LE228" s="1454"/>
      <c r="LF228" s="1454"/>
      <c r="LG228" s="1454"/>
      <c r="LH228" s="253"/>
      <c r="LI228" s="253"/>
      <c r="LJ228" s="253"/>
      <c r="LK228" s="253"/>
      <c r="LL228" s="253"/>
      <c r="LM228" s="253"/>
      <c r="LN228" s="1317"/>
      <c r="LO228" s="253"/>
      <c r="LP228" s="253"/>
      <c r="LQ228" s="253"/>
      <c r="LR228" s="253"/>
      <c r="LS228" s="253"/>
      <c r="LT228" s="253"/>
      <c r="LU228" s="253"/>
      <c r="LV228" s="253"/>
      <c r="LW228" s="253"/>
      <c r="LX228" s="253"/>
      <c r="LY228" s="253"/>
      <c r="LZ228" s="253"/>
      <c r="MA228" s="253"/>
      <c r="MB228" s="253"/>
      <c r="MC228" s="253"/>
      <c r="MD228" s="1317"/>
      <c r="ME228" s="131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93"/>
      <c r="NQ228" s="2082">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934" t="s">
        <v>1296</v>
      </c>
      <c r="F229" s="3397"/>
      <c r="G229" s="3398"/>
      <c r="H229" s="43"/>
      <c r="I229" s="43"/>
      <c r="K229" s="43"/>
      <c r="L229" s="43"/>
      <c r="M229" s="43"/>
      <c r="N229" s="43"/>
      <c r="R229" s="2733"/>
      <c r="S229" s="3359"/>
      <c r="T229" s="3360"/>
      <c r="U229" s="3360"/>
      <c r="V229" s="3360"/>
      <c r="W229" s="3361"/>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454"/>
      <c r="JX229" s="253"/>
      <c r="JY229" s="253"/>
      <c r="JZ229" s="253"/>
      <c r="KA229" s="253"/>
      <c r="KB229" s="1454"/>
      <c r="KC229" s="253"/>
      <c r="KD229" s="253"/>
      <c r="KE229" s="253"/>
      <c r="KF229" s="253"/>
      <c r="KG229" s="1454"/>
      <c r="KH229" s="253"/>
      <c r="KI229" s="253"/>
      <c r="KJ229" s="253"/>
      <c r="KK229" s="253"/>
      <c r="KL229" s="1454"/>
      <c r="KM229" s="1454"/>
      <c r="KN229" s="1454"/>
      <c r="KO229" s="1454"/>
      <c r="KP229" s="1454"/>
      <c r="KQ229" s="1454"/>
      <c r="KR229" s="1454"/>
      <c r="KS229" s="1454"/>
      <c r="KT229" s="1454"/>
      <c r="KU229" s="1454"/>
      <c r="KV229" s="1454"/>
      <c r="KW229" s="1454"/>
      <c r="KX229" s="1454"/>
      <c r="KY229" s="1454"/>
      <c r="KZ229" s="1454"/>
      <c r="LA229" s="1454"/>
      <c r="LB229" s="1454"/>
      <c r="LC229" s="1454"/>
      <c r="LD229" s="1454"/>
      <c r="LE229" s="1454"/>
      <c r="LF229" s="1454"/>
      <c r="LG229" s="1454"/>
      <c r="LH229" s="253"/>
      <c r="LI229" s="253"/>
      <c r="LJ229" s="253"/>
      <c r="LK229" s="253"/>
      <c r="LL229" s="253"/>
      <c r="LM229" s="253"/>
      <c r="LN229" s="1317"/>
      <c r="LO229" s="253"/>
      <c r="LP229" s="253"/>
      <c r="LQ229" s="253"/>
      <c r="LR229" s="253"/>
      <c r="LS229" s="253"/>
      <c r="LT229" s="253"/>
      <c r="LU229" s="253"/>
      <c r="LV229" s="253"/>
      <c r="LW229" s="253"/>
      <c r="LX229" s="253"/>
      <c r="LY229" s="253"/>
      <c r="LZ229" s="253"/>
      <c r="MA229" s="253"/>
      <c r="MB229" s="253"/>
      <c r="MC229" s="253"/>
      <c r="MD229" s="1317"/>
      <c r="ME229" s="131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93"/>
      <c r="NQ229" s="2083">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394" t="s">
        <v>1297</v>
      </c>
      <c r="C230" s="3395"/>
      <c r="D230" s="3395"/>
      <c r="E230" s="3396"/>
      <c r="F230" s="3399"/>
      <c r="G230" s="3400"/>
      <c r="H230" s="43"/>
      <c r="I230" s="3" t="s">
        <v>1298</v>
      </c>
      <c r="K230" s="43"/>
      <c r="L230" s="43"/>
      <c r="M230" s="43"/>
      <c r="N230" s="43"/>
      <c r="R230" s="2733"/>
      <c r="S230" s="3359"/>
      <c r="T230" s="3360"/>
      <c r="U230" s="3360"/>
      <c r="V230" s="3360"/>
      <c r="W230" s="3361"/>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454"/>
      <c r="JX230" s="253"/>
      <c r="JY230" s="253"/>
      <c r="JZ230" s="253"/>
      <c r="KA230" s="253"/>
      <c r="KB230" s="1454"/>
      <c r="KC230" s="253"/>
      <c r="KD230" s="253"/>
      <c r="KE230" s="253"/>
      <c r="KF230" s="253"/>
      <c r="KG230" s="1454"/>
      <c r="KH230" s="253"/>
      <c r="KI230" s="253"/>
      <c r="KJ230" s="253"/>
      <c r="KK230" s="253"/>
      <c r="KL230" s="1454"/>
      <c r="KM230" s="1454"/>
      <c r="KN230" s="1454"/>
      <c r="KO230" s="1454"/>
      <c r="KP230" s="1454"/>
      <c r="KQ230" s="1454"/>
      <c r="KR230" s="1454"/>
      <c r="KS230" s="1454"/>
      <c r="KT230" s="1454"/>
      <c r="KU230" s="1454"/>
      <c r="KV230" s="1454"/>
      <c r="KW230" s="1454"/>
      <c r="KX230" s="1454"/>
      <c r="KY230" s="1454"/>
      <c r="KZ230" s="1454"/>
      <c r="LA230" s="1454"/>
      <c r="LB230" s="1454"/>
      <c r="LC230" s="1454"/>
      <c r="LD230" s="1454"/>
      <c r="LE230" s="1454"/>
      <c r="LF230" s="1454"/>
      <c r="LG230" s="1454"/>
      <c r="LH230" s="253"/>
      <c r="LI230" s="253"/>
      <c r="LJ230" s="253"/>
      <c r="LK230" s="253"/>
      <c r="LL230" s="253"/>
      <c r="LM230" s="253"/>
      <c r="LN230" s="1317"/>
      <c r="LO230" s="253"/>
      <c r="LP230" s="253"/>
      <c r="LQ230" s="253"/>
      <c r="LR230" s="253"/>
      <c r="LS230" s="253"/>
      <c r="LT230" s="253"/>
      <c r="LU230" s="253"/>
      <c r="LV230" s="253"/>
      <c r="LW230" s="253"/>
      <c r="LX230" s="253"/>
      <c r="LY230" s="253"/>
      <c r="LZ230" s="253"/>
      <c r="MA230" s="253"/>
      <c r="MB230" s="253"/>
      <c r="MC230" s="253"/>
      <c r="MD230" s="1317"/>
      <c r="ME230" s="131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93"/>
      <c r="NQ230" s="2082">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548</v>
      </c>
      <c r="F231" s="3401">
        <f>SUM(F225:G230)</f>
        <v>182800</v>
      </c>
      <c r="G231" s="3402"/>
      <c r="H231" s="43"/>
      <c r="I231" s="43" t="s">
        <v>1299</v>
      </c>
      <c r="K231" s="43"/>
      <c r="L231" s="3405">
        <v>5000</v>
      </c>
      <c r="M231" s="3406"/>
      <c r="N231" s="43"/>
      <c r="R231" s="43"/>
      <c r="S231" s="3359"/>
      <c r="T231" s="3360"/>
      <c r="U231" s="3360"/>
      <c r="V231" s="3360"/>
      <c r="W231" s="3361"/>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454"/>
      <c r="JX231" s="253"/>
      <c r="JY231" s="253"/>
      <c r="JZ231" s="253"/>
      <c r="KA231" s="253"/>
      <c r="KB231" s="1454"/>
      <c r="KC231" s="253"/>
      <c r="KD231" s="253"/>
      <c r="KE231" s="253"/>
      <c r="KF231" s="253"/>
      <c r="KG231" s="1454"/>
      <c r="KH231" s="253"/>
      <c r="KI231" s="253"/>
      <c r="KJ231" s="253"/>
      <c r="KK231" s="253"/>
      <c r="KL231" s="1454"/>
      <c r="KM231" s="1454"/>
      <c r="KN231" s="1454"/>
      <c r="KO231" s="1454"/>
      <c r="KP231" s="1454"/>
      <c r="KQ231" s="1454"/>
      <c r="KR231" s="1454"/>
      <c r="KS231" s="1454"/>
      <c r="KT231" s="1454"/>
      <c r="KU231" s="1454"/>
      <c r="KV231" s="1454"/>
      <c r="KW231" s="1454"/>
      <c r="KX231" s="1454"/>
      <c r="KY231" s="1454"/>
      <c r="KZ231" s="1454"/>
      <c r="LA231" s="1454"/>
      <c r="LB231" s="1454"/>
      <c r="LC231" s="1454"/>
      <c r="LD231" s="1454"/>
      <c r="LE231" s="1454"/>
      <c r="LF231" s="1454"/>
      <c r="LG231" s="1454"/>
      <c r="LH231" s="253"/>
      <c r="LI231" s="253"/>
      <c r="LJ231" s="253"/>
      <c r="LK231" s="253"/>
      <c r="LL231" s="253"/>
      <c r="LM231" s="253"/>
      <c r="LN231" s="1317"/>
      <c r="LO231" s="253"/>
      <c r="LP231" s="253"/>
      <c r="LQ231" s="253"/>
      <c r="LR231" s="253"/>
      <c r="LS231" s="253"/>
      <c r="LT231" s="253"/>
      <c r="LU231" s="253"/>
      <c r="LV231" s="253"/>
      <c r="LW231" s="253"/>
      <c r="LX231" s="253"/>
      <c r="LY231" s="253"/>
      <c r="LZ231" s="253"/>
      <c r="MA231" s="253"/>
      <c r="MB231" s="253"/>
      <c r="MC231" s="253"/>
      <c r="MD231" s="1317"/>
      <c r="ME231" s="131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93"/>
      <c r="NQ231" s="2080">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2741"/>
      <c r="G232" s="2741"/>
      <c r="H232" s="43"/>
      <c r="I232" s="43" t="s">
        <v>624</v>
      </c>
      <c r="K232" s="43"/>
      <c r="L232" s="3403">
        <v>5000</v>
      </c>
      <c r="M232" s="3404"/>
      <c r="N232" s="3409" t="str">
        <f>IF(Q234="","",IF(Q232&lt;Q234, "WARNING! OE may be below required minimum.",""))</f>
        <v/>
      </c>
      <c r="O232" s="3" t="s">
        <v>1300</v>
      </c>
      <c r="P232" s="43"/>
      <c r="Q232" s="2742">
        <f>F231+F240+F251+L227+L235+L245+L251+Q224</f>
        <v>452387</v>
      </c>
      <c r="R232" s="43"/>
      <c r="S232" s="3359"/>
      <c r="T232" s="3360"/>
      <c r="U232" s="3360"/>
      <c r="V232" s="3360"/>
      <c r="W232" s="3361"/>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454"/>
      <c r="JX232" s="253"/>
      <c r="JY232" s="253"/>
      <c r="JZ232" s="253"/>
      <c r="KA232" s="253"/>
      <c r="KB232" s="1454"/>
      <c r="KC232" s="253"/>
      <c r="KD232" s="253"/>
      <c r="KE232" s="253"/>
      <c r="KF232" s="253"/>
      <c r="KG232" s="1454"/>
      <c r="KH232" s="253"/>
      <c r="KI232" s="253"/>
      <c r="KJ232" s="253"/>
      <c r="KK232" s="253"/>
      <c r="KL232" s="1454"/>
      <c r="KM232" s="1454"/>
      <c r="KN232" s="1454"/>
      <c r="KO232" s="1454"/>
      <c r="KP232" s="1454"/>
      <c r="KQ232" s="1454"/>
      <c r="KR232" s="1454"/>
      <c r="KS232" s="1454"/>
      <c r="KT232" s="1454"/>
      <c r="KU232" s="1454"/>
      <c r="KV232" s="1454"/>
      <c r="KW232" s="1454"/>
      <c r="KX232" s="1454"/>
      <c r="KY232" s="1454"/>
      <c r="KZ232" s="1454"/>
      <c r="LA232" s="1454"/>
      <c r="LB232" s="1454"/>
      <c r="LC232" s="1454"/>
      <c r="LD232" s="1454"/>
      <c r="LE232" s="1454"/>
      <c r="LF232" s="1454"/>
      <c r="LG232" s="1454"/>
      <c r="LH232" s="253"/>
      <c r="LI232" s="253"/>
      <c r="LJ232" s="253"/>
      <c r="LK232" s="253"/>
      <c r="LL232" s="253"/>
      <c r="LM232" s="253"/>
      <c r="LN232" s="1317"/>
      <c r="LO232" s="253"/>
      <c r="LP232" s="253"/>
      <c r="LQ232" s="253"/>
      <c r="LR232" s="253"/>
      <c r="LS232" s="253"/>
      <c r="LT232" s="253"/>
      <c r="LU232" s="253"/>
      <c r="LV232" s="253"/>
      <c r="LW232" s="253"/>
      <c r="LX232" s="253"/>
      <c r="LY232" s="253"/>
      <c r="LZ232" s="253"/>
      <c r="MA232" s="253"/>
      <c r="MB232" s="253"/>
      <c r="MC232" s="253"/>
      <c r="MD232" s="1317"/>
      <c r="ME232" s="131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93"/>
      <c r="NQ232" s="2082">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1301</v>
      </c>
      <c r="C233" s="43"/>
      <c r="D233" s="2743"/>
      <c r="E233" s="43"/>
      <c r="F233" s="43"/>
      <c r="G233" s="43"/>
      <c r="H233" s="43"/>
      <c r="I233" s="43" t="s">
        <v>1302</v>
      </c>
      <c r="K233" s="43"/>
      <c r="L233" s="3403">
        <v>6000</v>
      </c>
      <c r="M233" s="3404"/>
      <c r="N233" s="3409"/>
      <c r="O233" s="23" t="s">
        <v>1303</v>
      </c>
      <c r="P233" s="219">
        <f>+Q232/P67</f>
        <v>7799.7758620689656</v>
      </c>
      <c r="R233" s="2744"/>
      <c r="S233" s="3359"/>
      <c r="T233" s="3360"/>
      <c r="U233" s="3360"/>
      <c r="V233" s="3360"/>
      <c r="W233" s="3361"/>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454"/>
      <c r="JX233" s="253"/>
      <c r="JY233" s="253"/>
      <c r="JZ233" s="253"/>
      <c r="KA233" s="253"/>
      <c r="KB233" s="1454"/>
      <c r="KC233" s="253"/>
      <c r="KD233" s="253"/>
      <c r="KE233" s="253"/>
      <c r="KF233" s="253"/>
      <c r="KG233" s="1454"/>
      <c r="KH233" s="253"/>
      <c r="KI233" s="253"/>
      <c r="KJ233" s="253"/>
      <c r="KK233" s="253"/>
      <c r="KL233" s="1454"/>
      <c r="KM233" s="1454"/>
      <c r="KN233" s="1454"/>
      <c r="KO233" s="1454"/>
      <c r="KP233" s="1454"/>
      <c r="KQ233" s="1454"/>
      <c r="KR233" s="1454"/>
      <c r="KS233" s="1454"/>
      <c r="KT233" s="1454"/>
      <c r="KU233" s="1454"/>
      <c r="KV233" s="1454"/>
      <c r="KW233" s="1454"/>
      <c r="KX233" s="1454"/>
      <c r="KY233" s="1454"/>
      <c r="KZ233" s="1454"/>
      <c r="LA233" s="1454"/>
      <c r="LB233" s="1454"/>
      <c r="LC233" s="1454"/>
      <c r="LD233" s="1454"/>
      <c r="LE233" s="1454"/>
      <c r="LF233" s="1454"/>
      <c r="LG233" s="1454"/>
      <c r="LH233" s="253"/>
      <c r="LI233" s="253"/>
      <c r="LJ233" s="253"/>
      <c r="LK233" s="253"/>
      <c r="LL233" s="253"/>
      <c r="LM233" s="253"/>
      <c r="LN233" s="1317"/>
      <c r="LO233" s="253"/>
      <c r="LP233" s="253"/>
      <c r="LQ233" s="253"/>
      <c r="LR233" s="253"/>
      <c r="LS233" s="253"/>
      <c r="LT233" s="253"/>
      <c r="LU233" s="253"/>
      <c r="LV233" s="253"/>
      <c r="LW233" s="253"/>
      <c r="LX233" s="253"/>
      <c r="LY233" s="253"/>
      <c r="LZ233" s="253"/>
      <c r="MA233" s="253"/>
      <c r="MB233" s="253"/>
      <c r="MC233" s="253"/>
      <c r="MD233" s="1317"/>
      <c r="ME233" s="131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93" t="s">
        <v>1304</v>
      </c>
      <c r="NQ233" s="2082">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1305</v>
      </c>
      <c r="C234" s="43"/>
      <c r="D234" s="2743"/>
      <c r="E234" s="43"/>
      <c r="F234" s="3392">
        <v>5000</v>
      </c>
      <c r="G234" s="3393"/>
      <c r="H234" s="43"/>
      <c r="I234" s="3410" t="s">
        <v>1297</v>
      </c>
      <c r="J234" s="3411"/>
      <c r="K234" s="3412"/>
      <c r="L234" s="3407"/>
      <c r="M234" s="3408"/>
      <c r="N234" s="3409"/>
      <c r="P234" s="572" t="s">
        <v>1306</v>
      </c>
      <c r="Q234" s="573">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261000</v>
      </c>
      <c r="R234" s="43"/>
      <c r="S234" s="3359"/>
      <c r="T234" s="3360"/>
      <c r="U234" s="3360"/>
      <c r="V234" s="3360"/>
      <c r="W234" s="3361"/>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454"/>
      <c r="JX234" s="253"/>
      <c r="JY234" s="253"/>
      <c r="JZ234" s="253"/>
      <c r="KA234" s="253"/>
      <c r="KB234" s="1454"/>
      <c r="KC234" s="253"/>
      <c r="KD234" s="253"/>
      <c r="KE234" s="253"/>
      <c r="KF234" s="253"/>
      <c r="KG234" s="1454"/>
      <c r="KH234" s="253"/>
      <c r="KI234" s="253"/>
      <c r="KJ234" s="253"/>
      <c r="KK234" s="253"/>
      <c r="KL234" s="1454"/>
      <c r="KM234" s="1454"/>
      <c r="KN234" s="1454"/>
      <c r="KO234" s="1454"/>
      <c r="KP234" s="1454"/>
      <c r="KQ234" s="1454"/>
      <c r="KR234" s="1454"/>
      <c r="KS234" s="1454"/>
      <c r="KT234" s="1454"/>
      <c r="KU234" s="1454"/>
      <c r="KV234" s="1454"/>
      <c r="KW234" s="1454"/>
      <c r="KX234" s="1454"/>
      <c r="KY234" s="1454"/>
      <c r="KZ234" s="1454"/>
      <c r="LA234" s="1454"/>
      <c r="LB234" s="1454"/>
      <c r="LC234" s="1454"/>
      <c r="LD234" s="1454"/>
      <c r="LE234" s="1454"/>
      <c r="LF234" s="1454"/>
      <c r="LG234" s="1454"/>
      <c r="LH234" s="253"/>
      <c r="LI234" s="253"/>
      <c r="LJ234" s="253"/>
      <c r="LK234" s="253"/>
      <c r="LL234" s="253"/>
      <c r="LM234" s="253"/>
      <c r="LN234" s="1317"/>
      <c r="LO234" s="253"/>
      <c r="LP234" s="253"/>
      <c r="LQ234" s="253"/>
      <c r="LR234" s="253"/>
      <c r="LS234" s="253"/>
      <c r="LT234" s="253"/>
      <c r="LU234" s="253"/>
      <c r="LV234" s="253"/>
      <c r="LW234" s="253"/>
      <c r="LX234" s="253"/>
      <c r="LY234" s="253"/>
      <c r="LZ234" s="253"/>
      <c r="MA234" s="253"/>
      <c r="MB234" s="253"/>
      <c r="MC234" s="253"/>
      <c r="MD234" s="1317"/>
      <c r="ME234" s="131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93"/>
      <c r="NQ234" s="2080">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1307</v>
      </c>
      <c r="C235" s="43"/>
      <c r="D235" s="2743"/>
      <c r="E235" s="43"/>
      <c r="F235" s="3397">
        <v>7200</v>
      </c>
      <c r="G235" s="3398"/>
      <c r="H235" s="43"/>
      <c r="I235" s="3"/>
      <c r="K235" s="5" t="s">
        <v>548</v>
      </c>
      <c r="L235" s="3413">
        <f>SUM(L231:L234)</f>
        <v>16000</v>
      </c>
      <c r="M235" s="3414"/>
      <c r="N235" s="3409"/>
      <c r="O235" s="3415" t="s">
        <v>1308</v>
      </c>
      <c r="P235" s="3415"/>
      <c r="Q235" s="3415"/>
      <c r="R235" s="43"/>
      <c r="S235" s="3359"/>
      <c r="T235" s="3360"/>
      <c r="U235" s="3360"/>
      <c r="V235" s="3360"/>
      <c r="W235" s="3361"/>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454"/>
      <c r="JX235" s="253"/>
      <c r="JY235" s="253"/>
      <c r="JZ235" s="253"/>
      <c r="KA235" s="253"/>
      <c r="KB235" s="1454"/>
      <c r="KC235" s="253"/>
      <c r="KD235" s="253"/>
      <c r="KE235" s="253"/>
      <c r="KF235" s="253"/>
      <c r="KG235" s="1454"/>
      <c r="KH235" s="253"/>
      <c r="KI235" s="253"/>
      <c r="KJ235" s="253"/>
      <c r="KK235" s="253"/>
      <c r="KL235" s="1454"/>
      <c r="KM235" s="1454"/>
      <c r="KN235" s="1454"/>
      <c r="KO235" s="1454"/>
      <c r="KP235" s="1454"/>
      <c r="KQ235" s="1454"/>
      <c r="KR235" s="1454"/>
      <c r="KS235" s="1454"/>
      <c r="KT235" s="1454"/>
      <c r="KU235" s="1454"/>
      <c r="KV235" s="1454"/>
      <c r="KW235" s="1454"/>
      <c r="KX235" s="1454"/>
      <c r="KY235" s="1454"/>
      <c r="KZ235" s="1454"/>
      <c r="LA235" s="1454"/>
      <c r="LB235" s="1454"/>
      <c r="LC235" s="1454"/>
      <c r="LD235" s="1454"/>
      <c r="LE235" s="1454"/>
      <c r="LF235" s="1454"/>
      <c r="LG235" s="1454"/>
      <c r="LH235" s="253"/>
      <c r="LI235" s="253"/>
      <c r="LJ235" s="253"/>
      <c r="LK235" s="253"/>
      <c r="LL235" s="253"/>
      <c r="LM235" s="253"/>
      <c r="LN235" s="1317"/>
      <c r="LO235" s="253"/>
      <c r="LP235" s="253"/>
      <c r="LQ235" s="253"/>
      <c r="LR235" s="253"/>
      <c r="LS235" s="253"/>
      <c r="LT235" s="253"/>
      <c r="LU235" s="253"/>
      <c r="LV235" s="253"/>
      <c r="LW235" s="253"/>
      <c r="LX235" s="253"/>
      <c r="LY235" s="253"/>
      <c r="LZ235" s="253"/>
      <c r="MA235" s="253"/>
      <c r="MB235" s="253"/>
      <c r="MC235" s="253"/>
      <c r="MD235" s="1317"/>
      <c r="ME235" s="131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93"/>
      <c r="NQ235" s="2082">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1309</v>
      </c>
      <c r="C236" s="43"/>
      <c r="D236" s="2743"/>
      <c r="E236" s="43"/>
      <c r="F236" s="3397">
        <v>2000</v>
      </c>
      <c r="G236" s="3398"/>
      <c r="H236" s="43"/>
      <c r="N236" s="43"/>
      <c r="O236" s="3415"/>
      <c r="P236" s="3415"/>
      <c r="Q236" s="3415"/>
      <c r="R236" s="2578"/>
      <c r="S236" s="3359"/>
      <c r="T236" s="3360"/>
      <c r="U236" s="3360"/>
      <c r="V236" s="3360"/>
      <c r="W236" s="3361"/>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454"/>
      <c r="JX236" s="253"/>
      <c r="JY236" s="253"/>
      <c r="JZ236" s="253"/>
      <c r="KA236" s="253"/>
      <c r="KB236" s="1454"/>
      <c r="KC236" s="253"/>
      <c r="KD236" s="253"/>
      <c r="KE236" s="253"/>
      <c r="KF236" s="253"/>
      <c r="KG236" s="1454"/>
      <c r="KH236" s="253"/>
      <c r="KI236" s="253"/>
      <c r="KJ236" s="253"/>
      <c r="KK236" s="253"/>
      <c r="KL236" s="1454"/>
      <c r="KM236" s="1454"/>
      <c r="KN236" s="1454"/>
      <c r="KO236" s="1454"/>
      <c r="KP236" s="1454"/>
      <c r="KQ236" s="1454"/>
      <c r="KR236" s="1454"/>
      <c r="KS236" s="1454"/>
      <c r="KT236" s="1454"/>
      <c r="KU236" s="1454"/>
      <c r="KV236" s="1454"/>
      <c r="KW236" s="1454"/>
      <c r="KX236" s="1454"/>
      <c r="KY236" s="1454"/>
      <c r="KZ236" s="1454"/>
      <c r="LA236" s="1454"/>
      <c r="LB236" s="1454"/>
      <c r="LC236" s="1454"/>
      <c r="LD236" s="1454"/>
      <c r="LE236" s="1454"/>
      <c r="LF236" s="1454"/>
      <c r="LG236" s="1454"/>
      <c r="LH236" s="253"/>
      <c r="LI236" s="253"/>
      <c r="LJ236" s="253"/>
      <c r="LK236" s="253"/>
      <c r="LL236" s="253"/>
      <c r="LM236" s="253"/>
      <c r="LN236" s="1317"/>
      <c r="LO236" s="253"/>
      <c r="LP236" s="253"/>
      <c r="LQ236" s="253"/>
      <c r="LR236" s="253"/>
      <c r="LS236" s="253"/>
      <c r="LT236" s="253"/>
      <c r="LU236" s="253"/>
      <c r="LV236" s="253"/>
      <c r="LW236" s="253"/>
      <c r="LX236" s="253"/>
      <c r="LY236" s="253"/>
      <c r="LZ236" s="253"/>
      <c r="MA236" s="253"/>
      <c r="MB236" s="253"/>
      <c r="MC236" s="253"/>
      <c r="MD236" s="1317"/>
      <c r="ME236" s="131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93"/>
      <c r="NQ236" s="2082">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1310</v>
      </c>
      <c r="C237" s="43"/>
      <c r="D237" s="2743"/>
      <c r="E237" s="43"/>
      <c r="F237" s="3397"/>
      <c r="G237" s="3398"/>
      <c r="H237" s="43"/>
      <c r="L237" s="43"/>
      <c r="M237" s="43"/>
      <c r="N237" s="43"/>
      <c r="R237" s="2578"/>
      <c r="S237" s="3359"/>
      <c r="T237" s="3360"/>
      <c r="U237" s="3360"/>
      <c r="V237" s="3360"/>
      <c r="W237" s="3361"/>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454"/>
      <c r="JX237" s="253"/>
      <c r="JY237" s="253"/>
      <c r="JZ237" s="253"/>
      <c r="KA237" s="253"/>
      <c r="KB237" s="1454"/>
      <c r="KC237" s="253"/>
      <c r="KD237" s="253"/>
      <c r="KE237" s="253"/>
      <c r="KF237" s="253"/>
      <c r="KG237" s="1454"/>
      <c r="KH237" s="253"/>
      <c r="KI237" s="253"/>
      <c r="KJ237" s="253"/>
      <c r="KK237" s="253"/>
      <c r="KL237" s="1454"/>
      <c r="KM237" s="1454"/>
      <c r="KN237" s="1454"/>
      <c r="KO237" s="1454"/>
      <c r="KP237" s="1454"/>
      <c r="KQ237" s="1454"/>
      <c r="KR237" s="1454"/>
      <c r="KS237" s="1454"/>
      <c r="KT237" s="1454"/>
      <c r="KU237" s="1454"/>
      <c r="KV237" s="1454"/>
      <c r="KW237" s="1454"/>
      <c r="KX237" s="1454"/>
      <c r="KY237" s="1454"/>
      <c r="KZ237" s="1454"/>
      <c r="LA237" s="1454"/>
      <c r="LB237" s="1454"/>
      <c r="LC237" s="1454"/>
      <c r="LD237" s="1454"/>
      <c r="LE237" s="1454"/>
      <c r="LF237" s="1454"/>
      <c r="LG237" s="1454"/>
      <c r="LH237" s="253"/>
      <c r="LI237" s="253"/>
      <c r="LJ237" s="253"/>
      <c r="LK237" s="253"/>
      <c r="LL237" s="253"/>
      <c r="LM237" s="253"/>
      <c r="LN237" s="1317"/>
      <c r="LO237" s="253"/>
      <c r="LP237" s="253"/>
      <c r="LQ237" s="253"/>
      <c r="LR237" s="253"/>
      <c r="LS237" s="253"/>
      <c r="LT237" s="253"/>
      <c r="LU237" s="253"/>
      <c r="LV237" s="253"/>
      <c r="LW237" s="253"/>
      <c r="LX237" s="253"/>
      <c r="LY237" s="253"/>
      <c r="LZ237" s="253"/>
      <c r="MA237" s="253"/>
      <c r="MB237" s="253"/>
      <c r="MC237" s="253"/>
      <c r="MD237" s="1317"/>
      <c r="ME237" s="131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93" t="s">
        <v>1311</v>
      </c>
      <c r="NQ237" s="2082">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1312</v>
      </c>
      <c r="C238" s="43"/>
      <c r="D238" s="2743"/>
      <c r="E238" s="43"/>
      <c r="F238" s="3397">
        <v>5000</v>
      </c>
      <c r="G238" s="3398"/>
      <c r="H238" s="43"/>
      <c r="I238" s="3" t="s">
        <v>1313</v>
      </c>
      <c r="K238" s="2518" t="s">
        <v>1314</v>
      </c>
      <c r="O238" s="955" t="s">
        <v>1315</v>
      </c>
      <c r="P238" s="3"/>
      <c r="Q238" s="2745">
        <f>Q247</f>
        <v>17400</v>
      </c>
      <c r="S238" s="3359"/>
      <c r="T238" s="3360"/>
      <c r="U238" s="3360"/>
      <c r="V238" s="3360"/>
      <c r="W238" s="3361"/>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454"/>
      <c r="JX238" s="253"/>
      <c r="JY238" s="253"/>
      <c r="JZ238" s="253"/>
      <c r="KA238" s="253"/>
      <c r="KB238" s="1454"/>
      <c r="KC238" s="253"/>
      <c r="KD238" s="253"/>
      <c r="KE238" s="253"/>
      <c r="KF238" s="253"/>
      <c r="KG238" s="1454"/>
      <c r="KH238" s="253"/>
      <c r="KI238" s="253"/>
      <c r="KJ238" s="253"/>
      <c r="KK238" s="253"/>
      <c r="KL238" s="1454"/>
      <c r="KM238" s="1454"/>
      <c r="KN238" s="1454"/>
      <c r="KO238" s="1454"/>
      <c r="KP238" s="1454"/>
      <c r="KQ238" s="1454"/>
      <c r="KR238" s="1454"/>
      <c r="KS238" s="1454"/>
      <c r="KT238" s="1454"/>
      <c r="KU238" s="1454"/>
      <c r="KV238" s="1454"/>
      <c r="KW238" s="1454"/>
      <c r="KX238" s="1454"/>
      <c r="KY238" s="1454"/>
      <c r="KZ238" s="1454"/>
      <c r="LA238" s="1454"/>
      <c r="LB238" s="1454"/>
      <c r="LC238" s="1454"/>
      <c r="LD238" s="1454"/>
      <c r="LE238" s="1454"/>
      <c r="LF238" s="1454"/>
      <c r="LG238" s="1454"/>
      <c r="LH238" s="253"/>
      <c r="LI238" s="253"/>
      <c r="LJ238" s="253"/>
      <c r="LK238" s="253"/>
      <c r="LL238" s="253"/>
      <c r="LM238" s="253"/>
      <c r="LN238" s="1317"/>
      <c r="LO238" s="253"/>
      <c r="LP238" s="253"/>
      <c r="LQ238" s="253"/>
      <c r="LR238" s="253"/>
      <c r="LS238" s="253"/>
      <c r="LT238" s="253"/>
      <c r="LU238" s="253"/>
      <c r="LV238" s="253"/>
      <c r="LW238" s="253"/>
      <c r="LX238" s="253"/>
      <c r="LY238" s="253"/>
      <c r="LZ238" s="253"/>
      <c r="MA238" s="253"/>
      <c r="MB238" s="253"/>
      <c r="MC238" s="253"/>
      <c r="MD238" s="1317"/>
      <c r="ME238" s="131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93"/>
      <c r="NQ238" s="2082">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394" t="s">
        <v>1297</v>
      </c>
      <c r="C239" s="3395"/>
      <c r="D239" s="3395"/>
      <c r="E239" s="3396"/>
      <c r="F239" s="3399"/>
      <c r="G239" s="3400"/>
      <c r="H239" s="43"/>
      <c r="I239" s="43" t="s">
        <v>1316</v>
      </c>
      <c r="K239" s="259">
        <f>L239/12/P67</f>
        <v>5.7471264367816088</v>
      </c>
      <c r="L239" s="3405">
        <v>4000</v>
      </c>
      <c r="M239" s="3406"/>
      <c r="N239" s="3409" t="str">
        <f>IF(Q238&lt;Q247, "WARNING! RR proposed is below the DCA required minimum.","")</f>
        <v/>
      </c>
      <c r="O239" s="585" t="s">
        <v>1317</v>
      </c>
      <c r="P239" s="2724"/>
      <c r="Q239" s="586">
        <f>Q238/P247</f>
        <v>300</v>
      </c>
      <c r="R239" s="2733"/>
      <c r="S239" s="3359"/>
      <c r="T239" s="3360"/>
      <c r="U239" s="3360"/>
      <c r="V239" s="3360"/>
      <c r="W239" s="3361"/>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454"/>
      <c r="JX239" s="253"/>
      <c r="JY239" s="253"/>
      <c r="JZ239" s="253"/>
      <c r="KA239" s="253"/>
      <c r="KB239" s="1454"/>
      <c r="KC239" s="253"/>
      <c r="KD239" s="253"/>
      <c r="KE239" s="253"/>
      <c r="KF239" s="253"/>
      <c r="KG239" s="1454"/>
      <c r="KH239" s="253"/>
      <c r="KI239" s="253"/>
      <c r="KJ239" s="253"/>
      <c r="KK239" s="253"/>
      <c r="KL239" s="1454"/>
      <c r="KM239" s="1454"/>
      <c r="KN239" s="1454"/>
      <c r="KO239" s="1454"/>
      <c r="KP239" s="1454"/>
      <c r="KQ239" s="1454"/>
      <c r="KR239" s="1454"/>
      <c r="KS239" s="1454"/>
      <c r="KT239" s="1454"/>
      <c r="KU239" s="1454"/>
      <c r="KV239" s="1454"/>
      <c r="KW239" s="1454"/>
      <c r="KX239" s="1454"/>
      <c r="KY239" s="1454"/>
      <c r="KZ239" s="1454"/>
      <c r="LA239" s="1454"/>
      <c r="LB239" s="1454"/>
      <c r="LC239" s="1454"/>
      <c r="LD239" s="1454"/>
      <c r="LE239" s="1454"/>
      <c r="LF239" s="1454"/>
      <c r="LG239" s="1454"/>
      <c r="LH239" s="253"/>
      <c r="LI239" s="253"/>
      <c r="LJ239" s="253"/>
      <c r="LK239" s="253"/>
      <c r="LL239" s="253"/>
      <c r="LM239" s="253"/>
      <c r="LN239" s="1317"/>
      <c r="LO239" s="253"/>
      <c r="LP239" s="253"/>
      <c r="LQ239" s="253"/>
      <c r="LR239" s="253"/>
      <c r="LS239" s="253"/>
      <c r="LT239" s="253"/>
      <c r="LU239" s="253"/>
      <c r="LV239" s="253"/>
      <c r="LW239" s="253"/>
      <c r="LX239" s="253"/>
      <c r="LY239" s="253"/>
      <c r="LZ239" s="253"/>
      <c r="MA239" s="253"/>
      <c r="MB239" s="253"/>
      <c r="MC239" s="253"/>
      <c r="MD239" s="1317"/>
      <c r="ME239" s="131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93"/>
      <c r="NQ239" s="2082">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548</v>
      </c>
      <c r="F240" s="3401">
        <f>SUM(F234:G239)</f>
        <v>19200</v>
      </c>
      <c r="G240" s="3402"/>
      <c r="H240" s="43"/>
      <c r="I240" s="43" t="s">
        <v>1318</v>
      </c>
      <c r="K240" s="259">
        <f>L240/12/P67</f>
        <v>0</v>
      </c>
      <c r="L240" s="3403">
        <v>0</v>
      </c>
      <c r="M240" s="3404"/>
      <c r="N240" s="3451"/>
      <c r="O240" s="3452" t="s">
        <v>1319</v>
      </c>
      <c r="P240" s="3453"/>
      <c r="Q240" s="3454"/>
      <c r="S240" s="3359"/>
      <c r="T240" s="3360"/>
      <c r="U240" s="3360"/>
      <c r="V240" s="3360"/>
      <c r="W240" s="3361"/>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454"/>
      <c r="JX240" s="253"/>
      <c r="JY240" s="253"/>
      <c r="JZ240" s="253"/>
      <c r="KA240" s="253"/>
      <c r="KB240" s="1454"/>
      <c r="KC240" s="253"/>
      <c r="KD240" s="253"/>
      <c r="KE240" s="253"/>
      <c r="KF240" s="253"/>
      <c r="KG240" s="1454"/>
      <c r="KH240" s="253"/>
      <c r="KI240" s="253"/>
      <c r="KJ240" s="253"/>
      <c r="KK240" s="253"/>
      <c r="KL240" s="1454"/>
      <c r="KM240" s="1454"/>
      <c r="KN240" s="1454"/>
      <c r="KO240" s="1454"/>
      <c r="KP240" s="1454"/>
      <c r="KQ240" s="1454"/>
      <c r="KR240" s="1454"/>
      <c r="KS240" s="1454"/>
      <c r="KT240" s="1454"/>
      <c r="KU240" s="1454"/>
      <c r="KV240" s="1454"/>
      <c r="KW240" s="1454"/>
      <c r="KX240" s="1454"/>
      <c r="KY240" s="1454"/>
      <c r="KZ240" s="1454"/>
      <c r="LA240" s="1454"/>
      <c r="LB240" s="1454"/>
      <c r="LC240" s="1454"/>
      <c r="LD240" s="1454"/>
      <c r="LE240" s="1454"/>
      <c r="LF240" s="1454"/>
      <c r="LG240" s="1454"/>
      <c r="LH240" s="253"/>
      <c r="LI240" s="253"/>
      <c r="LJ240" s="253"/>
      <c r="LK240" s="253"/>
      <c r="LL240" s="253"/>
      <c r="LM240" s="253"/>
      <c r="LN240" s="1317"/>
      <c r="LO240" s="253"/>
      <c r="LP240" s="253"/>
      <c r="LQ240" s="253"/>
      <c r="LR240" s="253"/>
      <c r="LS240" s="253"/>
      <c r="LT240" s="253"/>
      <c r="LU240" s="253"/>
      <c r="LV240" s="253"/>
      <c r="LW240" s="253"/>
      <c r="LX240" s="253"/>
      <c r="LY240" s="253"/>
      <c r="LZ240" s="253"/>
      <c r="MA240" s="253"/>
      <c r="MB240" s="253"/>
      <c r="MC240" s="253"/>
      <c r="MD240" s="1317"/>
      <c r="ME240" s="131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93"/>
      <c r="NQ240" s="2083">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2741"/>
      <c r="G241" s="2741"/>
      <c r="H241" s="43"/>
      <c r="I241" s="43" t="s">
        <v>1320</v>
      </c>
      <c r="K241" s="259">
        <f>L241/12/P67</f>
        <v>66.810344827586206</v>
      </c>
      <c r="L241" s="3403">
        <v>46500</v>
      </c>
      <c r="M241" s="3404"/>
      <c r="N241" s="3451"/>
      <c r="O241" s="580" t="s">
        <v>1321</v>
      </c>
      <c r="P241" s="508" t="s">
        <v>1322</v>
      </c>
      <c r="Q241" s="581" t="s">
        <v>1323</v>
      </c>
      <c r="R241" s="43"/>
      <c r="S241" s="3359"/>
      <c r="T241" s="3360"/>
      <c r="U241" s="3360"/>
      <c r="V241" s="3360"/>
      <c r="W241" s="3361"/>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454"/>
      <c r="JX241" s="253"/>
      <c r="JY241" s="253"/>
      <c r="JZ241" s="253"/>
      <c r="KA241" s="253"/>
      <c r="KB241" s="1454"/>
      <c r="KC241" s="253"/>
      <c r="KD241" s="253"/>
      <c r="KE241" s="253"/>
      <c r="KF241" s="253"/>
      <c r="KG241" s="1454"/>
      <c r="KH241" s="253"/>
      <c r="KI241" s="253"/>
      <c r="KJ241" s="253"/>
      <c r="KK241" s="253"/>
      <c r="KL241" s="1454"/>
      <c r="KM241" s="1454"/>
      <c r="KN241" s="1454"/>
      <c r="KO241" s="1454"/>
      <c r="KP241" s="1454"/>
      <c r="KQ241" s="1454"/>
      <c r="KR241" s="1454"/>
      <c r="KS241" s="1454"/>
      <c r="KT241" s="1454"/>
      <c r="KU241" s="1454"/>
      <c r="KV241" s="1454"/>
      <c r="KW241" s="1454"/>
      <c r="KX241" s="1454"/>
      <c r="KY241" s="1454"/>
      <c r="KZ241" s="1454"/>
      <c r="LA241" s="1454"/>
      <c r="LB241" s="1454"/>
      <c r="LC241" s="1454"/>
      <c r="LD241" s="1454"/>
      <c r="LE241" s="1454"/>
      <c r="LF241" s="1454"/>
      <c r="LG241" s="1454"/>
      <c r="LH241" s="253"/>
      <c r="LI241" s="253"/>
      <c r="LJ241" s="253"/>
      <c r="LK241" s="253"/>
      <c r="LL241" s="253"/>
      <c r="LM241" s="253"/>
      <c r="LN241" s="1317"/>
      <c r="LO241" s="253"/>
      <c r="LP241" s="253"/>
      <c r="LQ241" s="253"/>
      <c r="LR241" s="253"/>
      <c r="LS241" s="253"/>
      <c r="LT241" s="253"/>
      <c r="LU241" s="253"/>
      <c r="LV241" s="253"/>
      <c r="LW241" s="253"/>
      <c r="LX241" s="253"/>
      <c r="LY241" s="253"/>
      <c r="LZ241" s="253"/>
      <c r="MA241" s="253"/>
      <c r="MB241" s="253"/>
      <c r="MC241" s="253"/>
      <c r="MD241" s="1317"/>
      <c r="ME241" s="131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93" t="s">
        <v>621</v>
      </c>
      <c r="NQ241" s="2082">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1324</v>
      </c>
      <c r="C242" s="43"/>
      <c r="D242" s="2743"/>
      <c r="E242" s="43"/>
      <c r="F242" s="43"/>
      <c r="G242" s="43"/>
      <c r="H242" s="43"/>
      <c r="I242" s="43" t="s">
        <v>1325</v>
      </c>
      <c r="K242" s="259">
        <f>L242/12/P67</f>
        <v>8.9080459770114935</v>
      </c>
      <c r="L242" s="3403">
        <v>6200</v>
      </c>
      <c r="M242" s="3404"/>
      <c r="N242" s="3451"/>
      <c r="O242" s="361" t="s">
        <v>667</v>
      </c>
      <c r="Q242" s="362"/>
      <c r="R242" s="2744"/>
      <c r="S242" s="3359"/>
      <c r="T242" s="3360"/>
      <c r="U242" s="3360"/>
      <c r="V242" s="3360"/>
      <c r="W242" s="3361"/>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454"/>
      <c r="JX242" s="253"/>
      <c r="JY242" s="253"/>
      <c r="JZ242" s="253"/>
      <c r="KA242" s="253"/>
      <c r="KB242" s="1454"/>
      <c r="KC242" s="253"/>
      <c r="KD242" s="253"/>
      <c r="KE242" s="253"/>
      <c r="KF242" s="253"/>
      <c r="KG242" s="1454"/>
      <c r="KH242" s="253"/>
      <c r="KI242" s="253"/>
      <c r="KJ242" s="253"/>
      <c r="KK242" s="253"/>
      <c r="KL242" s="1454"/>
      <c r="KM242" s="1454"/>
      <c r="KN242" s="1454"/>
      <c r="KO242" s="1454"/>
      <c r="KP242" s="1454"/>
      <c r="KQ242" s="1454"/>
      <c r="KR242" s="1454"/>
      <c r="KS242" s="1454"/>
      <c r="KT242" s="1454"/>
      <c r="KU242" s="1454"/>
      <c r="KV242" s="1454"/>
      <c r="KW242" s="1454"/>
      <c r="KX242" s="1454"/>
      <c r="KY242" s="1454"/>
      <c r="KZ242" s="1454"/>
      <c r="LA242" s="1454"/>
      <c r="LB242" s="1454"/>
      <c r="LC242" s="1454"/>
      <c r="LD242" s="1454"/>
      <c r="LE242" s="1454"/>
      <c r="LF242" s="1454"/>
      <c r="LG242" s="1454"/>
      <c r="LH242" s="253"/>
      <c r="LI242" s="253"/>
      <c r="LJ242" s="253"/>
      <c r="LK242" s="253"/>
      <c r="LL242" s="253"/>
      <c r="LM242" s="253"/>
      <c r="LN242" s="1317"/>
      <c r="LO242" s="253"/>
      <c r="LP242" s="253"/>
      <c r="LQ242" s="253"/>
      <c r="LR242" s="253"/>
      <c r="LS242" s="253"/>
      <c r="LT242" s="253"/>
      <c r="LU242" s="253"/>
      <c r="LV242" s="253"/>
      <c r="LW242" s="253"/>
      <c r="LX242" s="253"/>
      <c r="LY242" s="253"/>
      <c r="LZ242" s="253"/>
      <c r="MA242" s="253"/>
      <c r="MB242" s="253"/>
      <c r="MC242" s="253"/>
      <c r="MD242" s="1317"/>
      <c r="ME242" s="131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93"/>
      <c r="NQ242" s="2080">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1326</v>
      </c>
      <c r="C243" s="43"/>
      <c r="D243" s="2743"/>
      <c r="E243" s="43"/>
      <c r="F243" s="3421">
        <v>10000</v>
      </c>
      <c r="G243" s="3422"/>
      <c r="H243" s="43"/>
      <c r="I243" s="43" t="s">
        <v>1327</v>
      </c>
      <c r="K243" s="259">
        <f>L243/12/P67</f>
        <v>3.3908045977011492</v>
      </c>
      <c r="L243" s="3403">
        <v>2360</v>
      </c>
      <c r="M243" s="3404"/>
      <c r="N243" s="3451"/>
      <c r="O243" s="279" t="s">
        <v>1328</v>
      </c>
      <c r="P243" s="510" t="str">
        <f>CONCATENATE(SUM(MF49:MJ49)," units x $",'DCA Underwriting Assumptions'!$Q$41," =")</f>
        <v>0 units x $400 =</v>
      </c>
      <c r="Q243" s="363">
        <f>SUM(MF49:MJ49)*'DCA Underwriting Assumptions'!$Q$41</f>
        <v>0</v>
      </c>
      <c r="R243" s="2746"/>
      <c r="S243" s="3359"/>
      <c r="T243" s="3360"/>
      <c r="U243" s="3360"/>
      <c r="V243" s="3360"/>
      <c r="W243" s="3361"/>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454"/>
      <c r="JX243" s="253"/>
      <c r="JY243" s="253"/>
      <c r="JZ243" s="253"/>
      <c r="KA243" s="253"/>
      <c r="KB243" s="1454"/>
      <c r="KC243" s="253"/>
      <c r="KD243" s="253"/>
      <c r="KE243" s="253"/>
      <c r="KF243" s="253"/>
      <c r="KG243" s="1454"/>
      <c r="KH243" s="253"/>
      <c r="KI243" s="253"/>
      <c r="KJ243" s="253"/>
      <c r="KK243" s="253"/>
      <c r="KL243" s="1454"/>
      <c r="KM243" s="1454"/>
      <c r="KN243" s="1454"/>
      <c r="KO243" s="1454"/>
      <c r="KP243" s="1454"/>
      <c r="KQ243" s="1454"/>
      <c r="KR243" s="1454"/>
      <c r="KS243" s="1454"/>
      <c r="KT243" s="1454"/>
      <c r="KU243" s="1454"/>
      <c r="KV243" s="1454"/>
      <c r="KW243" s="1454"/>
      <c r="KX243" s="1454"/>
      <c r="KY243" s="1454"/>
      <c r="KZ243" s="1454"/>
      <c r="LA243" s="1454"/>
      <c r="LB243" s="1454"/>
      <c r="LC243" s="1454"/>
      <c r="LD243" s="1454"/>
      <c r="LE243" s="1454"/>
      <c r="LF243" s="1454"/>
      <c r="LG243" s="1454"/>
      <c r="LH243" s="253"/>
      <c r="LI243" s="253"/>
      <c r="LJ243" s="253"/>
      <c r="LK243" s="253"/>
      <c r="LL243" s="253"/>
      <c r="LM243" s="253"/>
      <c r="LN243" s="1317"/>
      <c r="LO243" s="253"/>
      <c r="LP243" s="253"/>
      <c r="LQ243" s="253"/>
      <c r="LR243" s="253"/>
      <c r="LS243" s="253"/>
      <c r="LT243" s="253"/>
      <c r="LU243" s="253"/>
      <c r="LV243" s="253"/>
      <c r="LW243" s="253"/>
      <c r="LX243" s="253"/>
      <c r="LY243" s="253"/>
      <c r="LZ243" s="253"/>
      <c r="MA243" s="253"/>
      <c r="MB243" s="253"/>
      <c r="MC243" s="253"/>
      <c r="MD243" s="1317"/>
      <c r="ME243" s="131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93"/>
      <c r="NQ243" s="2082">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1329</v>
      </c>
      <c r="C244" s="43"/>
      <c r="D244" s="2743"/>
      <c r="E244" s="43"/>
      <c r="F244" s="3419">
        <v>8000</v>
      </c>
      <c r="G244" s="3420"/>
      <c r="H244" s="43"/>
      <c r="I244" s="3455" t="s">
        <v>1297</v>
      </c>
      <c r="J244" s="3456"/>
      <c r="K244" s="259">
        <f>L244/12/P67</f>
        <v>0</v>
      </c>
      <c r="L244" s="3407"/>
      <c r="M244" s="3408"/>
      <c r="N244" s="3451"/>
      <c r="O244" s="279" t="s">
        <v>1330</v>
      </c>
      <c r="P244" s="510" t="str">
        <f>CONCATENATE(SUM(MK49:MO49)," units x $",'DCA Underwriting Assumptions'!$Q$42," =")</f>
        <v>58 units x $300 =</v>
      </c>
      <c r="Q244" s="363">
        <f>SUM(MK49:MO49)*'DCA Underwriting Assumptions'!$Q$42</f>
        <v>17400</v>
      </c>
      <c r="S244" s="3359"/>
      <c r="T244" s="3360"/>
      <c r="U244" s="3360"/>
      <c r="V244" s="3360"/>
      <c r="W244" s="3361"/>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454"/>
      <c r="JX244" s="253"/>
      <c r="JY244" s="253"/>
      <c r="JZ244" s="253"/>
      <c r="KA244" s="253"/>
      <c r="KB244" s="1454"/>
      <c r="KC244" s="253"/>
      <c r="KD244" s="253"/>
      <c r="KE244" s="253"/>
      <c r="KF244" s="253"/>
      <c r="KG244" s="1454"/>
      <c r="KH244" s="253"/>
      <c r="KI244" s="253"/>
      <c r="KJ244" s="253"/>
      <c r="KK244" s="253"/>
      <c r="KL244" s="1454"/>
      <c r="KM244" s="1454"/>
      <c r="KN244" s="1454"/>
      <c r="KO244" s="1454"/>
      <c r="KP244" s="1454"/>
      <c r="KQ244" s="1454"/>
      <c r="KR244" s="1454"/>
      <c r="KS244" s="1454"/>
      <c r="KT244" s="1454"/>
      <c r="KU244" s="1454"/>
      <c r="KV244" s="1454"/>
      <c r="KW244" s="1454"/>
      <c r="KX244" s="1454"/>
      <c r="KY244" s="1454"/>
      <c r="KZ244" s="1454"/>
      <c r="LA244" s="1454"/>
      <c r="LB244" s="1454"/>
      <c r="LC244" s="1454"/>
      <c r="LD244" s="1454"/>
      <c r="LE244" s="1454"/>
      <c r="LF244" s="1454"/>
      <c r="LG244" s="1454"/>
      <c r="LH244" s="253"/>
      <c r="LI244" s="253"/>
      <c r="LJ244" s="253"/>
      <c r="LK244" s="253"/>
      <c r="LL244" s="253"/>
      <c r="LM244" s="253"/>
      <c r="LN244" s="1317"/>
      <c r="LO244" s="253"/>
      <c r="LP244" s="253"/>
      <c r="LQ244" s="253"/>
      <c r="LR244" s="253"/>
      <c r="LS244" s="253"/>
      <c r="LT244" s="253"/>
      <c r="LU244" s="253"/>
      <c r="LV244" s="253"/>
      <c r="LW244" s="253"/>
      <c r="LX244" s="253"/>
      <c r="LY244" s="253"/>
      <c r="LZ244" s="253"/>
      <c r="MA244" s="253"/>
      <c r="MB244" s="253"/>
      <c r="MC244" s="253"/>
      <c r="MD244" s="1317"/>
      <c r="ME244" s="131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93"/>
      <c r="NQ244" s="2082">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1331</v>
      </c>
      <c r="C245" s="43"/>
      <c r="D245" s="2743"/>
      <c r="E245" s="43"/>
      <c r="F245" s="3419">
        <v>16000</v>
      </c>
      <c r="G245" s="3420"/>
      <c r="H245" s="43"/>
      <c r="K245" s="5" t="s">
        <v>548</v>
      </c>
      <c r="L245" s="3413">
        <f>SUM(L239:L244)</f>
        <v>59060</v>
      </c>
      <c r="M245" s="3414"/>
      <c r="N245" s="3451"/>
      <c r="O245" s="364" t="s">
        <v>1332</v>
      </c>
      <c r="P245" s="510" t="str">
        <f>CONCATENATE(SUM(MP49:MT49)," units x $",'DCA Underwriting Assumptions'!$Q$43," =")</f>
        <v>0 units x $470 =</v>
      </c>
      <c r="Q245" s="363">
        <f>SUM(MP49:MT49)*'DCA Underwriting Assumptions'!$Q$43</f>
        <v>0</v>
      </c>
      <c r="R245" s="508"/>
      <c r="S245" s="3359"/>
      <c r="T245" s="3360"/>
      <c r="U245" s="3360"/>
      <c r="V245" s="3360"/>
      <c r="W245" s="3361"/>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454"/>
      <c r="JX245" s="253"/>
      <c r="JY245" s="253"/>
      <c r="JZ245" s="253"/>
      <c r="KA245" s="253"/>
      <c r="KB245" s="1454"/>
      <c r="KC245" s="253"/>
      <c r="KD245" s="253"/>
      <c r="KE245" s="253"/>
      <c r="KF245" s="253"/>
      <c r="KG245" s="1454"/>
      <c r="KH245" s="253"/>
      <c r="KI245" s="253"/>
      <c r="KJ245" s="253"/>
      <c r="KK245" s="253"/>
      <c r="KL245" s="1454"/>
      <c r="KM245" s="1454"/>
      <c r="KN245" s="1454"/>
      <c r="KO245" s="1454"/>
      <c r="KP245" s="1454"/>
      <c r="KQ245" s="1454"/>
      <c r="KR245" s="1454"/>
      <c r="KS245" s="1454"/>
      <c r="KT245" s="1454"/>
      <c r="KU245" s="1454"/>
      <c r="KV245" s="1454"/>
      <c r="KW245" s="1454"/>
      <c r="KX245" s="1454"/>
      <c r="KY245" s="1454"/>
      <c r="KZ245" s="1454"/>
      <c r="LA245" s="1454"/>
      <c r="LB245" s="1454"/>
      <c r="LC245" s="1454"/>
      <c r="LD245" s="1454"/>
      <c r="LE245" s="1454"/>
      <c r="LF245" s="1454"/>
      <c r="LG245" s="1454"/>
      <c r="LH245" s="253"/>
      <c r="LI245" s="253"/>
      <c r="LJ245" s="253"/>
      <c r="LK245" s="253"/>
      <c r="LL245" s="253"/>
      <c r="LM245" s="253"/>
      <c r="LN245" s="1317"/>
      <c r="LO245" s="253"/>
      <c r="LP245" s="253"/>
      <c r="LQ245" s="253"/>
      <c r="LR245" s="253"/>
      <c r="LS245" s="253"/>
      <c r="LT245" s="253"/>
      <c r="LU245" s="253"/>
      <c r="LV245" s="253"/>
      <c r="LW245" s="253"/>
      <c r="LX245" s="253"/>
      <c r="LY245" s="253"/>
      <c r="LZ245" s="253"/>
      <c r="MA245" s="253"/>
      <c r="MB245" s="253"/>
      <c r="MC245" s="253"/>
      <c r="MD245" s="1317"/>
      <c r="ME245" s="131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93"/>
      <c r="NQ245" s="2080">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1333</v>
      </c>
      <c r="C246" s="43"/>
      <c r="D246" s="2743"/>
      <c r="E246" s="43"/>
      <c r="F246" s="3397">
        <v>10000</v>
      </c>
      <c r="G246" s="3398"/>
      <c r="H246" s="43"/>
      <c r="O246" s="364" t="s">
        <v>1334</v>
      </c>
      <c r="P246" s="510" t="str">
        <f>CONCATENATE(P125," units x $",'DCA Underwriting Assumptions'!$Q$44," =")</f>
        <v>0 units x $420 =</v>
      </c>
      <c r="Q246" s="363">
        <f>P125*'DCA Underwriting Assumptions'!$Q$44</f>
        <v>0</v>
      </c>
      <c r="S246" s="3359"/>
      <c r="T246" s="3360"/>
      <c r="U246" s="3360"/>
      <c r="V246" s="3360"/>
      <c r="W246" s="3361"/>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454"/>
      <c r="JX246" s="253"/>
      <c r="JY246" s="253"/>
      <c r="JZ246" s="253"/>
      <c r="KA246" s="253"/>
      <c r="KB246" s="1454"/>
      <c r="KC246" s="253"/>
      <c r="KD246" s="253"/>
      <c r="KE246" s="253"/>
      <c r="KF246" s="253"/>
      <c r="KG246" s="1454"/>
      <c r="KH246" s="253"/>
      <c r="KI246" s="253"/>
      <c r="KJ246" s="253"/>
      <c r="KK246" s="253"/>
      <c r="KL246" s="1454"/>
      <c r="KM246" s="1454"/>
      <c r="KN246" s="1454"/>
      <c r="KO246" s="1454"/>
      <c r="KP246" s="1454"/>
      <c r="KQ246" s="1454"/>
      <c r="KR246" s="1454"/>
      <c r="KS246" s="1454"/>
      <c r="KT246" s="1454"/>
      <c r="KU246" s="1454"/>
      <c r="KV246" s="1454"/>
      <c r="KW246" s="1454"/>
      <c r="KX246" s="1454"/>
      <c r="KY246" s="1454"/>
      <c r="KZ246" s="1454"/>
      <c r="LA246" s="1454"/>
      <c r="LB246" s="1454"/>
      <c r="LC246" s="1454"/>
      <c r="LD246" s="1454"/>
      <c r="LE246" s="1454"/>
      <c r="LF246" s="1454"/>
      <c r="LG246" s="1454"/>
      <c r="LH246" s="253"/>
      <c r="LI246" s="253"/>
      <c r="LJ246" s="253"/>
      <c r="LK246" s="253"/>
      <c r="LL246" s="253"/>
      <c r="LM246" s="253"/>
      <c r="LN246" s="1317"/>
      <c r="LO246" s="253"/>
      <c r="LP246" s="253"/>
      <c r="LQ246" s="253"/>
      <c r="LR246" s="253"/>
      <c r="LS246" s="253"/>
      <c r="LT246" s="253"/>
      <c r="LU246" s="253"/>
      <c r="LV246" s="253"/>
      <c r="LW246" s="253"/>
      <c r="LX246" s="253"/>
      <c r="LY246" s="253"/>
      <c r="LZ246" s="253"/>
      <c r="MA246" s="253"/>
      <c r="MB246" s="253"/>
      <c r="MC246" s="253"/>
      <c r="MD246" s="1317"/>
      <c r="ME246" s="131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93" t="s">
        <v>1335</v>
      </c>
      <c r="NQ246" s="2082">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1336</v>
      </c>
      <c r="C247" s="43"/>
      <c r="D247" s="2743"/>
      <c r="E247" s="43"/>
      <c r="F247" s="3397">
        <v>10000</v>
      </c>
      <c r="G247" s="3398"/>
      <c r="H247" s="43"/>
      <c r="I247" s="3" t="s">
        <v>1337</v>
      </c>
      <c r="O247" s="582" t="s">
        <v>1338</v>
      </c>
      <c r="P247" s="583">
        <f>SUM(MF49:MJ49)+SUM(MK49:MO49)+SUM(MP49:MT49)+P125</f>
        <v>58</v>
      </c>
      <c r="Q247" s="584">
        <f>SUM(Q243:Q246)</f>
        <v>17400</v>
      </c>
      <c r="R247" s="510"/>
      <c r="S247" s="3359"/>
      <c r="T247" s="3360"/>
      <c r="U247" s="3360"/>
      <c r="V247" s="3360"/>
      <c r="W247" s="3361"/>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454"/>
      <c r="JX247" s="253"/>
      <c r="JY247" s="253"/>
      <c r="JZ247" s="253"/>
      <c r="KA247" s="253"/>
      <c r="KB247" s="1454"/>
      <c r="KC247" s="253"/>
      <c r="KD247" s="253"/>
      <c r="KE247" s="253"/>
      <c r="KF247" s="253"/>
      <c r="KG247" s="1454"/>
      <c r="KH247" s="253"/>
      <c r="KI247" s="253"/>
      <c r="KJ247" s="253"/>
      <c r="KK247" s="253"/>
      <c r="KL247" s="1454"/>
      <c r="KM247" s="1454"/>
      <c r="KN247" s="1454"/>
      <c r="KO247" s="1454"/>
      <c r="KP247" s="1454"/>
      <c r="KQ247" s="1454"/>
      <c r="KR247" s="1454"/>
      <c r="KS247" s="1454"/>
      <c r="KT247" s="1454"/>
      <c r="KU247" s="1454"/>
      <c r="KV247" s="1454"/>
      <c r="KW247" s="1454"/>
      <c r="KX247" s="1454"/>
      <c r="KY247" s="1454"/>
      <c r="KZ247" s="1454"/>
      <c r="LA247" s="1454"/>
      <c r="LB247" s="1454"/>
      <c r="LC247" s="1454"/>
      <c r="LD247" s="1454"/>
      <c r="LE247" s="1454"/>
      <c r="LF247" s="1454"/>
      <c r="LG247" s="1454"/>
      <c r="LH247" s="253"/>
      <c r="LI247" s="253"/>
      <c r="LJ247" s="253"/>
      <c r="LK247" s="253"/>
      <c r="LL247" s="253"/>
      <c r="LM247" s="253"/>
      <c r="LN247" s="1317"/>
      <c r="LO247" s="253"/>
      <c r="LP247" s="253"/>
      <c r="LQ247" s="253"/>
      <c r="LR247" s="253"/>
      <c r="LS247" s="253"/>
      <c r="LT247" s="253"/>
      <c r="LU247" s="253"/>
      <c r="LV247" s="253"/>
      <c r="LW247" s="253"/>
      <c r="LX247" s="253"/>
      <c r="LY247" s="253"/>
      <c r="LZ247" s="253"/>
      <c r="MA247" s="253"/>
      <c r="MB247" s="253"/>
      <c r="MC247" s="253"/>
      <c r="MD247" s="1317"/>
      <c r="ME247" s="131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93"/>
      <c r="NQ247" s="2082">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1339</v>
      </c>
      <c r="C248" s="43"/>
      <c r="D248" s="2743"/>
      <c r="E248" s="43"/>
      <c r="F248" s="3397">
        <v>15000</v>
      </c>
      <c r="G248" s="3398"/>
      <c r="H248" s="43"/>
      <c r="I248" s="43" t="s">
        <v>1340</v>
      </c>
      <c r="K248" s="43"/>
      <c r="L248" s="3405"/>
      <c r="M248" s="3406"/>
      <c r="R248" s="510"/>
      <c r="S248" s="3359"/>
      <c r="T248" s="3360"/>
      <c r="U248" s="3360"/>
      <c r="V248" s="3360"/>
      <c r="W248" s="3361"/>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454"/>
      <c r="JX248" s="253"/>
      <c r="JY248" s="253"/>
      <c r="JZ248" s="253"/>
      <c r="KA248" s="253"/>
      <c r="KB248" s="1454"/>
      <c r="KC248" s="253"/>
      <c r="KD248" s="253"/>
      <c r="KE248" s="253"/>
      <c r="KF248" s="253"/>
      <c r="KG248" s="1454"/>
      <c r="KH248" s="253"/>
      <c r="KI248" s="253"/>
      <c r="KJ248" s="253"/>
      <c r="KK248" s="253"/>
      <c r="KL248" s="1454"/>
      <c r="KM248" s="1454"/>
      <c r="KN248" s="1454"/>
      <c r="KO248" s="1454"/>
      <c r="KP248" s="1454"/>
      <c r="KQ248" s="1454"/>
      <c r="KR248" s="1454"/>
      <c r="KS248" s="1454"/>
      <c r="KT248" s="1454"/>
      <c r="KU248" s="1454"/>
      <c r="KV248" s="1454"/>
      <c r="KW248" s="1454"/>
      <c r="KX248" s="1454"/>
      <c r="KY248" s="1454"/>
      <c r="KZ248" s="1454"/>
      <c r="LA248" s="1454"/>
      <c r="LB248" s="1454"/>
      <c r="LC248" s="1454"/>
      <c r="LD248" s="1454"/>
      <c r="LE248" s="1454"/>
      <c r="LF248" s="1454"/>
      <c r="LG248" s="1454"/>
      <c r="LH248" s="253"/>
      <c r="LI248" s="253"/>
      <c r="LJ248" s="253"/>
      <c r="LK248" s="253"/>
      <c r="LL248" s="253"/>
      <c r="LM248" s="253"/>
      <c r="LN248" s="1317"/>
      <c r="LO248" s="253"/>
      <c r="LP248" s="253"/>
      <c r="LQ248" s="253"/>
      <c r="LR248" s="253"/>
      <c r="LS248" s="253"/>
      <c r="LT248" s="253"/>
      <c r="LU248" s="253"/>
      <c r="LV248" s="253"/>
      <c r="LW248" s="253"/>
      <c r="LX248" s="253"/>
      <c r="LY248" s="253"/>
      <c r="LZ248" s="253"/>
      <c r="MA248" s="253"/>
      <c r="MB248" s="253"/>
      <c r="MC248" s="253"/>
      <c r="MD248" s="1317"/>
      <c r="ME248" s="131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93"/>
      <c r="NQ248" s="2082">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1341</v>
      </c>
      <c r="C249" s="43"/>
      <c r="D249" s="2743"/>
      <c r="E249" s="43"/>
      <c r="F249" s="3397">
        <v>6000</v>
      </c>
      <c r="G249" s="3398"/>
      <c r="H249" s="43"/>
      <c r="I249" s="43" t="s">
        <v>1342</v>
      </c>
      <c r="K249" s="43"/>
      <c r="L249" s="3403">
        <v>48269</v>
      </c>
      <c r="M249" s="3404"/>
      <c r="R249" s="510"/>
      <c r="S249" s="3359"/>
      <c r="T249" s="3360"/>
      <c r="U249" s="3360"/>
      <c r="V249" s="3360"/>
      <c r="W249" s="3361"/>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454"/>
      <c r="JX249" s="253"/>
      <c r="JY249" s="253"/>
      <c r="JZ249" s="253"/>
      <c r="KA249" s="253"/>
      <c r="KB249" s="1454"/>
      <c r="KC249" s="253"/>
      <c r="KD249" s="253"/>
      <c r="KE249" s="253"/>
      <c r="KF249" s="253"/>
      <c r="KG249" s="1454"/>
      <c r="KH249" s="253"/>
      <c r="KI249" s="253"/>
      <c r="KJ249" s="253"/>
      <c r="KK249" s="253"/>
      <c r="KL249" s="1454"/>
      <c r="KM249" s="1454"/>
      <c r="KN249" s="1454"/>
      <c r="KO249" s="1454"/>
      <c r="KP249" s="1454"/>
      <c r="KQ249" s="1454"/>
      <c r="KR249" s="1454"/>
      <c r="KS249" s="1454"/>
      <c r="KT249" s="1454"/>
      <c r="KU249" s="1454"/>
      <c r="KV249" s="1454"/>
      <c r="KW249" s="1454"/>
      <c r="KX249" s="1454"/>
      <c r="KY249" s="1454"/>
      <c r="KZ249" s="1454"/>
      <c r="LA249" s="1454"/>
      <c r="LB249" s="1454"/>
      <c r="LC249" s="1454"/>
      <c r="LD249" s="1454"/>
      <c r="LE249" s="1454"/>
      <c r="LF249" s="1454"/>
      <c r="LG249" s="1454"/>
      <c r="LH249" s="253"/>
      <c r="LI249" s="253"/>
      <c r="LJ249" s="253"/>
      <c r="LK249" s="253"/>
      <c r="LL249" s="253"/>
      <c r="LM249" s="253"/>
      <c r="LN249" s="1317"/>
      <c r="LO249" s="253"/>
      <c r="LP249" s="253"/>
      <c r="LQ249" s="253"/>
      <c r="LR249" s="253"/>
      <c r="LS249" s="253"/>
      <c r="LT249" s="253"/>
      <c r="LU249" s="253"/>
      <c r="LV249" s="253"/>
      <c r="LW249" s="253"/>
      <c r="LX249" s="253"/>
      <c r="LY249" s="253"/>
      <c r="LZ249" s="253"/>
      <c r="MA249" s="253"/>
      <c r="MB249" s="253"/>
      <c r="MC249" s="253"/>
      <c r="MD249" s="1317"/>
      <c r="ME249" s="131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93"/>
      <c r="NQ249" s="2082">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394" t="s">
        <v>1297</v>
      </c>
      <c r="C250" s="3395"/>
      <c r="D250" s="3395"/>
      <c r="E250" s="3396"/>
      <c r="F250" s="3399"/>
      <c r="G250" s="3400"/>
      <c r="H250" s="43"/>
      <c r="I250" s="3410" t="s">
        <v>1297</v>
      </c>
      <c r="J250" s="3411"/>
      <c r="K250" s="3412"/>
      <c r="L250" s="3417"/>
      <c r="M250" s="3418"/>
      <c r="N250" s="43"/>
      <c r="R250" s="510"/>
      <c r="S250" s="3359"/>
      <c r="T250" s="3360"/>
      <c r="U250" s="3360"/>
      <c r="V250" s="3360"/>
      <c r="W250" s="3361"/>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454"/>
      <c r="JX250" s="253"/>
      <c r="JY250" s="253"/>
      <c r="JZ250" s="253"/>
      <c r="KA250" s="253"/>
      <c r="KB250" s="1454"/>
      <c r="KC250" s="253"/>
      <c r="KD250" s="253"/>
      <c r="KE250" s="253"/>
      <c r="KF250" s="253"/>
      <c r="KG250" s="1454"/>
      <c r="KH250" s="253"/>
      <c r="KI250" s="253"/>
      <c r="KJ250" s="253"/>
      <c r="KK250" s="253"/>
      <c r="KL250" s="1454"/>
      <c r="KM250" s="1454"/>
      <c r="KN250" s="1454"/>
      <c r="KO250" s="1454"/>
      <c r="KP250" s="1454"/>
      <c r="KQ250" s="1454"/>
      <c r="KR250" s="1454"/>
      <c r="KS250" s="1454"/>
      <c r="KT250" s="1454"/>
      <c r="KU250" s="1454"/>
      <c r="KV250" s="1454"/>
      <c r="KW250" s="1454"/>
      <c r="KX250" s="1454"/>
      <c r="KY250" s="1454"/>
      <c r="KZ250" s="1454"/>
      <c r="LA250" s="1454"/>
      <c r="LB250" s="1454"/>
      <c r="LC250" s="1454"/>
      <c r="LD250" s="1454"/>
      <c r="LE250" s="1454"/>
      <c r="LF250" s="1454"/>
      <c r="LG250" s="1454"/>
      <c r="LH250" s="253"/>
      <c r="LI250" s="253"/>
      <c r="LJ250" s="253"/>
      <c r="LK250" s="253"/>
      <c r="LL250" s="253"/>
      <c r="LM250" s="253"/>
      <c r="LN250" s="1317"/>
      <c r="LO250" s="253"/>
      <c r="LP250" s="253"/>
      <c r="LQ250" s="253"/>
      <c r="LR250" s="253"/>
      <c r="LS250" s="253"/>
      <c r="LT250" s="253"/>
      <c r="LU250" s="253"/>
      <c r="LV250" s="253"/>
      <c r="LW250" s="253"/>
      <c r="LX250" s="253"/>
      <c r="LY250" s="253"/>
      <c r="LZ250" s="253"/>
      <c r="MA250" s="253"/>
      <c r="MB250" s="253"/>
      <c r="MC250" s="253"/>
      <c r="MD250" s="1317"/>
      <c r="ME250" s="131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93" t="s">
        <v>1343</v>
      </c>
      <c r="NQ250" s="2082">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548</v>
      </c>
      <c r="F251" s="3462">
        <f>SUM(F243:G250)</f>
        <v>75000</v>
      </c>
      <c r="G251" s="3463"/>
      <c r="H251" s="43"/>
      <c r="K251" s="5" t="s">
        <v>548</v>
      </c>
      <c r="L251" s="3413">
        <f>SUM(L247:L250)</f>
        <v>48269</v>
      </c>
      <c r="M251" s="3414"/>
      <c r="N251" s="43"/>
      <c r="O251" s="3" t="s">
        <v>1344</v>
      </c>
      <c r="P251" s="43"/>
      <c r="Q251" s="2742">
        <f>Q232+Q238</f>
        <v>469787</v>
      </c>
      <c r="R251" s="510"/>
      <c r="S251" s="3371"/>
      <c r="T251" s="3372"/>
      <c r="U251" s="3372"/>
      <c r="V251" s="3372"/>
      <c r="W251" s="3373"/>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454"/>
      <c r="JX251" s="253"/>
      <c r="JY251" s="253"/>
      <c r="JZ251" s="253"/>
      <c r="KA251" s="253"/>
      <c r="KB251" s="1454"/>
      <c r="KC251" s="253"/>
      <c r="KD251" s="253"/>
      <c r="KE251" s="253"/>
      <c r="KF251" s="253"/>
      <c r="KG251" s="1454"/>
      <c r="KH251" s="253"/>
      <c r="KI251" s="253"/>
      <c r="KJ251" s="253"/>
      <c r="KK251" s="253"/>
      <c r="KL251" s="1454"/>
      <c r="KM251" s="1454"/>
      <c r="KN251" s="1454"/>
      <c r="KO251" s="1454"/>
      <c r="KP251" s="1454"/>
      <c r="KQ251" s="1454"/>
      <c r="KR251" s="1454"/>
      <c r="KS251" s="1454"/>
      <c r="KT251" s="1454"/>
      <c r="KU251" s="1454"/>
      <c r="KV251" s="1454"/>
      <c r="KW251" s="1454"/>
      <c r="KX251" s="1454"/>
      <c r="KY251" s="1454"/>
      <c r="KZ251" s="1454"/>
      <c r="LA251" s="1454"/>
      <c r="LB251" s="1454"/>
      <c r="LC251" s="1454"/>
      <c r="LD251" s="1454"/>
      <c r="LE251" s="1454"/>
      <c r="LF251" s="1454"/>
      <c r="LG251" s="1454"/>
      <c r="LH251" s="253"/>
      <c r="LI251" s="253"/>
      <c r="LJ251" s="253"/>
      <c r="LK251" s="253"/>
      <c r="LL251" s="253"/>
      <c r="LM251" s="253"/>
      <c r="LN251" s="1317"/>
      <c r="LO251" s="253"/>
      <c r="LP251" s="253"/>
      <c r="LQ251" s="253"/>
      <c r="LR251" s="253"/>
      <c r="LS251" s="253"/>
      <c r="LT251" s="253"/>
      <c r="LU251" s="253"/>
      <c r="LV251" s="253"/>
      <c r="LW251" s="253"/>
      <c r="LX251" s="253"/>
      <c r="LY251" s="253"/>
      <c r="LZ251" s="253"/>
      <c r="MA251" s="253"/>
      <c r="MB251" s="253"/>
      <c r="MC251" s="253"/>
      <c r="MD251" s="1317"/>
      <c r="ME251" s="131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93"/>
      <c r="NQ251" s="2083">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2741"/>
      <c r="G252" s="2741"/>
      <c r="H252" s="43"/>
      <c r="I252" s="43"/>
      <c r="J252" s="43"/>
      <c r="K252" s="2741"/>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454"/>
      <c r="JX252" s="253"/>
      <c r="JY252" s="253"/>
      <c r="JZ252" s="253"/>
      <c r="KA252" s="253"/>
      <c r="KB252" s="1454"/>
      <c r="KC252" s="253"/>
      <c r="KD252" s="253"/>
      <c r="KE252" s="253"/>
      <c r="KF252" s="253"/>
      <c r="KG252" s="1454"/>
      <c r="KH252" s="253"/>
      <c r="KI252" s="253"/>
      <c r="KJ252" s="253"/>
      <c r="KK252" s="253"/>
      <c r="KL252" s="1454"/>
      <c r="KM252" s="1454"/>
      <c r="KN252" s="1454"/>
      <c r="KO252" s="1454"/>
      <c r="KP252" s="1454"/>
      <c r="KQ252" s="1454"/>
      <c r="KR252" s="1454"/>
      <c r="KS252" s="1454"/>
      <c r="KT252" s="1454"/>
      <c r="KU252" s="1454"/>
      <c r="KV252" s="1454"/>
      <c r="KW252" s="1454"/>
      <c r="KX252" s="1454"/>
      <c r="KY252" s="1454"/>
      <c r="KZ252" s="1454"/>
      <c r="LA252" s="1454"/>
      <c r="LB252" s="1454"/>
      <c r="LC252" s="1454"/>
      <c r="LD252" s="1454"/>
      <c r="LE252" s="1454"/>
      <c r="LF252" s="1454"/>
      <c r="LG252" s="1454"/>
      <c r="LH252" s="253"/>
      <c r="LI252" s="253"/>
      <c r="LJ252" s="253"/>
      <c r="LK252" s="253"/>
      <c r="LL252" s="253"/>
      <c r="LM252" s="253"/>
      <c r="LN252" s="1317"/>
      <c r="LO252" s="253"/>
      <c r="LP252" s="253"/>
      <c r="LQ252" s="253"/>
      <c r="LR252" s="253"/>
      <c r="LS252" s="253"/>
      <c r="LT252" s="253"/>
      <c r="LU252" s="253"/>
      <c r="LV252" s="253"/>
      <c r="LW252" s="253"/>
      <c r="LX252" s="253"/>
      <c r="LY252" s="253"/>
      <c r="LZ252" s="253"/>
      <c r="MA252" s="253"/>
      <c r="MB252" s="253"/>
      <c r="MC252" s="253"/>
      <c r="MD252" s="1317"/>
      <c r="ME252" s="131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93"/>
      <c r="NQ252" s="2082">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2741"/>
      <c r="G253" s="2741"/>
      <c r="H253" s="43"/>
      <c r="I253" s="43"/>
      <c r="J253" s="43"/>
      <c r="K253" s="2741"/>
      <c r="L253" s="43"/>
      <c r="M253" s="43"/>
      <c r="N253" s="43"/>
      <c r="R253" s="2733"/>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454"/>
      <c r="JX253" s="253"/>
      <c r="JY253" s="253"/>
      <c r="JZ253" s="253"/>
      <c r="KA253" s="253"/>
      <c r="KB253" s="1454"/>
      <c r="KC253" s="253"/>
      <c r="KD253" s="253"/>
      <c r="KE253" s="253"/>
      <c r="KF253" s="253"/>
      <c r="KG253" s="1454"/>
      <c r="KH253" s="253"/>
      <c r="KI253" s="253"/>
      <c r="KJ253" s="253"/>
      <c r="KK253" s="253"/>
      <c r="KL253" s="1454"/>
      <c r="KM253" s="1454"/>
      <c r="KN253" s="1454"/>
      <c r="KO253" s="1454"/>
      <c r="KP253" s="1454"/>
      <c r="KQ253" s="1454"/>
      <c r="KR253" s="1454"/>
      <c r="KS253" s="1454"/>
      <c r="KT253" s="1454"/>
      <c r="KU253" s="1454"/>
      <c r="KV253" s="1454"/>
      <c r="KW253" s="1454"/>
      <c r="KX253" s="1454"/>
      <c r="KY253" s="1454"/>
      <c r="KZ253" s="1454"/>
      <c r="LA253" s="1454"/>
      <c r="LB253" s="1454"/>
      <c r="LC253" s="1454"/>
      <c r="LD253" s="1454"/>
      <c r="LE253" s="1454"/>
      <c r="LF253" s="1454"/>
      <c r="LG253" s="1454"/>
      <c r="LH253" s="253"/>
      <c r="LI253" s="253"/>
      <c r="LJ253" s="253"/>
      <c r="LK253" s="253"/>
      <c r="LL253" s="253"/>
      <c r="LM253" s="253"/>
      <c r="LN253" s="1317"/>
      <c r="LO253" s="253"/>
      <c r="LP253" s="253"/>
      <c r="LQ253" s="253"/>
      <c r="LR253" s="253"/>
      <c r="LS253" s="253"/>
      <c r="LT253" s="253"/>
      <c r="LU253" s="253"/>
      <c r="LV253" s="253"/>
      <c r="LW253" s="253"/>
      <c r="LX253" s="253"/>
      <c r="LY253" s="253"/>
      <c r="LZ253" s="253"/>
      <c r="MA253" s="253"/>
      <c r="MB253" s="253"/>
      <c r="MC253" s="253"/>
      <c r="MD253" s="1317"/>
      <c r="ME253" s="131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93"/>
      <c r="NQ253" s="2080">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2741"/>
      <c r="G254" s="2741"/>
      <c r="H254" s="43"/>
      <c r="I254" s="43"/>
      <c r="J254" s="43"/>
      <c r="K254" s="2741"/>
      <c r="L254" s="43"/>
      <c r="M254" s="43"/>
      <c r="N254" s="43"/>
      <c r="O254" s="3"/>
      <c r="P254" s="43"/>
      <c r="Q254" s="2733"/>
      <c r="R254" s="2733"/>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454"/>
      <c r="JX254" s="253"/>
      <c r="JY254" s="253"/>
      <c r="JZ254" s="253"/>
      <c r="KA254" s="253"/>
      <c r="KB254" s="1454"/>
      <c r="KC254" s="253"/>
      <c r="KD254" s="253"/>
      <c r="KE254" s="253"/>
      <c r="KF254" s="253"/>
      <c r="KG254" s="1454"/>
      <c r="KH254" s="253"/>
      <c r="KI254" s="253"/>
      <c r="KJ254" s="253"/>
      <c r="KK254" s="253"/>
      <c r="KL254" s="1454"/>
      <c r="KM254" s="1454"/>
      <c r="KN254" s="1454"/>
      <c r="KO254" s="1454"/>
      <c r="KP254" s="1454"/>
      <c r="KQ254" s="1454"/>
      <c r="KR254" s="1454"/>
      <c r="KS254" s="1454"/>
      <c r="KT254" s="1454"/>
      <c r="KU254" s="1454"/>
      <c r="KV254" s="1454"/>
      <c r="KW254" s="1454"/>
      <c r="KX254" s="1454"/>
      <c r="KY254" s="1454"/>
      <c r="KZ254" s="1454"/>
      <c r="LA254" s="1454"/>
      <c r="LB254" s="1454"/>
      <c r="LC254" s="1454"/>
      <c r="LD254" s="1454"/>
      <c r="LE254" s="1454"/>
      <c r="LF254" s="1454"/>
      <c r="LG254" s="1454"/>
      <c r="LH254" s="253"/>
      <c r="LI254" s="253"/>
      <c r="LJ254" s="253"/>
      <c r="LK254" s="253"/>
      <c r="LL254" s="253"/>
      <c r="LM254" s="253"/>
      <c r="LN254" s="1317"/>
      <c r="LO254" s="253"/>
      <c r="LP254" s="253"/>
      <c r="LQ254" s="253"/>
      <c r="LR254" s="253"/>
      <c r="LS254" s="253"/>
      <c r="LT254" s="253"/>
      <c r="LU254" s="253"/>
      <c r="LV254" s="253"/>
      <c r="LW254" s="253"/>
      <c r="LX254" s="253"/>
      <c r="LY254" s="253"/>
      <c r="LZ254" s="253"/>
      <c r="MA254" s="253"/>
      <c r="MB254" s="253"/>
      <c r="MC254" s="253"/>
      <c r="MD254" s="1317"/>
      <c r="ME254" s="131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93"/>
      <c r="NQ254" s="2082">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1345</v>
      </c>
      <c r="B255" s="3" t="s">
        <v>1346</v>
      </c>
      <c r="C255" s="5"/>
      <c r="D255" s="43"/>
      <c r="E255" s="43"/>
      <c r="H255" s="2741"/>
      <c r="I255" s="896" t="s">
        <v>1347</v>
      </c>
      <c r="K255" s="3464">
        <v>0</v>
      </c>
      <c r="L255" s="3465"/>
      <c r="M255" s="934" t="s">
        <v>1348</v>
      </c>
      <c r="N255" s="2747"/>
      <c r="O255" s="3" t="s">
        <v>1349</v>
      </c>
      <c r="P255" s="43"/>
      <c r="Q255" s="2748">
        <f>K255*N255</f>
        <v>0</v>
      </c>
      <c r="R255" s="2733"/>
      <c r="S255" s="3457"/>
      <c r="T255" s="3458"/>
      <c r="U255" s="3458"/>
      <c r="V255" s="3458"/>
      <c r="W255" s="3459"/>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454"/>
      <c r="JX255" s="253"/>
      <c r="JY255" s="253"/>
      <c r="JZ255" s="253"/>
      <c r="KA255" s="253"/>
      <c r="KB255" s="1454"/>
      <c r="KC255" s="253"/>
      <c r="KD255" s="253"/>
      <c r="KE255" s="253"/>
      <c r="KF255" s="253"/>
      <c r="KG255" s="1454"/>
      <c r="KH255" s="253"/>
      <c r="KI255" s="253"/>
      <c r="KJ255" s="253"/>
      <c r="KK255" s="253"/>
      <c r="KL255" s="1454"/>
      <c r="KM255" s="1454"/>
      <c r="KN255" s="1454"/>
      <c r="KO255" s="1454"/>
      <c r="KP255" s="1454"/>
      <c r="KQ255" s="1454"/>
      <c r="KR255" s="1454"/>
      <c r="KS255" s="1454"/>
      <c r="KT255" s="1454"/>
      <c r="KU255" s="1454"/>
      <c r="KV255" s="1454"/>
      <c r="KW255" s="1454"/>
      <c r="KX255" s="1454"/>
      <c r="KY255" s="1454"/>
      <c r="KZ255" s="1454"/>
      <c r="LA255" s="1454"/>
      <c r="LB255" s="1454"/>
      <c r="LC255" s="1454"/>
      <c r="LD255" s="1454"/>
      <c r="LE255" s="1454"/>
      <c r="LF255" s="1454"/>
      <c r="LG255" s="1454"/>
      <c r="LH255" s="253"/>
      <c r="LI255" s="253"/>
      <c r="LJ255" s="253"/>
      <c r="LK255" s="253"/>
      <c r="LL255" s="253"/>
      <c r="LM255" s="253"/>
      <c r="LN255" s="1317"/>
      <c r="LO255" s="253"/>
      <c r="LP255" s="253"/>
      <c r="LQ255" s="253"/>
      <c r="LR255" s="253"/>
      <c r="LS255" s="253"/>
      <c r="LT255" s="253"/>
      <c r="LU255" s="253"/>
      <c r="LV255" s="253"/>
      <c r="LW255" s="253"/>
      <c r="LX255" s="253"/>
      <c r="LY255" s="253"/>
      <c r="LZ255" s="253"/>
      <c r="MA255" s="253"/>
      <c r="MB255" s="253"/>
      <c r="MC255" s="253"/>
      <c r="MD255" s="1317"/>
      <c r="ME255" s="1317"/>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293"/>
      <c r="NQ255" s="2082">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2741"/>
      <c r="G256" s="2741"/>
      <c r="H256" s="43"/>
      <c r="I256" s="43"/>
      <c r="J256" s="43"/>
      <c r="K256" s="2741"/>
      <c r="L256" s="43"/>
      <c r="M256" s="43"/>
      <c r="N256" s="43"/>
      <c r="O256" s="3"/>
      <c r="P256" s="43"/>
      <c r="Q256" s="2733"/>
      <c r="R256" s="2733"/>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454"/>
      <c r="JX256" s="253"/>
      <c r="JY256" s="253"/>
      <c r="JZ256" s="253"/>
      <c r="KA256" s="253"/>
      <c r="KB256" s="1454"/>
      <c r="KC256" s="253"/>
      <c r="KD256" s="253"/>
      <c r="KE256" s="253"/>
      <c r="KF256" s="253"/>
      <c r="KG256" s="1454"/>
      <c r="KH256" s="253"/>
      <c r="KI256" s="253"/>
      <c r="KJ256" s="253"/>
      <c r="KK256" s="253"/>
      <c r="KL256" s="1454"/>
      <c r="KM256" s="1454"/>
      <c r="KN256" s="1454"/>
      <c r="KO256" s="1454"/>
      <c r="KP256" s="1454"/>
      <c r="KQ256" s="1454"/>
      <c r="KR256" s="1454"/>
      <c r="KS256" s="1454"/>
      <c r="KT256" s="1454"/>
      <c r="KU256" s="1454"/>
      <c r="KV256" s="1454"/>
      <c r="KW256" s="1454"/>
      <c r="KX256" s="1454"/>
      <c r="KY256" s="1454"/>
      <c r="KZ256" s="1454"/>
      <c r="LA256" s="1454"/>
      <c r="LB256" s="1454"/>
      <c r="LC256" s="1454"/>
      <c r="LD256" s="1454"/>
      <c r="LE256" s="1454"/>
      <c r="LF256" s="1454"/>
      <c r="LG256" s="1454"/>
      <c r="LH256" s="253"/>
      <c r="LI256" s="253"/>
      <c r="LJ256" s="253"/>
      <c r="LK256" s="253"/>
      <c r="LL256" s="253"/>
      <c r="LM256" s="253"/>
      <c r="LN256" s="1317"/>
      <c r="LO256" s="253"/>
      <c r="LP256" s="253"/>
      <c r="LQ256" s="253"/>
      <c r="LR256" s="253"/>
      <c r="LS256" s="253"/>
      <c r="LT256" s="253"/>
      <c r="LU256" s="253"/>
      <c r="LV256" s="253"/>
      <c r="LW256" s="253"/>
      <c r="LX256" s="253"/>
      <c r="LY256" s="253"/>
      <c r="LZ256" s="253"/>
      <c r="MA256" s="253"/>
      <c r="MB256" s="253"/>
      <c r="MC256" s="253"/>
      <c r="MD256" s="1317"/>
      <c r="ME256" s="1317"/>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293"/>
      <c r="NQ256" s="2080">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1350</v>
      </c>
      <c r="C257" s="5"/>
      <c r="D257" s="43"/>
      <c r="E257" s="43"/>
      <c r="F257" s="2741"/>
      <c r="G257" s="2741"/>
      <c r="H257" s="43"/>
      <c r="I257" s="43"/>
      <c r="J257" s="889" t="s">
        <v>730</v>
      </c>
      <c r="K257" s="896" t="s">
        <v>1351</v>
      </c>
      <c r="L257" s="889" t="s">
        <v>730</v>
      </c>
      <c r="M257" s="32" t="s">
        <v>1352</v>
      </c>
      <c r="N257" s="2747"/>
      <c r="O257" s="43" t="s">
        <v>1353</v>
      </c>
      <c r="P257" s="43"/>
      <c r="Q257" s="2749"/>
      <c r="R257" s="2733"/>
      <c r="S257" s="3457"/>
      <c r="T257" s="3458"/>
      <c r="U257" s="3458"/>
      <c r="V257" s="3458"/>
      <c r="W257" s="3459"/>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454"/>
      <c r="JX257" s="253"/>
      <c r="JY257" s="253"/>
      <c r="JZ257" s="253"/>
      <c r="KA257" s="253"/>
      <c r="KB257" s="1454"/>
      <c r="KC257" s="253"/>
      <c r="KD257" s="253"/>
      <c r="KE257" s="253"/>
      <c r="KF257" s="253"/>
      <c r="KG257" s="1454"/>
      <c r="KH257" s="253"/>
      <c r="KI257" s="253"/>
      <c r="KJ257" s="253"/>
      <c r="KK257" s="253"/>
      <c r="KL257" s="1454"/>
      <c r="KM257" s="1454"/>
      <c r="KN257" s="1454"/>
      <c r="KO257" s="1454"/>
      <c r="KP257" s="1454"/>
      <c r="KQ257" s="1454"/>
      <c r="KR257" s="1454"/>
      <c r="KS257" s="1454"/>
      <c r="KT257" s="1454"/>
      <c r="KU257" s="1454"/>
      <c r="KV257" s="1454"/>
      <c r="KW257" s="1454"/>
      <c r="KX257" s="1454"/>
      <c r="KY257" s="1454"/>
      <c r="KZ257" s="1454"/>
      <c r="LA257" s="1454"/>
      <c r="LB257" s="1454"/>
      <c r="LC257" s="1454"/>
      <c r="LD257" s="1454"/>
      <c r="LE257" s="1454"/>
      <c r="LF257" s="1454"/>
      <c r="LG257" s="1454"/>
      <c r="LH257" s="253"/>
      <c r="LI257" s="253"/>
      <c r="LJ257" s="253"/>
      <c r="LK257" s="253"/>
      <c r="LL257" s="253"/>
      <c r="LM257" s="253"/>
      <c r="LN257" s="1317"/>
      <c r="LO257" s="253"/>
      <c r="LP257" s="253"/>
      <c r="LQ257" s="253"/>
      <c r="LR257" s="253"/>
      <c r="LS257" s="253"/>
      <c r="LT257" s="253"/>
      <c r="LU257" s="253"/>
      <c r="LV257" s="253"/>
      <c r="LW257" s="253"/>
      <c r="LX257" s="253"/>
      <c r="LY257" s="253"/>
      <c r="LZ257" s="253"/>
      <c r="MA257" s="253"/>
      <c r="MB257" s="253"/>
      <c r="MC257" s="253"/>
      <c r="MD257" s="1317"/>
      <c r="ME257" s="1317"/>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293" t="s">
        <v>1354</v>
      </c>
      <c r="NQ257" s="2082">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2741"/>
      <c r="G258" s="2741"/>
      <c r="H258" s="43"/>
      <c r="I258" s="43"/>
      <c r="J258" s="43"/>
      <c r="K258" s="2741"/>
      <c r="L258" s="43"/>
      <c r="M258" s="43"/>
      <c r="N258" s="43"/>
      <c r="O258" s="3"/>
      <c r="P258" s="43"/>
      <c r="Q258" s="2733"/>
      <c r="R258" s="2733"/>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454"/>
      <c r="JX258" s="253"/>
      <c r="JY258" s="253"/>
      <c r="JZ258" s="253"/>
      <c r="KA258" s="253"/>
      <c r="KB258" s="1454"/>
      <c r="KC258" s="253"/>
      <c r="KD258" s="253"/>
      <c r="KE258" s="253"/>
      <c r="KF258" s="253"/>
      <c r="KG258" s="1454"/>
      <c r="KH258" s="253"/>
      <c r="KI258" s="253"/>
      <c r="KJ258" s="253"/>
      <c r="KK258" s="253"/>
      <c r="KL258" s="1454"/>
      <c r="KM258" s="1454"/>
      <c r="KN258" s="1454"/>
      <c r="KO258" s="1454"/>
      <c r="KP258" s="1454"/>
      <c r="KQ258" s="1454"/>
      <c r="KR258" s="1454"/>
      <c r="KS258" s="1454"/>
      <c r="KT258" s="1454"/>
      <c r="KU258" s="1454"/>
      <c r="KV258" s="1454"/>
      <c r="KW258" s="1454"/>
      <c r="KX258" s="1454"/>
      <c r="KY258" s="1454"/>
      <c r="KZ258" s="1454"/>
      <c r="LA258" s="1454"/>
      <c r="LB258" s="1454"/>
      <c r="LC258" s="1454"/>
      <c r="LD258" s="1454"/>
      <c r="LE258" s="1454"/>
      <c r="LF258" s="1454"/>
      <c r="LG258" s="1454"/>
      <c r="LH258" s="253"/>
      <c r="LI258" s="253"/>
      <c r="LJ258" s="253"/>
      <c r="LK258" s="253"/>
      <c r="LL258" s="253"/>
      <c r="LM258" s="253"/>
      <c r="LN258" s="1317"/>
      <c r="LO258" s="253"/>
      <c r="LP258" s="253"/>
      <c r="LQ258" s="253"/>
      <c r="LR258" s="253"/>
      <c r="LS258" s="253"/>
      <c r="LT258" s="253"/>
      <c r="LU258" s="253"/>
      <c r="LV258" s="253"/>
      <c r="LW258" s="253"/>
      <c r="LX258" s="253"/>
      <c r="LY258" s="253"/>
      <c r="LZ258" s="253"/>
      <c r="MA258" s="253"/>
      <c r="MB258" s="253"/>
      <c r="MC258" s="253"/>
      <c r="MD258" s="1317"/>
      <c r="ME258" s="1317"/>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293"/>
      <c r="NQ258" s="2082">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1355</v>
      </c>
      <c r="B259" s="6" t="s">
        <v>78</v>
      </c>
      <c r="C259" s="77"/>
      <c r="D259" s="77"/>
      <c r="E259" s="77"/>
      <c r="F259" s="77"/>
      <c r="G259" s="77"/>
      <c r="H259" s="77"/>
      <c r="I259" s="77"/>
      <c r="J259" s="77"/>
      <c r="K259" s="77"/>
      <c r="L259" s="77"/>
      <c r="M259" s="77"/>
      <c r="N259" s="6" t="s">
        <v>1356</v>
      </c>
      <c r="O259" s="6"/>
      <c r="P259" s="77"/>
      <c r="NP259" s="1293"/>
      <c r="NQ259" s="2082">
        <v>259</v>
      </c>
    </row>
    <row r="260" spans="1:493" ht="409.5" customHeight="1">
      <c r="A260" s="3460" t="s">
        <v>1357</v>
      </c>
      <c r="B260" s="3460"/>
      <c r="C260" s="3460"/>
      <c r="D260" s="3460"/>
      <c r="E260" s="3460"/>
      <c r="F260" s="3460"/>
      <c r="G260" s="3460"/>
      <c r="H260" s="3460"/>
      <c r="I260" s="3460"/>
      <c r="J260" s="3460"/>
      <c r="K260" s="3460"/>
      <c r="L260" s="3460"/>
      <c r="M260" s="3460"/>
      <c r="N260" s="3461"/>
      <c r="O260" s="3461"/>
      <c r="P260" s="3461"/>
      <c r="Q260" s="3461"/>
      <c r="R260" s="2877" t="s">
        <v>1358</v>
      </c>
      <c r="S260" s="2843"/>
      <c r="T260" s="2843"/>
      <c r="U260" s="2843"/>
      <c r="NP260" s="1293"/>
      <c r="NQ260" s="2080">
        <v>260</v>
      </c>
    </row>
    <row r="261" spans="1:493" ht="11.25" customHeight="1">
      <c r="A261" s="77"/>
      <c r="B261" s="77"/>
      <c r="C261" s="77"/>
      <c r="D261" s="77"/>
      <c r="E261" s="77"/>
      <c r="F261" s="77"/>
      <c r="G261" s="77"/>
      <c r="H261" s="77"/>
      <c r="I261" s="77"/>
      <c r="J261" s="77"/>
      <c r="K261" s="77"/>
      <c r="L261" s="77"/>
      <c r="M261" s="77"/>
      <c r="N261" s="77"/>
      <c r="O261" s="77"/>
      <c r="P261" s="77"/>
      <c r="NP261" s="1293"/>
    </row>
    <row r="262" spans="1:493" ht="12" customHeight="1">
      <c r="A262" s="77"/>
      <c r="B262" s="77"/>
      <c r="C262" s="77"/>
      <c r="D262" s="77"/>
      <c r="E262" s="77"/>
      <c r="F262" s="77"/>
      <c r="G262" s="77"/>
      <c r="H262" s="77"/>
      <c r="I262" s="77"/>
      <c r="J262" s="77"/>
      <c r="K262" s="77"/>
      <c r="L262" s="77"/>
      <c r="M262" s="77"/>
      <c r="N262" s="77"/>
      <c r="O262" s="77"/>
      <c r="P262" s="77"/>
      <c r="NP262" s="1293"/>
    </row>
    <row r="263" spans="1:493" ht="12" customHeight="1">
      <c r="A263" s="77"/>
      <c r="B263" s="77"/>
      <c r="C263" s="77"/>
      <c r="D263" s="77"/>
      <c r="E263" s="77"/>
      <c r="F263" s="77"/>
      <c r="G263" s="77"/>
      <c r="H263" s="77"/>
      <c r="I263" s="77"/>
      <c r="J263" s="77"/>
      <c r="K263" s="77"/>
      <c r="L263" s="77"/>
      <c r="M263" s="77"/>
      <c r="N263" s="77"/>
      <c r="O263" s="77"/>
      <c r="P263" s="77"/>
      <c r="NP263" s="1293"/>
    </row>
    <row r="264" spans="1:493" ht="14.1" customHeight="1">
      <c r="A264" s="77"/>
      <c r="B264" s="77"/>
      <c r="C264" s="77"/>
      <c r="D264" s="77"/>
      <c r="E264" s="77"/>
      <c r="F264" s="77"/>
      <c r="G264" s="77"/>
      <c r="H264" s="77"/>
      <c r="I264" s="77"/>
      <c r="J264" s="77"/>
      <c r="K264" s="77"/>
      <c r="L264" s="77"/>
      <c r="M264" s="77"/>
      <c r="N264" s="77"/>
      <c r="O264" s="77"/>
      <c r="P264" s="77"/>
      <c r="NP264" s="1293"/>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454"/>
      <c r="JX265" s="253"/>
      <c r="JY265" s="253"/>
      <c r="JZ265" s="253"/>
      <c r="KA265" s="253"/>
      <c r="KB265" s="1454"/>
      <c r="KC265" s="253"/>
      <c r="KD265" s="253"/>
      <c r="KE265" s="253"/>
      <c r="KF265" s="253"/>
      <c r="KG265" s="1454"/>
      <c r="KH265" s="253"/>
      <c r="KI265" s="253"/>
      <c r="KJ265" s="253"/>
      <c r="KK265" s="253"/>
      <c r="KL265" s="1454"/>
      <c r="KM265" s="1454"/>
      <c r="KN265" s="1454"/>
      <c r="KO265" s="1454"/>
      <c r="KP265" s="1454"/>
      <c r="KQ265" s="1454"/>
      <c r="KR265" s="1454"/>
      <c r="KS265" s="1454"/>
      <c r="KT265" s="1454"/>
      <c r="KU265" s="1454"/>
      <c r="KV265" s="1454"/>
      <c r="KW265" s="1454"/>
      <c r="KX265" s="1454"/>
      <c r="KY265" s="1454"/>
      <c r="KZ265" s="1454"/>
      <c r="LA265" s="1454"/>
      <c r="LB265" s="1454"/>
      <c r="LC265" s="1454"/>
      <c r="LD265" s="1454"/>
      <c r="LE265" s="1454"/>
      <c r="LF265" s="1454"/>
      <c r="LG265" s="1454"/>
      <c r="LH265" s="253"/>
      <c r="LI265" s="253"/>
      <c r="LJ265" s="253"/>
      <c r="LK265" s="253"/>
      <c r="LL265" s="253"/>
      <c r="LM265" s="253"/>
      <c r="LN265" s="1317"/>
      <c r="LO265" s="253"/>
      <c r="LP265" s="253"/>
      <c r="LQ265" s="253"/>
      <c r="LR265" s="253"/>
      <c r="LS265" s="253"/>
      <c r="LT265" s="253"/>
      <c r="LU265" s="253"/>
      <c r="LV265" s="253"/>
      <c r="LW265" s="253"/>
      <c r="LX265" s="253"/>
      <c r="LY265" s="253"/>
      <c r="LZ265" s="253"/>
      <c r="MA265" s="253"/>
      <c r="MB265" s="253"/>
      <c r="MC265" s="253"/>
      <c r="MD265" s="1317"/>
      <c r="ME265" s="131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92"/>
      <c r="NQ265" s="2082"/>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454"/>
      <c r="JX266" s="253"/>
      <c r="JY266" s="253"/>
      <c r="JZ266" s="253"/>
      <c r="KA266" s="253"/>
      <c r="KB266" s="1454"/>
      <c r="KC266" s="253"/>
      <c r="KD266" s="253"/>
      <c r="KE266" s="253"/>
      <c r="KF266" s="253"/>
      <c r="KG266" s="1454"/>
      <c r="KH266" s="253"/>
      <c r="KI266" s="253"/>
      <c r="KJ266" s="253"/>
      <c r="KK266" s="253"/>
      <c r="KL266" s="1454"/>
      <c r="KM266" s="1454"/>
      <c r="KN266" s="1454"/>
      <c r="KO266" s="1454"/>
      <c r="KP266" s="1454"/>
      <c r="KQ266" s="1454"/>
      <c r="KR266" s="1454"/>
      <c r="KS266" s="1454"/>
      <c r="KT266" s="1454"/>
      <c r="KU266" s="1454"/>
      <c r="KV266" s="1454"/>
      <c r="KW266" s="1454"/>
      <c r="KX266" s="1454"/>
      <c r="KY266" s="1454"/>
      <c r="KZ266" s="1454"/>
      <c r="LA266" s="1454"/>
      <c r="LB266" s="1454"/>
      <c r="LC266" s="1454"/>
      <c r="LD266" s="1454"/>
      <c r="LE266" s="1454"/>
      <c r="LF266" s="1454"/>
      <c r="LG266" s="1454"/>
      <c r="LH266" s="253"/>
      <c r="LI266" s="253"/>
      <c r="LJ266" s="253"/>
      <c r="LK266" s="253"/>
      <c r="LL266" s="253"/>
      <c r="LM266" s="253"/>
      <c r="LN266" s="1317"/>
      <c r="LO266" s="253"/>
      <c r="LP266" s="253"/>
      <c r="LQ266" s="253"/>
      <c r="LR266" s="253"/>
      <c r="LS266" s="253"/>
      <c r="LT266" s="253"/>
      <c r="LU266" s="253"/>
      <c r="LV266" s="253"/>
      <c r="LW266" s="253"/>
      <c r="LX266" s="253"/>
      <c r="LY266" s="253"/>
      <c r="LZ266" s="253"/>
      <c r="MA266" s="253"/>
      <c r="MB266" s="253"/>
      <c r="MC266" s="253"/>
      <c r="MD266" s="1317"/>
      <c r="ME266" s="131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92"/>
      <c r="NQ266" s="2082"/>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454"/>
      <c r="JX267" s="253"/>
      <c r="JY267" s="253"/>
      <c r="JZ267" s="253"/>
      <c r="KA267" s="253"/>
      <c r="KB267" s="1454"/>
      <c r="KC267" s="253"/>
      <c r="KD267" s="253"/>
      <c r="KE267" s="253"/>
      <c r="KF267" s="253"/>
      <c r="KG267" s="1454"/>
      <c r="KH267" s="253"/>
      <c r="KI267" s="253"/>
      <c r="KJ267" s="253"/>
      <c r="KK267" s="253"/>
      <c r="KL267" s="1454"/>
      <c r="KM267" s="1454"/>
      <c r="KN267" s="1454"/>
      <c r="KO267" s="1454"/>
      <c r="KP267" s="1454"/>
      <c r="KQ267" s="1454"/>
      <c r="KR267" s="1454"/>
      <c r="KS267" s="1454"/>
      <c r="KT267" s="1454"/>
      <c r="KU267" s="1454"/>
      <c r="KV267" s="1454"/>
      <c r="KW267" s="1454"/>
      <c r="KX267" s="1454"/>
      <c r="KY267" s="1454"/>
      <c r="KZ267" s="1454"/>
      <c r="LA267" s="1454"/>
      <c r="LB267" s="1454"/>
      <c r="LC267" s="1454"/>
      <c r="LD267" s="1454"/>
      <c r="LE267" s="1454"/>
      <c r="LF267" s="1454"/>
      <c r="LG267" s="1454"/>
      <c r="LH267" s="253"/>
      <c r="LI267" s="253"/>
      <c r="LJ267" s="253"/>
      <c r="LK267" s="253"/>
      <c r="LL267" s="253"/>
      <c r="LM267" s="253"/>
      <c r="LN267" s="1317"/>
      <c r="LO267" s="253"/>
      <c r="LP267" s="253"/>
      <c r="LQ267" s="253"/>
      <c r="LR267" s="253"/>
      <c r="LS267" s="253"/>
      <c r="LT267" s="253"/>
      <c r="LU267" s="253"/>
      <c r="LV267" s="253"/>
      <c r="LW267" s="253"/>
      <c r="LX267" s="253"/>
      <c r="LY267" s="253"/>
      <c r="LZ267" s="253"/>
      <c r="MA267" s="253"/>
      <c r="MB267" s="253"/>
      <c r="MC267" s="253"/>
      <c r="MD267" s="1317"/>
      <c r="ME267" s="131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92"/>
      <c r="NQ267" s="2082"/>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454"/>
      <c r="JX268" s="253"/>
      <c r="JY268" s="253"/>
      <c r="JZ268" s="253"/>
      <c r="KA268" s="253"/>
      <c r="KB268" s="1454"/>
      <c r="KC268" s="253"/>
      <c r="KD268" s="253"/>
      <c r="KE268" s="253"/>
      <c r="KF268" s="253"/>
      <c r="KG268" s="1454"/>
      <c r="KH268" s="253"/>
      <c r="KI268" s="253"/>
      <c r="KJ268" s="253"/>
      <c r="KK268" s="253"/>
      <c r="KL268" s="1454"/>
      <c r="KM268" s="1454"/>
      <c r="KN268" s="1454"/>
      <c r="KO268" s="1454"/>
      <c r="KP268" s="1454"/>
      <c r="KQ268" s="1454"/>
      <c r="KR268" s="1454"/>
      <c r="KS268" s="1454"/>
      <c r="KT268" s="1454"/>
      <c r="KU268" s="1454"/>
      <c r="KV268" s="1454"/>
      <c r="KW268" s="1454"/>
      <c r="KX268" s="1454"/>
      <c r="KY268" s="1454"/>
      <c r="KZ268" s="1454"/>
      <c r="LA268" s="1454"/>
      <c r="LB268" s="1454"/>
      <c r="LC268" s="1454"/>
      <c r="LD268" s="1454"/>
      <c r="LE268" s="1454"/>
      <c r="LF268" s="1454"/>
      <c r="LG268" s="1454"/>
      <c r="LH268" s="253"/>
      <c r="LI268" s="253"/>
      <c r="LJ268" s="253"/>
      <c r="LK268" s="253"/>
      <c r="LL268" s="253"/>
      <c r="LM268" s="253"/>
      <c r="LN268" s="1317"/>
      <c r="LO268" s="253"/>
      <c r="LP268" s="253"/>
      <c r="LQ268" s="253"/>
      <c r="LR268" s="253"/>
      <c r="LS268" s="253"/>
      <c r="LT268" s="253"/>
      <c r="LU268" s="253"/>
      <c r="LV268" s="253"/>
      <c r="LW268" s="253"/>
      <c r="LX268" s="253"/>
      <c r="LY268" s="253"/>
      <c r="LZ268" s="253"/>
      <c r="MA268" s="253"/>
      <c r="MB268" s="253"/>
      <c r="MC268" s="253"/>
      <c r="MD268" s="1317"/>
      <c r="ME268" s="1317"/>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292"/>
      <c r="NQ268" s="2082"/>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454"/>
      <c r="JX269" s="253"/>
      <c r="JY269" s="253"/>
      <c r="JZ269" s="253"/>
      <c r="KA269" s="253"/>
      <c r="KB269" s="1454"/>
      <c r="KC269" s="253"/>
      <c r="KD269" s="253"/>
      <c r="KE269" s="253"/>
      <c r="KF269" s="253"/>
      <c r="KG269" s="1454"/>
      <c r="KH269" s="253"/>
      <c r="KI269" s="253"/>
      <c r="KJ269" s="253"/>
      <c r="KK269" s="253"/>
      <c r="KL269" s="1454"/>
      <c r="KM269" s="1454"/>
      <c r="KN269" s="1454"/>
      <c r="KO269" s="1454"/>
      <c r="KP269" s="1454"/>
      <c r="KQ269" s="1454"/>
      <c r="KR269" s="1454"/>
      <c r="KS269" s="1454"/>
      <c r="KT269" s="1454"/>
      <c r="KU269" s="1454"/>
      <c r="KV269" s="1454"/>
      <c r="KW269" s="1454"/>
      <c r="KX269" s="1454"/>
      <c r="KY269" s="1454"/>
      <c r="KZ269" s="1454"/>
      <c r="LA269" s="1454"/>
      <c r="LB269" s="1454"/>
      <c r="LC269" s="1454"/>
      <c r="LD269" s="1454"/>
      <c r="LE269" s="1454"/>
      <c r="LF269" s="1454"/>
      <c r="LG269" s="1454"/>
      <c r="LH269" s="253"/>
      <c r="LI269" s="253"/>
      <c r="LJ269" s="253"/>
      <c r="LK269" s="253"/>
      <c r="LL269" s="253"/>
      <c r="LM269" s="253"/>
      <c r="LN269" s="1317"/>
      <c r="LO269" s="253"/>
      <c r="LP269" s="253"/>
      <c r="LQ269" s="253"/>
      <c r="LR269" s="253"/>
      <c r="LS269" s="253"/>
      <c r="LT269" s="253"/>
      <c r="LU269" s="253"/>
      <c r="LV269" s="253"/>
      <c r="LW269" s="253"/>
      <c r="LX269" s="253"/>
      <c r="LY269" s="253"/>
      <c r="LZ269" s="253"/>
      <c r="MA269" s="253"/>
      <c r="MB269" s="253"/>
      <c r="MC269" s="253"/>
      <c r="MD269" s="1317"/>
      <c r="ME269" s="1317"/>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292"/>
      <c r="NQ269" s="2082"/>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541"/>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454"/>
      <c r="JX270" s="253"/>
      <c r="JY270" s="253"/>
      <c r="JZ270" s="253"/>
      <c r="KA270" s="253"/>
      <c r="KB270" s="1454"/>
      <c r="KC270" s="253"/>
      <c r="KD270" s="253"/>
      <c r="KE270" s="253"/>
      <c r="KF270" s="253"/>
      <c r="KG270" s="1454"/>
      <c r="KH270" s="253"/>
      <c r="KI270" s="253"/>
      <c r="KJ270" s="253"/>
      <c r="KK270" s="253"/>
      <c r="KL270" s="1454"/>
      <c r="KM270" s="1454"/>
      <c r="KN270" s="1454"/>
      <c r="KO270" s="1454"/>
      <c r="KP270" s="1454"/>
      <c r="KQ270" s="1454"/>
      <c r="KR270" s="1454"/>
      <c r="KS270" s="1454"/>
      <c r="KT270" s="1454"/>
      <c r="KU270" s="1454"/>
      <c r="KV270" s="1454"/>
      <c r="KW270" s="1454"/>
      <c r="KX270" s="1454"/>
      <c r="KY270" s="1454"/>
      <c r="KZ270" s="1454"/>
      <c r="LA270" s="1454"/>
      <c r="LB270" s="1454"/>
      <c r="LC270" s="1454"/>
      <c r="LD270" s="1454"/>
      <c r="LE270" s="1454"/>
      <c r="LF270" s="1454"/>
      <c r="LG270" s="1454"/>
      <c r="LH270" s="253"/>
      <c r="LI270" s="253"/>
      <c r="LJ270" s="253"/>
      <c r="LK270" s="253"/>
      <c r="LL270" s="253"/>
      <c r="LM270" s="253"/>
      <c r="LN270" s="1317"/>
      <c r="LO270" s="253"/>
      <c r="LP270" s="253"/>
      <c r="LQ270" s="253"/>
      <c r="LR270" s="253"/>
      <c r="LS270" s="253"/>
      <c r="LT270" s="253"/>
      <c r="LU270" s="253"/>
      <c r="LV270" s="253"/>
      <c r="LW270" s="253"/>
      <c r="LX270" s="253"/>
      <c r="LY270" s="253"/>
      <c r="LZ270" s="253"/>
      <c r="MA270" s="253"/>
      <c r="MB270" s="253"/>
      <c r="MC270" s="253"/>
      <c r="MD270" s="1317"/>
      <c r="ME270" s="1317"/>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292"/>
      <c r="NQ270" s="2082"/>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454"/>
      <c r="JX271" s="253"/>
      <c r="JY271" s="253"/>
      <c r="JZ271" s="253"/>
      <c r="KA271" s="253"/>
      <c r="KB271" s="1454"/>
      <c r="KC271" s="253"/>
      <c r="KD271" s="253"/>
      <c r="KE271" s="253"/>
      <c r="KF271" s="253"/>
      <c r="KG271" s="1454"/>
      <c r="KH271" s="253"/>
      <c r="KI271" s="253"/>
      <c r="KJ271" s="253"/>
      <c r="KK271" s="253"/>
      <c r="KL271" s="1454"/>
      <c r="KM271" s="1454"/>
      <c r="KN271" s="1454"/>
      <c r="KO271" s="1454"/>
      <c r="KP271" s="1454"/>
      <c r="KQ271" s="1454"/>
      <c r="KR271" s="1454"/>
      <c r="KS271" s="1454"/>
      <c r="KT271" s="1454"/>
      <c r="KU271" s="1454"/>
      <c r="KV271" s="1454"/>
      <c r="KW271" s="1454"/>
      <c r="KX271" s="1454"/>
      <c r="KY271" s="1454"/>
      <c r="KZ271" s="1454"/>
      <c r="LA271" s="1454"/>
      <c r="LB271" s="1454"/>
      <c r="LC271" s="1454"/>
      <c r="LD271" s="1454"/>
      <c r="LE271" s="1454"/>
      <c r="LF271" s="1454"/>
      <c r="LG271" s="1454"/>
      <c r="LH271" s="253"/>
      <c r="LI271" s="253"/>
      <c r="LJ271" s="253"/>
      <c r="LK271" s="253"/>
      <c r="LL271" s="253"/>
      <c r="LM271" s="253"/>
      <c r="LN271" s="1317"/>
      <c r="LO271" s="253"/>
      <c r="LP271" s="253"/>
      <c r="LQ271" s="253"/>
      <c r="LR271" s="253"/>
      <c r="LS271" s="253"/>
      <c r="LT271" s="253"/>
      <c r="LU271" s="253"/>
      <c r="LV271" s="253"/>
      <c r="LW271" s="253"/>
      <c r="LX271" s="253"/>
      <c r="LY271" s="253"/>
      <c r="LZ271" s="253"/>
      <c r="MA271" s="253"/>
      <c r="MB271" s="253"/>
      <c r="MC271" s="253"/>
      <c r="MD271" s="1317"/>
      <c r="ME271" s="1317"/>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293"/>
      <c r="NQ271" s="2082"/>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293"/>
    </row>
    <row r="273" spans="1:493" ht="14.1" customHeight="1">
      <c r="A273" s="77"/>
      <c r="B273" s="77"/>
      <c r="C273" s="77"/>
      <c r="D273" s="77"/>
      <c r="E273" s="77"/>
      <c r="F273" s="77"/>
      <c r="G273" s="77"/>
      <c r="H273" s="77"/>
      <c r="I273" s="77"/>
      <c r="J273" s="77"/>
      <c r="K273" s="77"/>
      <c r="L273" s="77"/>
      <c r="M273" s="77"/>
      <c r="N273" s="77"/>
      <c r="O273" s="77"/>
      <c r="P273" s="77"/>
      <c r="NP273" s="1293"/>
    </row>
    <row r="274" spans="1:493" ht="14.1" customHeight="1">
      <c r="A274" s="77"/>
      <c r="B274" s="77"/>
      <c r="C274" s="77"/>
      <c r="D274" s="77"/>
      <c r="E274" s="77"/>
      <c r="F274" s="77"/>
      <c r="G274" s="77"/>
      <c r="H274" s="77"/>
      <c r="I274" s="77"/>
      <c r="J274" s="77"/>
      <c r="K274" s="77"/>
      <c r="L274" s="77"/>
      <c r="M274" s="77"/>
      <c r="N274" s="77"/>
      <c r="O274" s="77"/>
      <c r="P274" s="77"/>
      <c r="NP274" s="1293"/>
    </row>
    <row r="275" spans="1:493" ht="14.1" customHeight="1">
      <c r="A275" s="77"/>
      <c r="B275" s="77"/>
      <c r="C275" s="77"/>
      <c r="D275" s="77"/>
      <c r="E275" s="77"/>
      <c r="F275" s="77"/>
      <c r="G275" s="77"/>
      <c r="H275" s="77"/>
      <c r="I275" s="77"/>
      <c r="J275" s="77"/>
      <c r="K275" s="77"/>
      <c r="L275" s="77"/>
      <c r="M275" s="77"/>
      <c r="N275" s="77"/>
      <c r="O275" s="77"/>
      <c r="P275" s="77"/>
      <c r="NP275" s="1293"/>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454"/>
      <c r="JX276" s="253"/>
      <c r="JY276" s="253"/>
      <c r="JZ276" s="253"/>
      <c r="KA276" s="253"/>
      <c r="KB276" s="1454"/>
      <c r="KC276" s="253"/>
      <c r="KD276" s="253"/>
      <c r="KE276" s="253"/>
      <c r="KF276" s="253"/>
      <c r="KG276" s="1454"/>
      <c r="KH276" s="253"/>
      <c r="KI276" s="253"/>
      <c r="KJ276" s="253"/>
      <c r="KK276" s="253"/>
      <c r="KL276" s="1454"/>
      <c r="KM276" s="1454"/>
      <c r="KN276" s="1454"/>
      <c r="KO276" s="1454"/>
      <c r="KP276" s="1454"/>
      <c r="KQ276" s="1454"/>
      <c r="KR276" s="1454"/>
      <c r="KS276" s="1454"/>
      <c r="KT276" s="1454"/>
      <c r="KU276" s="1454"/>
      <c r="KV276" s="1454"/>
      <c r="KW276" s="1454"/>
      <c r="KX276" s="1454"/>
      <c r="KY276" s="1454"/>
      <c r="KZ276" s="1454"/>
      <c r="LA276" s="1454"/>
      <c r="LB276" s="1454"/>
      <c r="LC276" s="1454"/>
      <c r="LD276" s="1454"/>
      <c r="LE276" s="1454"/>
      <c r="LF276" s="1454"/>
      <c r="LG276" s="1454"/>
      <c r="LH276" s="253"/>
      <c r="LI276" s="253"/>
      <c r="LJ276" s="253"/>
      <c r="LK276" s="253"/>
      <c r="LL276" s="253"/>
      <c r="LM276" s="253"/>
      <c r="LN276" s="1317"/>
      <c r="LO276" s="253"/>
      <c r="LP276" s="253"/>
      <c r="LQ276" s="253"/>
      <c r="LR276" s="253"/>
      <c r="LS276" s="253"/>
      <c r="LT276" s="253"/>
      <c r="LU276" s="253"/>
      <c r="LV276" s="253"/>
      <c r="LW276" s="253"/>
      <c r="LX276" s="253"/>
      <c r="LY276" s="253"/>
      <c r="LZ276" s="253"/>
      <c r="MA276" s="253"/>
      <c r="MB276" s="253"/>
      <c r="MC276" s="253"/>
      <c r="MD276" s="1317"/>
      <c r="ME276" s="131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93"/>
      <c r="NQ276" s="2082"/>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454"/>
      <c r="JX277" s="253"/>
      <c r="JY277" s="253"/>
      <c r="JZ277" s="253"/>
      <c r="KA277" s="253"/>
      <c r="KB277" s="1454"/>
      <c r="KC277" s="253"/>
      <c r="KD277" s="253"/>
      <c r="KE277" s="253"/>
      <c r="KF277" s="253"/>
      <c r="KG277" s="1454"/>
      <c r="KH277" s="253"/>
      <c r="KI277" s="253"/>
      <c r="KJ277" s="253"/>
      <c r="KK277" s="253"/>
      <c r="KL277" s="1454"/>
      <c r="KM277" s="1454"/>
      <c r="KN277" s="1454"/>
      <c r="KO277" s="1454"/>
      <c r="KP277" s="1454"/>
      <c r="KQ277" s="1454"/>
      <c r="KR277" s="1454"/>
      <c r="KS277" s="1454"/>
      <c r="KT277" s="1454"/>
      <c r="KU277" s="1454"/>
      <c r="KV277" s="1454"/>
      <c r="KW277" s="1454"/>
      <c r="KX277" s="1454"/>
      <c r="KY277" s="1454"/>
      <c r="KZ277" s="1454"/>
      <c r="LA277" s="1454"/>
      <c r="LB277" s="1454"/>
      <c r="LC277" s="1454"/>
      <c r="LD277" s="1454"/>
      <c r="LE277" s="1454"/>
      <c r="LF277" s="1454"/>
      <c r="LG277" s="1454"/>
      <c r="LH277" s="253"/>
      <c r="LI277" s="253"/>
      <c r="LJ277" s="253"/>
      <c r="LK277" s="253"/>
      <c r="LL277" s="253"/>
      <c r="LM277" s="253"/>
      <c r="LN277" s="1317"/>
      <c r="LO277" s="253"/>
      <c r="LP277" s="253"/>
      <c r="LQ277" s="253"/>
      <c r="LR277" s="253"/>
      <c r="LS277" s="253"/>
      <c r="LT277" s="253"/>
      <c r="LU277" s="253"/>
      <c r="LV277" s="253"/>
      <c r="LW277" s="253"/>
      <c r="LX277" s="253"/>
      <c r="LY277" s="253"/>
      <c r="LZ277" s="253"/>
      <c r="MA277" s="253"/>
      <c r="MB277" s="253"/>
      <c r="MC277" s="253"/>
      <c r="MD277" s="1317"/>
      <c r="ME277" s="1317"/>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293"/>
      <c r="NQ277" s="2082"/>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541"/>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454"/>
      <c r="JX278" s="253"/>
      <c r="JY278" s="253"/>
      <c r="JZ278" s="253"/>
      <c r="KA278" s="253"/>
      <c r="KB278" s="1454"/>
      <c r="KC278" s="253"/>
      <c r="KD278" s="253"/>
      <c r="KE278" s="253"/>
      <c r="KF278" s="253"/>
      <c r="KG278" s="1454"/>
      <c r="KH278" s="253"/>
      <c r="KI278" s="253"/>
      <c r="KJ278" s="253"/>
      <c r="KK278" s="253"/>
      <c r="KL278" s="1454"/>
      <c r="KM278" s="1454"/>
      <c r="KN278" s="1454"/>
      <c r="KO278" s="1454"/>
      <c r="KP278" s="1454"/>
      <c r="KQ278" s="1454"/>
      <c r="KR278" s="1454"/>
      <c r="KS278" s="1454"/>
      <c r="KT278" s="1454"/>
      <c r="KU278" s="1454"/>
      <c r="KV278" s="1454"/>
      <c r="KW278" s="1454"/>
      <c r="KX278" s="1454"/>
      <c r="KY278" s="1454"/>
      <c r="KZ278" s="1454"/>
      <c r="LA278" s="1454"/>
      <c r="LB278" s="1454"/>
      <c r="LC278" s="1454"/>
      <c r="LD278" s="1454"/>
      <c r="LE278" s="1454"/>
      <c r="LF278" s="1454"/>
      <c r="LG278" s="1454"/>
      <c r="LH278" s="253"/>
      <c r="LI278" s="253"/>
      <c r="LJ278" s="253"/>
      <c r="LK278" s="253"/>
      <c r="LL278" s="253"/>
      <c r="LM278" s="253"/>
      <c r="LN278" s="1317"/>
      <c r="LO278" s="253"/>
      <c r="LP278" s="253"/>
      <c r="LQ278" s="253"/>
      <c r="LR278" s="253"/>
      <c r="LS278" s="253"/>
      <c r="LT278" s="253"/>
      <c r="LU278" s="253"/>
      <c r="LV278" s="253"/>
      <c r="LW278" s="253"/>
      <c r="LX278" s="253"/>
      <c r="LY278" s="253"/>
      <c r="LZ278" s="253"/>
      <c r="MA278" s="253"/>
      <c r="MB278" s="253"/>
      <c r="MC278" s="253"/>
      <c r="MD278" s="1317"/>
      <c r="ME278" s="1317"/>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292"/>
      <c r="NQ278" s="2082"/>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454"/>
      <c r="JX279" s="253"/>
      <c r="JY279" s="253"/>
      <c r="JZ279" s="253"/>
      <c r="KA279" s="253"/>
      <c r="KB279" s="1454"/>
      <c r="KC279" s="253"/>
      <c r="KD279" s="253"/>
      <c r="KE279" s="253"/>
      <c r="KF279" s="253"/>
      <c r="KG279" s="1454"/>
      <c r="KH279" s="253"/>
      <c r="KI279" s="253"/>
      <c r="KJ279" s="253"/>
      <c r="KK279" s="253"/>
      <c r="KL279" s="1454"/>
      <c r="KM279" s="1454"/>
      <c r="KN279" s="1454"/>
      <c r="KO279" s="1454"/>
      <c r="KP279" s="1454"/>
      <c r="KQ279" s="1454"/>
      <c r="KR279" s="1454"/>
      <c r="KS279" s="1454"/>
      <c r="KT279" s="1454"/>
      <c r="KU279" s="1454"/>
      <c r="KV279" s="1454"/>
      <c r="KW279" s="1454"/>
      <c r="KX279" s="1454"/>
      <c r="KY279" s="1454"/>
      <c r="KZ279" s="1454"/>
      <c r="LA279" s="1454"/>
      <c r="LB279" s="1454"/>
      <c r="LC279" s="1454"/>
      <c r="LD279" s="1454"/>
      <c r="LE279" s="1454"/>
      <c r="LF279" s="1454"/>
      <c r="LG279" s="1454"/>
      <c r="LH279" s="253"/>
      <c r="LI279" s="253"/>
      <c r="LJ279" s="253"/>
      <c r="LK279" s="253"/>
      <c r="LL279" s="253"/>
      <c r="LM279" s="253"/>
      <c r="LN279" s="1317"/>
      <c r="LO279" s="253"/>
      <c r="LP279" s="253"/>
      <c r="LQ279" s="253"/>
      <c r="LR279" s="253"/>
      <c r="LS279" s="253"/>
      <c r="LT279" s="253"/>
      <c r="LU279" s="253"/>
      <c r="LV279" s="253"/>
      <c r="LW279" s="253"/>
      <c r="LX279" s="253"/>
      <c r="LY279" s="253"/>
      <c r="LZ279" s="253"/>
      <c r="MA279" s="253"/>
      <c r="MB279" s="253"/>
      <c r="MC279" s="253"/>
      <c r="MD279" s="1317"/>
      <c r="ME279" s="1317"/>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292"/>
      <c r="NQ279" s="2082"/>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454"/>
      <c r="JX280" s="253"/>
      <c r="JY280" s="253"/>
      <c r="JZ280" s="253"/>
      <c r="KA280" s="253"/>
      <c r="KB280" s="1454"/>
      <c r="KC280" s="253"/>
      <c r="KD280" s="253"/>
      <c r="KE280" s="253"/>
      <c r="KF280" s="253"/>
      <c r="KG280" s="1454"/>
      <c r="KH280" s="253"/>
      <c r="KI280" s="253"/>
      <c r="KJ280" s="253"/>
      <c r="KK280" s="253"/>
      <c r="KL280" s="1454"/>
      <c r="KM280" s="1454"/>
      <c r="KN280" s="1454"/>
      <c r="KO280" s="1454"/>
      <c r="KP280" s="1454"/>
      <c r="KQ280" s="1454"/>
      <c r="KR280" s="1454"/>
      <c r="KS280" s="1454"/>
      <c r="KT280" s="1454"/>
      <c r="KU280" s="1454"/>
      <c r="KV280" s="1454"/>
      <c r="KW280" s="1454"/>
      <c r="KX280" s="1454"/>
      <c r="KY280" s="1454"/>
      <c r="KZ280" s="1454"/>
      <c r="LA280" s="1454"/>
      <c r="LB280" s="1454"/>
      <c r="LC280" s="1454"/>
      <c r="LD280" s="1454"/>
      <c r="LE280" s="1454"/>
      <c r="LF280" s="1454"/>
      <c r="LG280" s="1454"/>
      <c r="LH280" s="253"/>
      <c r="LI280" s="253"/>
      <c r="LJ280" s="253"/>
      <c r="LK280" s="253"/>
      <c r="LL280" s="253"/>
      <c r="LM280" s="253"/>
      <c r="LN280" s="1317"/>
      <c r="LO280" s="253"/>
      <c r="LP280" s="253"/>
      <c r="LQ280" s="253"/>
      <c r="LR280" s="253"/>
      <c r="LS280" s="253"/>
      <c r="LT280" s="253"/>
      <c r="LU280" s="253"/>
      <c r="LV280" s="253"/>
      <c r="LW280" s="253"/>
      <c r="LX280" s="253"/>
      <c r="LY280" s="253"/>
      <c r="LZ280" s="253"/>
      <c r="MA280" s="253"/>
      <c r="MB280" s="253"/>
      <c r="MC280" s="253"/>
      <c r="MD280" s="1317"/>
      <c r="ME280" s="1317"/>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292"/>
      <c r="NQ280" s="2082"/>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293"/>
    </row>
    <row r="283" spans="1:493" ht="14.1" customHeight="1">
      <c r="A283" s="77"/>
      <c r="B283" s="77"/>
      <c r="C283" s="77"/>
      <c r="D283" s="77"/>
      <c r="E283" s="77"/>
      <c r="F283" s="77"/>
      <c r="G283" s="77"/>
      <c r="H283" s="77"/>
      <c r="I283" s="77"/>
      <c r="J283" s="77"/>
      <c r="K283" s="77"/>
      <c r="L283" s="77"/>
      <c r="M283" s="77"/>
      <c r="N283" s="77"/>
      <c r="O283" s="77"/>
      <c r="P283" s="77"/>
      <c r="NP283" s="1293"/>
    </row>
    <row r="284" spans="1:493" ht="14.1" customHeight="1">
      <c r="A284" s="77"/>
      <c r="B284" s="77"/>
      <c r="C284" s="77"/>
      <c r="D284" s="77"/>
      <c r="E284" s="77"/>
      <c r="F284" s="77"/>
      <c r="G284" s="77"/>
      <c r="H284" s="77"/>
      <c r="I284" s="77"/>
      <c r="J284" s="77"/>
      <c r="K284" s="77"/>
      <c r="L284" s="77"/>
      <c r="M284" s="77"/>
      <c r="N284" s="77"/>
      <c r="O284" s="77"/>
      <c r="P284" s="77"/>
      <c r="NP284" s="1293"/>
    </row>
    <row r="285" spans="1:493" ht="14.1" customHeight="1">
      <c r="A285" s="77"/>
      <c r="B285" s="77"/>
      <c r="C285" s="77"/>
      <c r="D285" s="77"/>
      <c r="E285" s="77"/>
      <c r="F285" s="77"/>
      <c r="G285" s="77"/>
      <c r="H285" s="77"/>
      <c r="I285" s="77"/>
      <c r="J285" s="77"/>
      <c r="K285" s="77"/>
      <c r="L285" s="77"/>
      <c r="M285" s="77"/>
      <c r="N285" s="77"/>
      <c r="O285" s="77"/>
      <c r="P285" s="77"/>
      <c r="NP285" s="1293"/>
    </row>
    <row r="286" spans="1:493" ht="14.1" customHeight="1">
      <c r="A286" s="77"/>
      <c r="B286" s="77"/>
      <c r="C286" s="77"/>
      <c r="D286" s="77"/>
      <c r="E286" s="77"/>
      <c r="F286" s="77"/>
      <c r="G286" s="77"/>
      <c r="H286" s="77"/>
      <c r="I286" s="77"/>
      <c r="J286" s="77"/>
      <c r="K286" s="77"/>
      <c r="L286" s="77"/>
      <c r="M286" s="77"/>
      <c r="N286" s="77"/>
      <c r="O286" s="77"/>
      <c r="P286" s="77"/>
      <c r="NP286" s="1293"/>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454"/>
      <c r="JX288" s="253"/>
      <c r="JY288" s="253"/>
      <c r="JZ288" s="253"/>
      <c r="KA288" s="253"/>
      <c r="KB288" s="1454"/>
      <c r="KC288" s="253"/>
      <c r="KD288" s="253"/>
      <c r="KE288" s="253"/>
      <c r="KF288" s="253"/>
      <c r="KG288" s="1454"/>
      <c r="KH288" s="253"/>
      <c r="KI288" s="253"/>
      <c r="KJ288" s="253"/>
      <c r="KK288" s="253"/>
      <c r="KL288" s="1454"/>
      <c r="KM288" s="1454"/>
      <c r="KN288" s="1454"/>
      <c r="KO288" s="1454"/>
      <c r="KP288" s="1454"/>
      <c r="KQ288" s="1454"/>
      <c r="KR288" s="1454"/>
      <c r="KS288" s="1454"/>
      <c r="KT288" s="1454"/>
      <c r="KU288" s="1454"/>
      <c r="KV288" s="1454"/>
      <c r="KW288" s="1454"/>
      <c r="KX288" s="1454"/>
      <c r="KY288" s="1454"/>
      <c r="KZ288" s="1454"/>
      <c r="LA288" s="1454"/>
      <c r="LB288" s="1454"/>
      <c r="LC288" s="1454"/>
      <c r="LD288" s="1454"/>
      <c r="LE288" s="1454"/>
      <c r="LF288" s="1454"/>
      <c r="LG288" s="1454"/>
      <c r="LH288" s="253"/>
      <c r="LI288" s="253"/>
      <c r="LJ288" s="253"/>
      <c r="LK288" s="253"/>
      <c r="LL288" s="253"/>
      <c r="LM288" s="253"/>
      <c r="LN288" s="1317"/>
      <c r="LO288" s="253"/>
      <c r="LP288" s="253"/>
      <c r="LQ288" s="253"/>
      <c r="LR288" s="253"/>
      <c r="LS288" s="253"/>
      <c r="LT288" s="253"/>
      <c r="LU288" s="253"/>
      <c r="LV288" s="253"/>
      <c r="LW288" s="253"/>
      <c r="LX288" s="253"/>
      <c r="LY288" s="253"/>
      <c r="LZ288" s="253"/>
      <c r="MA288" s="253"/>
      <c r="MB288" s="253"/>
      <c r="MC288" s="253"/>
      <c r="MD288" s="1317"/>
      <c r="ME288" s="131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92"/>
      <c r="NQ288" s="2082"/>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454"/>
      <c r="JX289" s="253"/>
      <c r="JY289" s="253"/>
      <c r="JZ289" s="253"/>
      <c r="KA289" s="253"/>
      <c r="KB289" s="1454"/>
      <c r="KC289" s="253"/>
      <c r="KD289" s="253"/>
      <c r="KE289" s="253"/>
      <c r="KF289" s="253"/>
      <c r="KG289" s="1454"/>
      <c r="KH289" s="253"/>
      <c r="KI289" s="253"/>
      <c r="KJ289" s="253"/>
      <c r="KK289" s="253"/>
      <c r="KL289" s="1454"/>
      <c r="KM289" s="1454"/>
      <c r="KN289" s="1454"/>
      <c r="KO289" s="1454"/>
      <c r="KP289" s="1454"/>
      <c r="KQ289" s="1454"/>
      <c r="KR289" s="1454"/>
      <c r="KS289" s="1454"/>
      <c r="KT289" s="1454"/>
      <c r="KU289" s="1454"/>
      <c r="KV289" s="1454"/>
      <c r="KW289" s="1454"/>
      <c r="KX289" s="1454"/>
      <c r="KY289" s="1454"/>
      <c r="KZ289" s="1454"/>
      <c r="LA289" s="1454"/>
      <c r="LB289" s="1454"/>
      <c r="LC289" s="1454"/>
      <c r="LD289" s="1454"/>
      <c r="LE289" s="1454"/>
      <c r="LF289" s="1454"/>
      <c r="LG289" s="1454"/>
      <c r="LH289" s="253"/>
      <c r="LI289" s="253"/>
      <c r="LJ289" s="253"/>
      <c r="LK289" s="253"/>
      <c r="LL289" s="253"/>
      <c r="LM289" s="253"/>
      <c r="LN289" s="1317"/>
      <c r="LO289" s="253"/>
      <c r="LP289" s="253"/>
      <c r="LQ289" s="253"/>
      <c r="LR289" s="253"/>
      <c r="LS289" s="253"/>
      <c r="LT289" s="253"/>
      <c r="LU289" s="253"/>
      <c r="LV289" s="253"/>
      <c r="LW289" s="253"/>
      <c r="LX289" s="253"/>
      <c r="LY289" s="253"/>
      <c r="LZ289" s="253"/>
      <c r="MA289" s="253"/>
      <c r="MB289" s="253"/>
      <c r="MC289" s="253"/>
      <c r="MD289" s="1317"/>
      <c r="ME289" s="1317"/>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292"/>
      <c r="NQ289" s="2082"/>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541"/>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454"/>
      <c r="JX290" s="253"/>
      <c r="JY290" s="253"/>
      <c r="JZ290" s="253"/>
      <c r="KA290" s="253"/>
      <c r="KB290" s="1454"/>
      <c r="KC290" s="253"/>
      <c r="KD290" s="253"/>
      <c r="KE290" s="253"/>
      <c r="KF290" s="253"/>
      <c r="KG290" s="1454"/>
      <c r="KH290" s="253"/>
      <c r="KI290" s="253"/>
      <c r="KJ290" s="253"/>
      <c r="KK290" s="253"/>
      <c r="KL290" s="1454"/>
      <c r="KM290" s="1454"/>
      <c r="KN290" s="1454"/>
      <c r="KO290" s="1454"/>
      <c r="KP290" s="1454"/>
      <c r="KQ290" s="1454"/>
      <c r="KR290" s="1454"/>
      <c r="KS290" s="1454"/>
      <c r="KT290" s="1454"/>
      <c r="KU290" s="1454"/>
      <c r="KV290" s="1454"/>
      <c r="KW290" s="1454"/>
      <c r="KX290" s="1454"/>
      <c r="KY290" s="1454"/>
      <c r="KZ290" s="1454"/>
      <c r="LA290" s="1454"/>
      <c r="LB290" s="1454"/>
      <c r="LC290" s="1454"/>
      <c r="LD290" s="1454"/>
      <c r="LE290" s="1454"/>
      <c r="LF290" s="1454"/>
      <c r="LG290" s="1454"/>
      <c r="LH290" s="253"/>
      <c r="LI290" s="253"/>
      <c r="LJ290" s="253"/>
      <c r="LK290" s="253"/>
      <c r="LL290" s="253"/>
      <c r="LM290" s="253"/>
      <c r="LN290" s="1317"/>
      <c r="LO290" s="253"/>
      <c r="LP290" s="253"/>
      <c r="LQ290" s="253"/>
      <c r="LR290" s="253"/>
      <c r="LS290" s="253"/>
      <c r="LT290" s="253"/>
      <c r="LU290" s="253"/>
      <c r="LV290" s="253"/>
      <c r="LW290" s="253"/>
      <c r="LX290" s="253"/>
      <c r="LY290" s="253"/>
      <c r="LZ290" s="253"/>
      <c r="MA290" s="253"/>
      <c r="MB290" s="253"/>
      <c r="MC290" s="253"/>
      <c r="MD290" s="1317"/>
      <c r="ME290" s="1317"/>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292"/>
      <c r="NQ290" s="2082"/>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454"/>
      <c r="JX291" s="253"/>
      <c r="JY291" s="253"/>
      <c r="JZ291" s="253"/>
      <c r="KA291" s="253"/>
      <c r="KB291" s="1454"/>
      <c r="KC291" s="253"/>
      <c r="KD291" s="253"/>
      <c r="KE291" s="253"/>
      <c r="KF291" s="253"/>
      <c r="KG291" s="1454"/>
      <c r="KH291" s="253"/>
      <c r="KI291" s="253"/>
      <c r="KJ291" s="253"/>
      <c r="KK291" s="253"/>
      <c r="KL291" s="1454"/>
      <c r="KM291" s="1454"/>
      <c r="KN291" s="1454"/>
      <c r="KO291" s="1454"/>
      <c r="KP291" s="1454"/>
      <c r="KQ291" s="1454"/>
      <c r="KR291" s="1454"/>
      <c r="KS291" s="1454"/>
      <c r="KT291" s="1454"/>
      <c r="KU291" s="1454"/>
      <c r="KV291" s="1454"/>
      <c r="KW291" s="1454"/>
      <c r="KX291" s="1454"/>
      <c r="KY291" s="1454"/>
      <c r="KZ291" s="1454"/>
      <c r="LA291" s="1454"/>
      <c r="LB291" s="1454"/>
      <c r="LC291" s="1454"/>
      <c r="LD291" s="1454"/>
      <c r="LE291" s="1454"/>
      <c r="LF291" s="1454"/>
      <c r="LG291" s="1454"/>
      <c r="LH291" s="253"/>
      <c r="LI291" s="253"/>
      <c r="LJ291" s="253"/>
      <c r="LK291" s="253"/>
      <c r="LL291" s="253"/>
      <c r="LM291" s="253"/>
      <c r="LN291" s="1317"/>
      <c r="LO291" s="253"/>
      <c r="LP291" s="253"/>
      <c r="LQ291" s="253"/>
      <c r="LR291" s="253"/>
      <c r="LS291" s="253"/>
      <c r="LT291" s="253"/>
      <c r="LU291" s="253"/>
      <c r="LV291" s="253"/>
      <c r="LW291" s="253"/>
      <c r="LX291" s="253"/>
      <c r="LY291" s="253"/>
      <c r="LZ291" s="253"/>
      <c r="MA291" s="253"/>
      <c r="MB291" s="253"/>
      <c r="MC291" s="253"/>
      <c r="MD291" s="1317"/>
      <c r="ME291" s="1317"/>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292"/>
      <c r="NQ291" s="2082"/>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454"/>
      <c r="JX292" s="253"/>
      <c r="JY292" s="253"/>
      <c r="JZ292" s="253"/>
      <c r="KA292" s="253"/>
      <c r="KB292" s="1454"/>
      <c r="KC292" s="253"/>
      <c r="KD292" s="253"/>
      <c r="KE292" s="253"/>
      <c r="KF292" s="253"/>
      <c r="KG292" s="1454"/>
      <c r="KH292" s="253"/>
      <c r="KI292" s="253"/>
      <c r="KJ292" s="253"/>
      <c r="KK292" s="253"/>
      <c r="KL292" s="1454"/>
      <c r="KM292" s="1454"/>
      <c r="KN292" s="1454"/>
      <c r="KO292" s="1454"/>
      <c r="KP292" s="1454"/>
      <c r="KQ292" s="1454"/>
      <c r="KR292" s="1454"/>
      <c r="KS292" s="1454"/>
      <c r="KT292" s="1454"/>
      <c r="KU292" s="1454"/>
      <c r="KV292" s="1454"/>
      <c r="KW292" s="1454"/>
      <c r="KX292" s="1454"/>
      <c r="KY292" s="1454"/>
      <c r="KZ292" s="1454"/>
      <c r="LA292" s="1454"/>
      <c r="LB292" s="1454"/>
      <c r="LC292" s="1454"/>
      <c r="LD292" s="1454"/>
      <c r="LE292" s="1454"/>
      <c r="LF292" s="1454"/>
      <c r="LG292" s="1454"/>
      <c r="LH292" s="253"/>
      <c r="LI292" s="253"/>
      <c r="LJ292" s="253"/>
      <c r="LK292" s="253"/>
      <c r="LL292" s="253"/>
      <c r="LM292" s="253"/>
      <c r="LN292" s="1317"/>
      <c r="LO292" s="253"/>
      <c r="LP292" s="253"/>
      <c r="LQ292" s="253"/>
      <c r="LR292" s="253"/>
      <c r="LS292" s="253"/>
      <c r="LT292" s="253"/>
      <c r="LU292" s="253"/>
      <c r="LV292" s="253"/>
      <c r="LW292" s="253"/>
      <c r="LX292" s="253"/>
      <c r="LY292" s="253"/>
      <c r="LZ292" s="253"/>
      <c r="MA292" s="253"/>
      <c r="MB292" s="253"/>
      <c r="MC292" s="253"/>
      <c r="MD292" s="1317"/>
      <c r="ME292" s="1317"/>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292"/>
      <c r="NQ292" s="2082"/>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293"/>
    </row>
    <row r="295" spans="1:493" ht="14.1" customHeight="1">
      <c r="A295" s="77"/>
      <c r="B295" s="77"/>
      <c r="C295" s="77"/>
      <c r="D295" s="77"/>
      <c r="E295" s="77"/>
      <c r="F295" s="77"/>
      <c r="G295" s="77"/>
      <c r="H295" s="77"/>
      <c r="I295" s="77"/>
      <c r="J295" s="77"/>
      <c r="K295" s="77"/>
      <c r="L295" s="77"/>
      <c r="M295" s="77"/>
      <c r="N295" s="77"/>
      <c r="O295" s="77"/>
      <c r="P295" s="77"/>
      <c r="NP295" s="1293"/>
    </row>
    <row r="296" spans="1:493" ht="14.1" customHeight="1">
      <c r="A296" s="77"/>
      <c r="B296" s="77"/>
      <c r="C296" s="77"/>
      <c r="D296" s="77"/>
      <c r="E296" s="77"/>
      <c r="F296" s="77"/>
      <c r="G296" s="77"/>
      <c r="H296" s="77"/>
      <c r="I296" s="77"/>
      <c r="J296" s="77"/>
      <c r="K296" s="77"/>
      <c r="L296" s="77"/>
      <c r="M296" s="77"/>
      <c r="N296" s="77"/>
      <c r="O296" s="77"/>
      <c r="P296" s="77"/>
      <c r="NP296" s="1293"/>
    </row>
    <row r="297" spans="1:493" ht="14.1" customHeight="1">
      <c r="A297" s="77"/>
      <c r="B297" s="77"/>
      <c r="C297" s="77"/>
      <c r="D297" s="77"/>
      <c r="E297" s="77"/>
      <c r="F297" s="77"/>
      <c r="G297" s="77"/>
      <c r="H297" s="77"/>
      <c r="I297" s="77"/>
      <c r="J297" s="77"/>
      <c r="K297" s="77"/>
      <c r="L297" s="77"/>
      <c r="M297" s="77"/>
      <c r="N297" s="77"/>
      <c r="O297" s="77"/>
      <c r="P297" s="77"/>
      <c r="NP297" s="1293"/>
    </row>
    <row r="298" spans="1:493" ht="14.1" customHeight="1">
      <c r="A298" s="77"/>
      <c r="B298" s="77"/>
      <c r="C298" s="77"/>
      <c r="D298" s="77"/>
      <c r="E298" s="77"/>
      <c r="F298" s="77"/>
      <c r="G298" s="77"/>
      <c r="H298" s="77"/>
      <c r="I298" s="77"/>
      <c r="J298" s="77"/>
      <c r="K298" s="77"/>
      <c r="L298" s="77"/>
      <c r="M298" s="77"/>
      <c r="N298" s="77"/>
      <c r="O298" s="77"/>
      <c r="P298" s="77"/>
      <c r="NP298" s="1293"/>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iVNeKDdB2WP+JlGJExBf/HPZoXhntIpFoZIUUvBg4BMaVEX8lx0x1Z+trY7zbeJN1GdjdPP69HHw1iIhBEv39Q==" saltValue="lNvM0pDOcBhycX8ITwoNWA==" spinCount="100000" sheet="1" objects="1" scenarios="1"/>
  <mergeCells count="602">
    <mergeCell ref="A260:M260"/>
    <mergeCell ref="N260:Q260"/>
    <mergeCell ref="R260:U260"/>
    <mergeCell ref="B250:E250"/>
    <mergeCell ref="I250:K250"/>
    <mergeCell ref="F251:G251"/>
    <mergeCell ref="L251:M251"/>
    <mergeCell ref="S251:W251"/>
    <mergeCell ref="K255:L255"/>
    <mergeCell ref="S255:W255"/>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KY9:KY10"/>
    <mergeCell ref="KZ9:KZ10"/>
    <mergeCell ref="LA9:LA10"/>
    <mergeCell ref="LB9:LB10"/>
    <mergeCell ref="LC9:LC10"/>
    <mergeCell ref="LD9:LD10"/>
    <mergeCell ref="KM9:KM10"/>
    <mergeCell ref="KN9:KN10"/>
    <mergeCell ref="KO9:KO10"/>
    <mergeCell ref="KP9:KP10"/>
    <mergeCell ref="KQ9:KQ10"/>
    <mergeCell ref="KR9:KR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L239:M239"/>
    <mergeCell ref="L234:M234"/>
    <mergeCell ref="S234:W234"/>
    <mergeCell ref="F235:G235"/>
    <mergeCell ref="S235:W235"/>
    <mergeCell ref="F236:G236"/>
    <mergeCell ref="S236:W236"/>
    <mergeCell ref="N232:N235"/>
    <mergeCell ref="I234:K234"/>
    <mergeCell ref="L235:M235"/>
    <mergeCell ref="O235:Q236"/>
    <mergeCell ref="S231:W231"/>
    <mergeCell ref="L232:M232"/>
    <mergeCell ref="S232:W232"/>
    <mergeCell ref="L233:M233"/>
    <mergeCell ref="S233:W233"/>
    <mergeCell ref="F234:G234"/>
    <mergeCell ref="F229:G229"/>
    <mergeCell ref="S229:W229"/>
    <mergeCell ref="F230:G230"/>
    <mergeCell ref="S230:W230"/>
    <mergeCell ref="F231:G231"/>
    <mergeCell ref="B230:E230"/>
    <mergeCell ref="F226:G226"/>
    <mergeCell ref="L226:M226"/>
    <mergeCell ref="S226:W226"/>
    <mergeCell ref="F227:G227"/>
    <mergeCell ref="S227:W227"/>
    <mergeCell ref="F228:G228"/>
    <mergeCell ref="S228:W228"/>
    <mergeCell ref="L227:M227"/>
    <mergeCell ref="S219:W219"/>
    <mergeCell ref="S224:W224"/>
    <mergeCell ref="F225:G225"/>
    <mergeCell ref="L225:M225"/>
    <mergeCell ref="S225:W225"/>
    <mergeCell ref="C219:F219"/>
    <mergeCell ref="S220:W220"/>
    <mergeCell ref="S214:W214"/>
    <mergeCell ref="S215:W215"/>
    <mergeCell ref="S218:W218"/>
    <mergeCell ref="C215:F215"/>
    <mergeCell ref="S216:W216"/>
    <mergeCell ref="S206:W206"/>
    <mergeCell ref="S209:W209"/>
    <mergeCell ref="S210:W210"/>
    <mergeCell ref="C206:F206"/>
    <mergeCell ref="S207:W207"/>
    <mergeCell ref="C210:F210"/>
    <mergeCell ref="S211:W211"/>
    <mergeCell ref="S200:W200"/>
    <mergeCell ref="S201:W201"/>
    <mergeCell ref="S205:W205"/>
    <mergeCell ref="C201:F201"/>
    <mergeCell ref="S202:W202"/>
    <mergeCell ref="S198:W198"/>
    <mergeCell ref="S187:W187"/>
    <mergeCell ref="S188:W188"/>
    <mergeCell ref="S191:W191"/>
    <mergeCell ref="S169:W169"/>
    <mergeCell ref="S170:W170"/>
    <mergeCell ref="S171:W171"/>
    <mergeCell ref="K178:L178"/>
    <mergeCell ref="S172:W172"/>
    <mergeCell ref="K179:L179"/>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60:W60"/>
    <mergeCell ref="S61:W61"/>
    <mergeCell ref="S62:W62"/>
    <mergeCell ref="S63:W63"/>
    <mergeCell ref="S64:W64"/>
    <mergeCell ref="S65:W65"/>
    <mergeCell ref="O53:P53"/>
    <mergeCell ref="S56:W56"/>
    <mergeCell ref="S57:W57"/>
    <mergeCell ref="S58:W58"/>
    <mergeCell ref="S59:W59"/>
    <mergeCell ref="T46:W46"/>
    <mergeCell ref="T47:W47"/>
    <mergeCell ref="B49:C49"/>
    <mergeCell ref="T48:W48"/>
    <mergeCell ref="H49:H50"/>
    <mergeCell ref="B50:C50"/>
    <mergeCell ref="A51:Q52"/>
    <mergeCell ref="T40:W40"/>
    <mergeCell ref="T41:W41"/>
    <mergeCell ref="T42:W42"/>
    <mergeCell ref="T43:W43"/>
    <mergeCell ref="T44:W44"/>
    <mergeCell ref="T45:W45"/>
    <mergeCell ref="T37:W37"/>
    <mergeCell ref="T38:W38"/>
    <mergeCell ref="T39:W39"/>
    <mergeCell ref="T28:W28"/>
    <mergeCell ref="T29:W29"/>
    <mergeCell ref="T30:W30"/>
    <mergeCell ref="T31:W31"/>
    <mergeCell ref="T32:W32"/>
    <mergeCell ref="T33:W33"/>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s>
  <conditionalFormatting sqref="A6:A10">
    <cfRule type="cellIs" dxfId="248" priority="3" operator="equal">
      <formula>"Finish Row!"</formula>
    </cfRule>
  </conditionalFormatting>
  <conditionalFormatting sqref="A11:A48">
    <cfRule type="cellIs" dxfId="247" priority="17" stopIfTrue="1" operator="equal">
      <formula>1</formula>
    </cfRule>
  </conditionalFormatting>
  <conditionalFormatting sqref="B50:C50">
    <cfRule type="cellIs" dxfId="24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K130:P135">
    <cfRule type="cellIs" dxfId="245" priority="11" operator="equal">
      <formula>0</formula>
    </cfRule>
  </conditionalFormatting>
  <conditionalFormatting sqref="K134:P139">
    <cfRule type="cellIs" dxfId="244" priority="1" operator="equal">
      <formula>0</formula>
    </cfRule>
  </conditionalFormatting>
  <conditionalFormatting sqref="K140:P172">
    <cfRule type="cellIs" dxfId="243" priority="8" operator="equal">
      <formula>0</formula>
    </cfRule>
  </conditionalFormatting>
  <conditionalFormatting sqref="L102:O102">
    <cfRule type="cellIs" dxfId="242" priority="5" operator="equal">
      <formula>"&lt;&lt; Select LIHTC Election &gt;&gt;"</formula>
    </cfRule>
    <cfRule type="containsText" dxfId="241" priority="7" operator="containsText" text="&lt;&lt; Select Election or Income Averaging &gt;&gt;">
      <formula>NOT(ISERROR(SEARCH("&lt;&lt; Select Election or Income Averaging &gt;&gt;",L102)))</formula>
    </cfRule>
  </conditionalFormatting>
  <conditionalFormatting sqref="L149:O149">
    <cfRule type="cellIs" dxfId="240" priority="4" operator="equal">
      <formula>"&lt;&lt; Select LIHTC Election &gt;&gt;"</formula>
    </cfRule>
    <cfRule type="containsText" dxfId="239" priority="6" operator="containsText" text="&lt;&lt; Select Election or Income Averaging &gt;&gt;">
      <formula>NOT(ISERROR(SEARCH("&lt;&lt; Select Election or Income Averaging &gt;&gt;",L149)))</formula>
    </cfRule>
  </conditionalFormatting>
  <conditionalFormatting sqref="P183">
    <cfRule type="cellIs" dxfId="238" priority="13" operator="greaterThan">
      <formula>0.02</formula>
    </cfRule>
  </conditionalFormatting>
  <conditionalFormatting sqref="Q11:Q48">
    <cfRule type="expression" dxfId="237" priority="12">
      <formula>AND($P$11="New Construction",$Q$11="Yes")</formula>
    </cfRule>
  </conditionalFormatting>
  <conditionalFormatting sqref="U69 U126:U130">
    <cfRule type="cellIs" dxfId="236" priority="2" stopIfTrue="1" operator="greaterThan">
      <formula>0</formula>
    </cfRule>
  </conditionalFormatting>
  <conditionalFormatting sqref="U91:U92 U101:U103 U112">
    <cfRule type="cellIs" dxfId="235" priority="16" stopIfTrue="1" operator="greaterThan">
      <formula>0</formula>
    </cfRule>
  </conditionalFormatting>
  <conditionalFormatting sqref="U159">
    <cfRule type="cellIs" dxfId="23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0"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128" workbookViewId="0">
      <selection activeCell="A140" sqref="A140:F140"/>
    </sheetView>
  </sheetViews>
  <sheetFormatPr defaultColWidth="8.7109375" defaultRowHeight="12.75"/>
  <cols>
    <col min="1" max="1" width="22.28515625" style="4" customWidth="1"/>
    <col min="2" max="11" width="12" style="4" customWidth="1"/>
    <col min="12" max="13" width="2.28515625" style="4" customWidth="1"/>
    <col min="14" max="14" width="19.28515625" style="4" customWidth="1"/>
    <col min="15" max="15" width="83" style="4" customWidth="1"/>
    <col min="16" max="16" width="8.7109375" style="4"/>
    <col min="17" max="17" width="5.28515625" style="4" customWidth="1"/>
    <col min="18" max="18" width="12.28515625" style="4" customWidth="1"/>
    <col min="19" max="19" width="12.42578125" style="4" customWidth="1"/>
    <col min="20" max="25" width="8.7109375" style="4"/>
    <col min="26" max="26" width="10.7109375" style="1292" bestFit="1" customWidth="1"/>
    <col min="27" max="27" width="8.7109375" style="1294"/>
    <col min="28" max="16384" width="8.7109375" style="4"/>
  </cols>
  <sheetData>
    <row r="1" spans="1:27" s="1292" customFormat="1" hidden="1">
      <c r="B1" s="1292" t="s">
        <v>1359</v>
      </c>
      <c r="C1" s="1292" t="s">
        <v>1360</v>
      </c>
      <c r="D1" s="1292" t="s">
        <v>1361</v>
      </c>
      <c r="E1" s="1292" t="s">
        <v>1362</v>
      </c>
      <c r="F1" s="1292" t="s">
        <v>1363</v>
      </c>
      <c r="G1" s="1292" t="s">
        <v>1364</v>
      </c>
      <c r="H1" s="1292" t="s">
        <v>1365</v>
      </c>
      <c r="I1" s="1292" t="s">
        <v>1366</v>
      </c>
      <c r="J1" s="1292" t="s">
        <v>1367</v>
      </c>
      <c r="K1" s="1292" t="s">
        <v>1368</v>
      </c>
      <c r="AA1" s="1294">
        <v>1</v>
      </c>
    </row>
    <row r="2" spans="1:27" ht="14.1" customHeight="1">
      <c r="A2" s="3466" t="str">
        <f>CONCATENATE("PART SIX - OPERATING PRO FORMA","  -  ",'Part I-Project Identification'!$O$7," ",'Part I-Project Identification'!$F$26,", ",'Part I-Project Identification'!F27,", ",'Part I-Project Identification'!J27," County")</f>
        <v>PART SIX - OPERATING PRO FORMA  -  2024-0 Finley Place, Austell, Cobb County</v>
      </c>
      <c r="B2" s="3467"/>
      <c r="C2" s="3467"/>
      <c r="D2" s="3467"/>
      <c r="E2" s="3467"/>
      <c r="F2" s="3467"/>
      <c r="G2" s="3467"/>
      <c r="H2" s="3467"/>
      <c r="I2" s="3467"/>
      <c r="J2" s="3467"/>
      <c r="K2" s="3468"/>
      <c r="L2" s="3"/>
      <c r="M2" s="3"/>
      <c r="N2" s="3469" t="str">
        <f>A2</f>
        <v>PART SIX - OPERATING PRO FORMA  -  2024-0 Finley Place, Austell, Cobb County</v>
      </c>
      <c r="O2" s="3469"/>
      <c r="P2" s="3"/>
      <c r="Q2" s="77"/>
      <c r="R2" s="77"/>
      <c r="S2" s="77"/>
      <c r="T2" s="77"/>
      <c r="U2" s="77"/>
      <c r="V2" s="77"/>
      <c r="W2" s="77"/>
      <c r="X2" s="77"/>
      <c r="Y2" s="77"/>
      <c r="AA2" s="1294">
        <v>2</v>
      </c>
    </row>
    <row r="3" spans="1:27" ht="13.5" customHeight="1">
      <c r="A3" s="2750"/>
      <c r="B3" s="2750"/>
      <c r="C3" s="2750"/>
      <c r="D3" s="2750"/>
      <c r="E3" s="2750"/>
      <c r="F3" s="2750"/>
      <c r="G3" s="2750"/>
      <c r="H3" s="2750"/>
      <c r="I3" s="2750"/>
      <c r="J3" s="2750"/>
      <c r="K3" s="2750"/>
      <c r="L3" s="77"/>
      <c r="M3" s="77"/>
      <c r="N3" s="3352" t="s">
        <v>814</v>
      </c>
      <c r="O3" s="3352"/>
      <c r="P3" s="77"/>
      <c r="Q3" s="77"/>
      <c r="R3" s="77"/>
      <c r="S3" s="77"/>
      <c r="T3" s="77"/>
      <c r="U3" s="77"/>
      <c r="V3" s="77"/>
      <c r="W3" s="77"/>
      <c r="X3" s="77"/>
      <c r="Y3" s="77"/>
      <c r="AA3" s="1294">
        <v>3</v>
      </c>
    </row>
    <row r="4" spans="1:27" ht="13.5" customHeight="1">
      <c r="A4" s="6" t="s">
        <v>1369</v>
      </c>
      <c r="B4" s="77"/>
      <c r="C4" s="3470" t="str">
        <f>'Part I-Project Identification'!$A$6</f>
        <v>2024 May 7</v>
      </c>
      <c r="D4" s="704" t="s">
        <v>1370</v>
      </c>
      <c r="E4" s="2751"/>
      <c r="F4" s="705" t="s">
        <v>1371</v>
      </c>
      <c r="G4" s="77"/>
      <c r="H4" s="77"/>
      <c r="I4" s="77"/>
      <c r="J4" s="77"/>
      <c r="K4" s="77"/>
      <c r="L4" s="77"/>
      <c r="M4" s="77"/>
      <c r="N4" s="6" t="str">
        <f>A4</f>
        <v>I.  OPERATING ASSUMPTIONS</v>
      </c>
      <c r="O4" s="6"/>
      <c r="P4" s="77"/>
      <c r="Q4" s="77"/>
      <c r="R4" s="77"/>
      <c r="S4" s="77"/>
      <c r="T4" s="77"/>
      <c r="U4" s="77"/>
      <c r="V4" s="77"/>
      <c r="W4" s="77"/>
      <c r="X4" s="77"/>
      <c r="Y4" s="77"/>
      <c r="AA4" s="1294">
        <v>4</v>
      </c>
    </row>
    <row r="5" spans="1:27" ht="2.65" customHeight="1">
      <c r="A5" s="77"/>
      <c r="B5" s="77"/>
      <c r="C5" s="3471"/>
      <c r="D5" s="77"/>
      <c r="E5" s="77"/>
      <c r="F5" s="77"/>
      <c r="G5" s="77"/>
      <c r="H5" s="77"/>
      <c r="I5" s="77"/>
      <c r="J5" s="77"/>
      <c r="K5" s="77"/>
      <c r="L5" s="77"/>
      <c r="M5" s="77"/>
      <c r="N5" s="77"/>
      <c r="O5" s="77"/>
      <c r="P5" s="77"/>
      <c r="Q5" s="77"/>
      <c r="R5" s="77"/>
      <c r="S5" s="77"/>
      <c r="T5" s="77"/>
      <c r="U5" s="77"/>
      <c r="V5" s="77"/>
      <c r="W5" s="77"/>
      <c r="X5" s="77"/>
      <c r="Y5" s="77"/>
      <c r="AA5" s="1294">
        <v>5</v>
      </c>
    </row>
    <row r="6" spans="1:27" ht="13.5" customHeight="1">
      <c r="A6" s="77" t="s">
        <v>1372</v>
      </c>
      <c r="B6" s="2752">
        <f>'DCA Underwriting Assumptions'!$Q$114</f>
        <v>0.02</v>
      </c>
      <c r="C6" s="3471"/>
      <c r="D6" s="3364" t="s">
        <v>1373</v>
      </c>
      <c r="E6" s="3364"/>
      <c r="F6" s="3364"/>
      <c r="G6" s="2753">
        <v>7500</v>
      </c>
      <c r="H6" s="526" t="s">
        <v>1374</v>
      </c>
      <c r="I6" s="77"/>
      <c r="J6" s="77"/>
      <c r="K6" s="2754">
        <f>IF(($B$15+$B$16+$B$17+$B$18)=0,"",B31/($B$15+$B$16+$B$17+$B$18))</f>
        <v>-9.7246678594928703E-3</v>
      </c>
      <c r="L6" s="77"/>
      <c r="M6" s="77"/>
      <c r="N6" s="3365"/>
      <c r="O6" s="3367"/>
      <c r="P6" s="77"/>
      <c r="Q6" s="77"/>
      <c r="R6" s="77"/>
      <c r="S6" s="77"/>
      <c r="T6" s="77"/>
      <c r="U6" s="77"/>
      <c r="V6" s="77"/>
      <c r="W6" s="77"/>
      <c r="X6" s="77"/>
      <c r="Y6" s="77"/>
      <c r="AA6" s="1294">
        <v>6</v>
      </c>
    </row>
    <row r="7" spans="1:27">
      <c r="A7" s="77" t="s">
        <v>1375</v>
      </c>
      <c r="B7" s="2752">
        <f>'DCA Underwriting Assumptions'!$Q$117</f>
        <v>0.03</v>
      </c>
      <c r="C7" s="3471"/>
      <c r="D7" s="3364"/>
      <c r="E7" s="3364"/>
      <c r="F7" s="3364"/>
      <c r="G7" s="706">
        <f>IF(OR('Part II-Sources of Funds'!E6="Yes",'Part II-Sources of Funds'!I6&gt;0),'DCA Underwriting Assumptions'!$Q$79,0)</f>
        <v>0</v>
      </c>
      <c r="H7" s="77"/>
      <c r="I7" s="77"/>
      <c r="J7" s="77"/>
      <c r="K7" s="77"/>
      <c r="L7" s="77"/>
      <c r="M7" s="77"/>
      <c r="N7" s="3359"/>
      <c r="O7" s="3361"/>
      <c r="P7" s="77"/>
      <c r="Q7" s="77"/>
      <c r="R7" s="77"/>
      <c r="S7" s="77"/>
      <c r="T7" s="77"/>
      <c r="U7" s="77"/>
      <c r="V7" s="77"/>
      <c r="W7" s="77"/>
      <c r="X7" s="77"/>
      <c r="Y7" s="77"/>
      <c r="AA7" s="1294">
        <v>7</v>
      </c>
    </row>
    <row r="8" spans="1:27">
      <c r="A8" s="77" t="s">
        <v>1376</v>
      </c>
      <c r="B8" s="2752">
        <f>'DCA Underwriting Assumptions'!$Q$118</f>
        <v>0.03</v>
      </c>
      <c r="C8" s="3471"/>
      <c r="D8" s="43" t="s">
        <v>1377</v>
      </c>
      <c r="E8" s="77"/>
      <c r="F8" s="77"/>
      <c r="G8" s="2755"/>
      <c r="H8" s="526" t="s">
        <v>1378</v>
      </c>
      <c r="I8" s="77"/>
      <c r="J8" s="77"/>
      <c r="K8" s="2754">
        <f>IF(($B$15+$B$16+$B$17+$B$18)=0,"",-B22/($B$15+$B$16+$B$17+$B$18))</f>
        <v>6.7499567923930651E-2</v>
      </c>
      <c r="L8" s="77"/>
      <c r="M8" s="77"/>
      <c r="N8" s="3359"/>
      <c r="O8" s="3361"/>
      <c r="P8" s="77"/>
      <c r="Q8" s="77"/>
      <c r="R8" s="77"/>
      <c r="S8" s="77"/>
      <c r="T8" s="77"/>
      <c r="U8" s="77"/>
      <c r="V8" s="77"/>
      <c r="W8" s="77"/>
      <c r="X8" s="77"/>
      <c r="Y8" s="77"/>
      <c r="AA8" s="1294">
        <v>8</v>
      </c>
    </row>
    <row r="9" spans="1:27" ht="13.35" customHeight="1">
      <c r="A9" s="77" t="s">
        <v>1379</v>
      </c>
      <c r="B9" s="2756">
        <v>7.0000000000000007E-2</v>
      </c>
      <c r="C9" s="891" t="str">
        <f>IF(B9&lt;0.07, "Must be &gt;= 7%!","")</f>
        <v/>
      </c>
      <c r="D9" s="43" t="s">
        <v>1380</v>
      </c>
      <c r="E9" s="77"/>
      <c r="F9" s="77"/>
      <c r="G9" s="2757" t="s">
        <v>362</v>
      </c>
      <c r="H9" s="2758" t="s">
        <v>1381</v>
      </c>
      <c r="I9" s="77"/>
      <c r="J9" s="77"/>
      <c r="K9" s="2759">
        <v>52058</v>
      </c>
      <c r="L9" s="77"/>
      <c r="M9" s="77"/>
      <c r="N9" s="3359"/>
      <c r="O9" s="3361"/>
      <c r="P9" s="77"/>
      <c r="Q9" s="77"/>
      <c r="R9" s="77"/>
      <c r="S9" s="77"/>
      <c r="T9" s="77"/>
      <c r="U9" s="77"/>
      <c r="V9" s="77"/>
      <c r="W9" s="77"/>
      <c r="X9" s="77"/>
      <c r="Y9" s="77"/>
      <c r="AA9" s="1294">
        <v>9</v>
      </c>
    </row>
    <row r="10" spans="1:27">
      <c r="A10" s="77" t="s">
        <v>1382</v>
      </c>
      <c r="B10" s="2752">
        <v>0.02</v>
      </c>
      <c r="C10" s="77"/>
      <c r="D10" s="43" t="s">
        <v>1383</v>
      </c>
      <c r="E10" s="77"/>
      <c r="F10" s="77"/>
      <c r="G10" s="2760" t="s">
        <v>56</v>
      </c>
      <c r="H10" s="2758" t="s">
        <v>1384</v>
      </c>
      <c r="I10" s="77"/>
      <c r="J10" s="77"/>
      <c r="K10" s="2761"/>
      <c r="L10" s="77"/>
      <c r="M10" s="77"/>
      <c r="N10" s="3371"/>
      <c r="O10" s="3373"/>
      <c r="P10" s="77"/>
      <c r="Q10" s="77"/>
      <c r="R10" s="77"/>
      <c r="S10" s="77"/>
      <c r="T10" s="77"/>
      <c r="U10" s="77"/>
      <c r="V10" s="77"/>
      <c r="W10" s="77"/>
      <c r="X10" s="77"/>
      <c r="Y10" s="77"/>
      <c r="AA10" s="129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94">
        <v>11</v>
      </c>
    </row>
    <row r="12" spans="1:27">
      <c r="A12" s="6" t="s">
        <v>1385</v>
      </c>
      <c r="B12" s="77"/>
      <c r="C12" s="77"/>
      <c r="D12" s="649"/>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94">
        <v>12</v>
      </c>
    </row>
    <row r="13" spans="1:27" ht="2.6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94">
        <v>13</v>
      </c>
    </row>
    <row r="14" spans="1:27" ht="14.65"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021" t="s">
        <v>1386</v>
      </c>
      <c r="O14" s="3021"/>
      <c r="P14" s="77"/>
      <c r="Q14" s="77"/>
      <c r="R14" s="77"/>
      <c r="S14" s="77"/>
      <c r="T14" s="77"/>
      <c r="U14" s="77"/>
      <c r="V14" s="77"/>
      <c r="W14" s="77"/>
      <c r="X14" s="77"/>
      <c r="Y14" s="77"/>
      <c r="AA14" s="1294">
        <v>14</v>
      </c>
    </row>
    <row r="15" spans="1:27" ht="13.35" customHeight="1">
      <c r="A15" s="2762" t="s">
        <v>1387</v>
      </c>
      <c r="B15" s="2763">
        <f>'Part V-Revenues &amp; Expenses'!$M$50</f>
        <v>813024</v>
      </c>
      <c r="C15" s="2763">
        <f t="shared" ref="C15:K15" si="1">$B$15*(1+$B$6)^(C14-1)</f>
        <v>829284.48</v>
      </c>
      <c r="D15" s="2763">
        <f t="shared" si="1"/>
        <v>845870.16960000002</v>
      </c>
      <c r="E15" s="2763">
        <f t="shared" si="1"/>
        <v>862787.57299199991</v>
      </c>
      <c r="F15" s="2763">
        <f t="shared" si="1"/>
        <v>880043.32445184002</v>
      </c>
      <c r="G15" s="2763">
        <f t="shared" si="1"/>
        <v>897644.19094087684</v>
      </c>
      <c r="H15" s="2763">
        <f t="shared" si="1"/>
        <v>915597.0747596944</v>
      </c>
      <c r="I15" s="2763">
        <f t="shared" si="1"/>
        <v>933909.01625488803</v>
      </c>
      <c r="J15" s="2763">
        <f t="shared" si="1"/>
        <v>952587.1965799859</v>
      </c>
      <c r="K15" s="4715">
        <f t="shared" si="1"/>
        <v>971638.94051158568</v>
      </c>
      <c r="L15" s="77"/>
      <c r="M15" s="77"/>
      <c r="N15" s="3365"/>
      <c r="O15" s="3367"/>
      <c r="P15" s="77"/>
      <c r="Q15" s="77"/>
      <c r="R15" s="77"/>
      <c r="S15" s="3472" t="s">
        <v>1388</v>
      </c>
      <c r="T15" s="77"/>
      <c r="U15" s="77"/>
      <c r="V15" s="77"/>
      <c r="W15" s="77"/>
      <c r="X15" s="77"/>
      <c r="Y15" s="77"/>
      <c r="Z15" s="1292" t="s">
        <v>1389</v>
      </c>
      <c r="AA15" s="1294">
        <v>15</v>
      </c>
    </row>
    <row r="16" spans="1:27" ht="13.35" customHeight="1">
      <c r="A16" s="236" t="s">
        <v>1272</v>
      </c>
      <c r="B16" s="2764">
        <f>MIN(B15*B10,'Part V-Revenues &amp; Expenses'!$H$183)</f>
        <v>16260.48</v>
      </c>
      <c r="C16" s="2764">
        <f t="shared" ref="C16:K16" si="2">$B$16*(1+$B$6)^(C14-1)</f>
        <v>16585.689600000002</v>
      </c>
      <c r="D16" s="2764">
        <f t="shared" si="2"/>
        <v>16917.403392</v>
      </c>
      <c r="E16" s="2764">
        <f t="shared" si="2"/>
        <v>17255.751459839998</v>
      </c>
      <c r="F16" s="2764">
        <f t="shared" si="2"/>
        <v>17600.866489036798</v>
      </c>
      <c r="G16" s="2764">
        <f t="shared" si="2"/>
        <v>17952.883818817536</v>
      </c>
      <c r="H16" s="2764">
        <f t="shared" si="2"/>
        <v>18311.941495193889</v>
      </c>
      <c r="I16" s="2764">
        <f t="shared" si="2"/>
        <v>18678.180325097761</v>
      </c>
      <c r="J16" s="2764">
        <f t="shared" si="2"/>
        <v>19051.743931599718</v>
      </c>
      <c r="K16" s="2765">
        <f t="shared" si="2"/>
        <v>19432.778810231714</v>
      </c>
      <c r="L16" s="77"/>
      <c r="M16" s="77"/>
      <c r="N16" s="3359"/>
      <c r="O16" s="3361"/>
      <c r="P16" s="77"/>
      <c r="Q16" s="77"/>
      <c r="R16" s="77"/>
      <c r="S16" s="3473"/>
      <c r="T16" s="77"/>
      <c r="U16" s="77"/>
      <c r="V16" s="77"/>
      <c r="W16" s="77"/>
      <c r="X16" s="77"/>
      <c r="Y16" s="77"/>
      <c r="Z16" s="1292" t="s">
        <v>1389</v>
      </c>
      <c r="AA16" s="1294">
        <v>16</v>
      </c>
    </row>
    <row r="17" spans="1:27" ht="13.35" customHeight="1">
      <c r="A17" s="236" t="s">
        <v>1390</v>
      </c>
      <c r="B17" s="2764">
        <f t="shared" ref="B17:K17" si="3">-(B15+B16)*$B$9</f>
        <v>-58049.913600000007</v>
      </c>
      <c r="C17" s="2764">
        <f t="shared" si="3"/>
        <v>-59210.911872000004</v>
      </c>
      <c r="D17" s="2764">
        <f t="shared" si="3"/>
        <v>-60395.130109440011</v>
      </c>
      <c r="E17" s="2764">
        <f t="shared" si="3"/>
        <v>-61603.032711628795</v>
      </c>
      <c r="F17" s="2764">
        <f t="shared" si="3"/>
        <v>-62835.093365861387</v>
      </c>
      <c r="G17" s="2764">
        <f t="shared" si="3"/>
        <v>-64091.795233178615</v>
      </c>
      <c r="H17" s="2764">
        <f t="shared" si="3"/>
        <v>-65373.631137842181</v>
      </c>
      <c r="I17" s="2764">
        <f t="shared" si="3"/>
        <v>-66681.103760599013</v>
      </c>
      <c r="J17" s="2764">
        <f t="shared" si="3"/>
        <v>-68014.725835810998</v>
      </c>
      <c r="K17" s="2765">
        <f t="shared" si="3"/>
        <v>-69375.020352527223</v>
      </c>
      <c r="L17" s="77"/>
      <c r="M17" s="77"/>
      <c r="N17" s="3359"/>
      <c r="O17" s="3361"/>
      <c r="P17" s="77"/>
      <c r="Q17" s="3475" t="s">
        <v>1391</v>
      </c>
      <c r="R17" s="3475" t="s">
        <v>1392</v>
      </c>
      <c r="S17" s="3473"/>
      <c r="T17" s="77"/>
      <c r="U17" s="77"/>
      <c r="V17" s="77"/>
      <c r="W17" s="77"/>
      <c r="X17" s="77"/>
      <c r="Y17" s="77"/>
      <c r="Z17" s="1292" t="s">
        <v>1389</v>
      </c>
      <c r="AA17" s="1294">
        <v>17</v>
      </c>
    </row>
    <row r="18" spans="1:27" ht="13.35" customHeight="1">
      <c r="A18" s="236" t="s">
        <v>1393</v>
      </c>
      <c r="B18" s="2764">
        <f>+'Part V-Revenues &amp; Expenses'!H189</f>
        <v>0</v>
      </c>
      <c r="C18" s="2764">
        <f>+'Part V-Revenues &amp; Expenses'!I189</f>
        <v>0</v>
      </c>
      <c r="D18" s="2764">
        <f>+'Part V-Revenues &amp; Expenses'!J189</f>
        <v>0</v>
      </c>
      <c r="E18" s="2764">
        <f>+'Part V-Revenues &amp; Expenses'!K189</f>
        <v>0</v>
      </c>
      <c r="F18" s="2764">
        <f>+'Part V-Revenues &amp; Expenses'!L189</f>
        <v>0</v>
      </c>
      <c r="G18" s="2764">
        <f>+'Part V-Revenues &amp; Expenses'!M189</f>
        <v>0</v>
      </c>
      <c r="H18" s="2764">
        <f>+'Part V-Revenues &amp; Expenses'!N189</f>
        <v>0</v>
      </c>
      <c r="I18" s="2764">
        <f>+'Part V-Revenues &amp; Expenses'!O189</f>
        <v>0</v>
      </c>
      <c r="J18" s="2764">
        <f>+'Part V-Revenues &amp; Expenses'!P189</f>
        <v>0</v>
      </c>
      <c r="K18" s="2765">
        <f>+'Part V-Revenues &amp; Expenses'!Q189</f>
        <v>0</v>
      </c>
      <c r="L18" s="77"/>
      <c r="M18" s="77"/>
      <c r="N18" s="3359"/>
      <c r="O18" s="3361"/>
      <c r="P18" s="77"/>
      <c r="Q18" s="3475"/>
      <c r="R18" s="3475"/>
      <c r="S18" s="3474"/>
      <c r="T18" s="77"/>
      <c r="U18" s="77"/>
      <c r="V18" s="77"/>
      <c r="W18" s="77"/>
      <c r="X18" s="77"/>
      <c r="Y18" s="77"/>
      <c r="Z18" s="1292" t="s">
        <v>1389</v>
      </c>
      <c r="AA18" s="1294">
        <v>18</v>
      </c>
    </row>
    <row r="19" spans="1:27" ht="13.35" customHeight="1">
      <c r="A19" s="236" t="s">
        <v>1394</v>
      </c>
      <c r="B19" s="2764">
        <f>'Part V-Revenues &amp; Expenses'!H193</f>
        <v>0</v>
      </c>
      <c r="C19" s="2764">
        <f>'Part V-Revenues &amp; Expenses'!I193</f>
        <v>0</v>
      </c>
      <c r="D19" s="2764">
        <f>'Part V-Revenues &amp; Expenses'!J193</f>
        <v>0</v>
      </c>
      <c r="E19" s="2764">
        <f>'Part V-Revenues &amp; Expenses'!K193</f>
        <v>0</v>
      </c>
      <c r="F19" s="2764">
        <f>'Part V-Revenues &amp; Expenses'!L193</f>
        <v>0</v>
      </c>
      <c r="G19" s="2764">
        <f>'Part V-Revenues &amp; Expenses'!M193</f>
        <v>0</v>
      </c>
      <c r="H19" s="2764">
        <f>'Part V-Revenues &amp; Expenses'!N193</f>
        <v>0</v>
      </c>
      <c r="I19" s="2764">
        <f>'Part V-Revenues &amp; Expenses'!O193</f>
        <v>0</v>
      </c>
      <c r="J19" s="2764">
        <f>'Part V-Revenues &amp; Expenses'!P193</f>
        <v>0</v>
      </c>
      <c r="K19" s="2765">
        <f>'Part V-Revenues &amp; Expenses'!Q193</f>
        <v>0</v>
      </c>
      <c r="L19" s="77"/>
      <c r="M19" s="77"/>
      <c r="N19" s="3359"/>
      <c r="O19" s="3361"/>
      <c r="P19" s="77"/>
      <c r="Q19" s="77"/>
      <c r="R19" s="77"/>
      <c r="S19" s="77"/>
      <c r="T19" s="77"/>
      <c r="U19" s="77"/>
      <c r="V19" s="77"/>
      <c r="W19" s="77"/>
      <c r="X19" s="77"/>
      <c r="Y19" s="77"/>
      <c r="Z19" s="1292" t="s">
        <v>1389</v>
      </c>
      <c r="AA19" s="1294">
        <v>19</v>
      </c>
    </row>
    <row r="20" spans="1:27" ht="13.35" customHeight="1">
      <c r="A20" s="236" t="s">
        <v>1395</v>
      </c>
      <c r="B20" s="2764">
        <f>SUM(B15:B19)</f>
        <v>771234.56640000001</v>
      </c>
      <c r="C20" s="2764">
        <f t="shared" ref="C20:K20" si="4">SUM(C15:C19)</f>
        <v>786659.25772800006</v>
      </c>
      <c r="D20" s="2764">
        <f t="shared" si="4"/>
        <v>802392.44288255996</v>
      </c>
      <c r="E20" s="2764">
        <f t="shared" si="4"/>
        <v>818440.29174021108</v>
      </c>
      <c r="F20" s="2764">
        <f t="shared" si="4"/>
        <v>834809.0975750155</v>
      </c>
      <c r="G20" s="2764">
        <f t="shared" si="4"/>
        <v>851505.27952651575</v>
      </c>
      <c r="H20" s="2764">
        <f t="shared" si="4"/>
        <v>868535.38511704607</v>
      </c>
      <c r="I20" s="2764">
        <f t="shared" si="4"/>
        <v>885906.09281938674</v>
      </c>
      <c r="J20" s="2764">
        <f t="shared" si="4"/>
        <v>903624.21467577468</v>
      </c>
      <c r="K20" s="2765">
        <f t="shared" si="4"/>
        <v>921696.69896929013</v>
      </c>
      <c r="L20" s="77"/>
      <c r="M20" s="77"/>
      <c r="N20" s="3359"/>
      <c r="O20" s="3361"/>
      <c r="P20" s="77"/>
      <c r="Q20" s="77"/>
      <c r="R20" s="77"/>
      <c r="S20" s="77"/>
      <c r="T20" s="77"/>
      <c r="U20" s="77"/>
      <c r="V20" s="77"/>
      <c r="W20" s="77"/>
      <c r="X20" s="77"/>
      <c r="Y20" s="77"/>
      <c r="Z20" s="1292" t="s">
        <v>1389</v>
      </c>
      <c r="AA20" s="1294">
        <v>20</v>
      </c>
    </row>
    <row r="21" spans="1:27" ht="13.35" customHeight="1">
      <c r="A21" s="236" t="s">
        <v>1396</v>
      </c>
      <c r="B21" s="2764">
        <f>-('Part V-Revenues &amp; Expenses'!$Q$232-'Part V-Revenues &amp; Expenses'!$Q$224)</f>
        <v>-400329</v>
      </c>
      <c r="C21" s="2764">
        <f t="shared" ref="C21:K21" si="5">$B$21*(1+$B$7)^(C14-1)</f>
        <v>-412338.87</v>
      </c>
      <c r="D21" s="2764">
        <f t="shared" si="5"/>
        <v>-424709.03609999997</v>
      </c>
      <c r="E21" s="2764">
        <f t="shared" si="5"/>
        <v>-437450.30718300003</v>
      </c>
      <c r="F21" s="2764">
        <f t="shared" si="5"/>
        <v>-450573.81639848999</v>
      </c>
      <c r="G21" s="2764">
        <f t="shared" si="5"/>
        <v>-464091.03089044464</v>
      </c>
      <c r="H21" s="2764">
        <f t="shared" si="5"/>
        <v>-478013.76181715803</v>
      </c>
      <c r="I21" s="2764">
        <f t="shared" si="5"/>
        <v>-492354.17467167275</v>
      </c>
      <c r="J21" s="2764">
        <f t="shared" si="5"/>
        <v>-507124.79991182289</v>
      </c>
      <c r="K21" s="2765">
        <f t="shared" si="5"/>
        <v>-522338.54390917759</v>
      </c>
      <c r="L21" s="77"/>
      <c r="M21" s="77"/>
      <c r="N21" s="3359"/>
      <c r="O21" s="3361"/>
      <c r="P21" s="77"/>
      <c r="Q21" s="58">
        <v>1</v>
      </c>
      <c r="R21" s="2766">
        <f>-B32</f>
        <v>6582</v>
      </c>
      <c r="S21" s="2766">
        <f>B33+R21</f>
        <v>62034.330067593255</v>
      </c>
      <c r="T21" s="77"/>
      <c r="U21" s="77"/>
      <c r="V21" s="77"/>
      <c r="W21" s="77"/>
      <c r="X21" s="77"/>
      <c r="Y21" s="77"/>
      <c r="Z21" s="1292" t="s">
        <v>1389</v>
      </c>
      <c r="AA21" s="1294">
        <v>21</v>
      </c>
    </row>
    <row r="22" spans="1:27" ht="13.35" customHeight="1">
      <c r="A22" s="236" t="s">
        <v>1397</v>
      </c>
      <c r="B22" s="2764">
        <f>IF(AND('Part VI-Pro Forma'!$G$9="Yes",'Part VI-Pro Forma'!$G$10="Yes"),"Choose One!",IF('Part VI-Pro Forma'!$G$9="Yes",ROUND((-$K$9*(1+'Part VI-Pro Forma'!$B$7)^('Part VI-Pro Forma'!B14-1)),),IF('Part VI-Pro Forma'!$G$10="Yes",ROUND((-(SUM(B15:B18)*'Part VI-Pro Forma'!$K$10)),),"Choose mgt fee")))</f>
        <v>-52058</v>
      </c>
      <c r="C22" s="2764">
        <f>IF(AND('Part VI-Pro Forma'!$G$9="Yes",'Part VI-Pro Forma'!$G$10="Yes"),"Choose One!",IF('Part VI-Pro Forma'!$G$9="Yes",ROUND((-$K$9*(1+'Part VI-Pro Forma'!$B$7)^('Part VI-Pro Forma'!C14-1)),),IF('Part VI-Pro Forma'!$G$10="Yes",ROUND((-(SUM(C15:C18)*'Part VI-Pro Forma'!$K$10)),),"Choose mgt fee")))</f>
        <v>-53620</v>
      </c>
      <c r="D22" s="2764">
        <f>IF(AND('Part VI-Pro Forma'!$G$9="Yes",'Part VI-Pro Forma'!$G$10="Yes"),"Choose One!",IF('Part VI-Pro Forma'!$G$9="Yes",ROUND((-$K$9*(1+'Part VI-Pro Forma'!$B$7)^('Part VI-Pro Forma'!D14-1)),),IF('Part VI-Pro Forma'!$G$10="Yes",ROUND((-(SUM(D15:D18)*'Part VI-Pro Forma'!$K$10)),),"Choose mgt fee")))</f>
        <v>-55228</v>
      </c>
      <c r="E22" s="2764">
        <f>IF(AND('Part VI-Pro Forma'!$G$9="Yes",'Part VI-Pro Forma'!$G$10="Yes"),"Choose One!",IF('Part VI-Pro Forma'!$G$9="Yes",ROUND((-$K$9*(1+'Part VI-Pro Forma'!$B$7)^('Part VI-Pro Forma'!E14-1)),),IF('Part VI-Pro Forma'!$G$10="Yes",ROUND((-(SUM(E15:E18)*'Part VI-Pro Forma'!$K$10)),),"Choose mgt fee")))</f>
        <v>-56885</v>
      </c>
      <c r="F22" s="2764">
        <f>IF(AND('Part VI-Pro Forma'!$G$9="Yes",'Part VI-Pro Forma'!$G$10="Yes"),"Choose One!",IF('Part VI-Pro Forma'!$G$9="Yes",ROUND((-$K$9*(1+'Part VI-Pro Forma'!$B$7)^('Part VI-Pro Forma'!F14-1)),),IF('Part VI-Pro Forma'!$G$10="Yes",ROUND((-(SUM(F15:F18)*'Part VI-Pro Forma'!$K$10)),),"Choose mgt fee")))</f>
        <v>-58592</v>
      </c>
      <c r="G22" s="2764">
        <f>IF(AND('Part VI-Pro Forma'!$G$9="Yes",'Part VI-Pro Forma'!$G$10="Yes"),"Choose One!",IF('Part VI-Pro Forma'!$G$9="Yes",ROUND((-$K$9*(1+'Part VI-Pro Forma'!$B$7)^('Part VI-Pro Forma'!G14-1)),),IF('Part VI-Pro Forma'!$G$10="Yes",ROUND((-(SUM(G15:G18)*'Part VI-Pro Forma'!$K$10)),),"Choose mgt fee")))</f>
        <v>-60349</v>
      </c>
      <c r="H22" s="2764">
        <f>IF(AND('Part VI-Pro Forma'!$G$9="Yes",'Part VI-Pro Forma'!$G$10="Yes"),"Choose One!",IF('Part VI-Pro Forma'!$G$9="Yes",ROUND((-$K$9*(1+'Part VI-Pro Forma'!$B$7)^('Part VI-Pro Forma'!H14-1)),),IF('Part VI-Pro Forma'!$G$10="Yes",ROUND((-(SUM(H15:H18)*'Part VI-Pro Forma'!$K$10)),),"Choose mgt fee")))</f>
        <v>-62160</v>
      </c>
      <c r="I22" s="2764">
        <f>IF(AND('Part VI-Pro Forma'!$G$9="Yes",'Part VI-Pro Forma'!$G$10="Yes"),"Choose One!",IF('Part VI-Pro Forma'!$G$9="Yes",ROUND((-$K$9*(1+'Part VI-Pro Forma'!$B$7)^('Part VI-Pro Forma'!I14-1)),),IF('Part VI-Pro Forma'!$G$10="Yes",ROUND((-(SUM(I15:I18)*'Part VI-Pro Forma'!$K$10)),),"Choose mgt fee")))</f>
        <v>-64025</v>
      </c>
      <c r="J22" s="2764">
        <f>IF(AND('Part VI-Pro Forma'!$G$9="Yes",'Part VI-Pro Forma'!$G$10="Yes"),"Choose One!",IF('Part VI-Pro Forma'!$G$9="Yes",ROUND((-$K$9*(1+'Part VI-Pro Forma'!$B$7)^('Part VI-Pro Forma'!J14-1)),),IF('Part VI-Pro Forma'!$G$10="Yes",ROUND((-(SUM(J15:J18)*'Part VI-Pro Forma'!$K$10)),),"Choose mgt fee")))</f>
        <v>-65946</v>
      </c>
      <c r="K22" s="2765">
        <f>IF(AND('Part VI-Pro Forma'!$G$9="Yes",'Part VI-Pro Forma'!$G$10="Yes"),"Choose One!",IF('Part VI-Pro Forma'!$G$9="Yes",ROUND((-$K$9*(1+'Part VI-Pro Forma'!$B$7)^('Part VI-Pro Forma'!K14-1)),),IF('Part VI-Pro Forma'!$G$10="Yes",ROUND((-(SUM(K15:K18)*'Part VI-Pro Forma'!$K$10)),),"Choose mgt fee")))</f>
        <v>-67924</v>
      </c>
      <c r="L22" s="77"/>
      <c r="M22" s="77"/>
      <c r="N22" s="3359"/>
      <c r="O22" s="3361"/>
      <c r="P22" s="77"/>
      <c r="Q22" s="58">
        <v>2</v>
      </c>
      <c r="R22" s="2766">
        <f>-SUM(B32:C32)</f>
        <v>6582</v>
      </c>
      <c r="S22" s="2766">
        <f>SUM(B33:C33)+R22</f>
        <v>125399.48146318656</v>
      </c>
      <c r="T22" s="77"/>
      <c r="U22" s="77"/>
      <c r="V22" s="77"/>
      <c r="W22" s="77"/>
      <c r="X22" s="77"/>
      <c r="Y22" s="77"/>
      <c r="Z22" s="1292" t="s">
        <v>1389</v>
      </c>
      <c r="AA22" s="1294">
        <v>22</v>
      </c>
    </row>
    <row r="23" spans="1:27" ht="13.35" customHeight="1">
      <c r="A23" s="236" t="s">
        <v>1398</v>
      </c>
      <c r="B23" s="2764">
        <f>-('Part V-Revenues &amp; Expenses'!$Q$238)</f>
        <v>-17400</v>
      </c>
      <c r="C23" s="2764">
        <f t="shared" ref="C23:K23" si="6">$B$23*(1+$B$8)^(C14-1)</f>
        <v>-17922</v>
      </c>
      <c r="D23" s="2764">
        <f t="shared" si="6"/>
        <v>-18459.66</v>
      </c>
      <c r="E23" s="2764">
        <f t="shared" si="6"/>
        <v>-19013.449799999999</v>
      </c>
      <c r="F23" s="2764">
        <f t="shared" si="6"/>
        <v>-19583.853293999997</v>
      </c>
      <c r="G23" s="2764">
        <f t="shared" si="6"/>
        <v>-20171.368892819999</v>
      </c>
      <c r="H23" s="2764">
        <f t="shared" si="6"/>
        <v>-20776.509959604598</v>
      </c>
      <c r="I23" s="2764">
        <f t="shared" si="6"/>
        <v>-21399.805258392738</v>
      </c>
      <c r="J23" s="2764">
        <f t="shared" si="6"/>
        <v>-22041.799416144517</v>
      </c>
      <c r="K23" s="2765">
        <f t="shared" si="6"/>
        <v>-22703.053398628854</v>
      </c>
      <c r="L23" s="77"/>
      <c r="M23" s="77"/>
      <c r="N23" s="3359"/>
      <c r="O23" s="3361"/>
      <c r="P23" s="77"/>
      <c r="Q23" s="58">
        <v>3</v>
      </c>
      <c r="R23" s="2766">
        <f>-SUM(B32:D32)</f>
        <v>6582</v>
      </c>
      <c r="S23" s="2766">
        <f>SUM(B33:D33)+R23</f>
        <v>189981.99191333982</v>
      </c>
      <c r="T23" s="77"/>
      <c r="U23" s="77"/>
      <c r="V23" s="77"/>
      <c r="W23" s="77"/>
      <c r="X23" s="77"/>
      <c r="Y23" s="77"/>
      <c r="Z23" s="1292" t="s">
        <v>1389</v>
      </c>
      <c r="AA23" s="1294">
        <v>23</v>
      </c>
    </row>
    <row r="24" spans="1:27" ht="13.35" customHeight="1">
      <c r="A24" s="236" t="s">
        <v>1399</v>
      </c>
      <c r="B24" s="2767">
        <f>IF(B14&lt;=+'Part V-Revenues &amp; Expenses'!$N$255,-'Part V-Revenues &amp; Expenses'!$K$255,0)</f>
        <v>0</v>
      </c>
      <c r="C24" s="2767">
        <f>IF(C14&lt;=+'Part V-Revenues &amp; Expenses'!$N$255,-'Part V-Revenues &amp; Expenses'!$K$255,0)</f>
        <v>0</v>
      </c>
      <c r="D24" s="2767">
        <f>IF(D14&lt;=+'Part V-Revenues &amp; Expenses'!$N$255,-'Part V-Revenues &amp; Expenses'!$K$255,0)</f>
        <v>0</v>
      </c>
      <c r="E24" s="2767">
        <f>IF(E14&lt;=+'Part V-Revenues &amp; Expenses'!$N$255,-'Part V-Revenues &amp; Expenses'!$K$255,0)</f>
        <v>0</v>
      </c>
      <c r="F24" s="2767">
        <f>IF(F14&lt;=+'Part V-Revenues &amp; Expenses'!$N$255,-'Part V-Revenues &amp; Expenses'!$K$255,0)</f>
        <v>0</v>
      </c>
      <c r="G24" s="2767">
        <f>IF(G14&lt;=+'Part V-Revenues &amp; Expenses'!$N$255,-'Part V-Revenues &amp; Expenses'!$K$255,0)</f>
        <v>0</v>
      </c>
      <c r="H24" s="2767">
        <f>IF(H14&lt;=+'Part V-Revenues &amp; Expenses'!$N$255,-'Part V-Revenues &amp; Expenses'!$K$255,0)</f>
        <v>0</v>
      </c>
      <c r="I24" s="2767">
        <f>IF(I14&lt;=+'Part V-Revenues &amp; Expenses'!$N$255,-'Part V-Revenues &amp; Expenses'!$K$255,0)</f>
        <v>0</v>
      </c>
      <c r="J24" s="2767">
        <f>IF(J14&lt;=+'Part V-Revenues &amp; Expenses'!$N$255,-'Part V-Revenues &amp; Expenses'!$K$255,0)</f>
        <v>0</v>
      </c>
      <c r="K24" s="2767">
        <f>IF(K14&lt;=+'Part V-Revenues &amp; Expenses'!$N$255,-'Part V-Revenues &amp; Expenses'!$K$255,0)</f>
        <v>0</v>
      </c>
      <c r="L24" s="77"/>
      <c r="M24" s="77"/>
      <c r="N24" s="3359"/>
      <c r="O24" s="3361"/>
      <c r="P24" s="77"/>
      <c r="Q24" s="58">
        <v>4</v>
      </c>
      <c r="R24" s="2766">
        <f>-SUM(B32:E32)</f>
        <v>6582</v>
      </c>
      <c r="S24" s="2766">
        <f>SUM(B33:E33)+R24</f>
        <v>255660.29033814411</v>
      </c>
      <c r="T24" s="77"/>
      <c r="U24" s="77"/>
      <c r="V24" s="77"/>
      <c r="W24" s="77"/>
      <c r="X24" s="77"/>
      <c r="Y24" s="77"/>
      <c r="Z24" s="1292" t="s">
        <v>1389</v>
      </c>
      <c r="AA24" s="1294">
        <v>24</v>
      </c>
    </row>
    <row r="25" spans="1:27" ht="13.35" customHeight="1">
      <c r="A25" s="236" t="s">
        <v>1400</v>
      </c>
      <c r="B25" s="2764">
        <f>SUM(B20:B24)</f>
        <v>301447.56640000001</v>
      </c>
      <c r="C25" s="2764">
        <f t="shared" ref="C25:J25" si="7">SUM(C20:C24)</f>
        <v>302778.38772800006</v>
      </c>
      <c r="D25" s="2764">
        <f t="shared" si="7"/>
        <v>303995.74678256002</v>
      </c>
      <c r="E25" s="2764">
        <f t="shared" si="7"/>
        <v>305091.53475721105</v>
      </c>
      <c r="F25" s="2764">
        <f t="shared" si="7"/>
        <v>306059.42788252555</v>
      </c>
      <c r="G25" s="2764">
        <f t="shared" si="7"/>
        <v>306893.87974325113</v>
      </c>
      <c r="H25" s="2764">
        <f t="shared" si="7"/>
        <v>307585.11334028345</v>
      </c>
      <c r="I25" s="2764">
        <f t="shared" si="7"/>
        <v>308127.11288932123</v>
      </c>
      <c r="J25" s="2764">
        <f t="shared" si="7"/>
        <v>308511.6153478073</v>
      </c>
      <c r="K25" s="2768">
        <f>SUM(K20:K24)</f>
        <v>308731.1016614837</v>
      </c>
      <c r="L25" s="77"/>
      <c r="M25" s="77"/>
      <c r="N25" s="3359"/>
      <c r="O25" s="3361"/>
      <c r="P25" s="77"/>
      <c r="Q25" s="58">
        <v>5</v>
      </c>
      <c r="R25" s="2766">
        <f>-SUM(B32:F32)</f>
        <v>6582</v>
      </c>
      <c r="S25" s="2766">
        <f>SUM(B33:F33)+R25</f>
        <v>322306.4818882629</v>
      </c>
      <c r="T25" s="77"/>
      <c r="U25" s="77"/>
      <c r="V25" s="77"/>
      <c r="W25" s="77"/>
      <c r="X25" s="77"/>
      <c r="Y25" s="77"/>
      <c r="Z25" s="1292" t="s">
        <v>1389</v>
      </c>
      <c r="AA25" s="1294">
        <v>25</v>
      </c>
    </row>
    <row r="26" spans="1:27" ht="13.35" customHeight="1">
      <c r="A26" s="236" t="s">
        <v>406</v>
      </c>
      <c r="B26" s="2769">
        <f>IF('Part II-Sources of Funds'!$P$40="", 0,-'Part II-Sources of Funds'!$P$40)</f>
        <v>-231913.23633240676</v>
      </c>
      <c r="C26" s="2769">
        <f>IF('Part II-Sources of Funds'!$P$40="", 0,-'Part II-Sources of Funds'!$P$40)</f>
        <v>-231913.23633240676</v>
      </c>
      <c r="D26" s="2769">
        <f>IF('Part II-Sources of Funds'!$P$40="", 0,-'Part II-Sources of Funds'!$P$40)</f>
        <v>-231913.23633240676</v>
      </c>
      <c r="E26" s="2769">
        <f>IF('Part II-Sources of Funds'!$P$40="", 0,-'Part II-Sources of Funds'!$P$40)</f>
        <v>-231913.23633240676</v>
      </c>
      <c r="F26" s="2769">
        <f>IF('Part II-Sources of Funds'!$P$40="", 0,-'Part II-Sources of Funds'!$P$40)</f>
        <v>-231913.23633240676</v>
      </c>
      <c r="G26" s="2769">
        <f>IF('Part II-Sources of Funds'!$P$40="", 0,-'Part II-Sources of Funds'!$P$40)</f>
        <v>-231913.23633240676</v>
      </c>
      <c r="H26" s="2769">
        <f>IF('Part II-Sources of Funds'!$P$40="", 0,-'Part II-Sources of Funds'!$P$40)</f>
        <v>-231913.23633240676</v>
      </c>
      <c r="I26" s="2769">
        <f>IF('Part II-Sources of Funds'!$P$40="", 0,-'Part II-Sources of Funds'!$P$40)</f>
        <v>-231913.23633240676</v>
      </c>
      <c r="J26" s="2769">
        <f>IF('Part II-Sources of Funds'!$P$40="", 0,-'Part II-Sources of Funds'!$P$40)</f>
        <v>-231913.23633240676</v>
      </c>
      <c r="K26" s="2769">
        <f>IF('Part II-Sources of Funds'!$P$40="", 0,-'Part II-Sources of Funds'!$P$40)</f>
        <v>-231913.23633240676</v>
      </c>
      <c r="L26" s="77"/>
      <c r="M26" s="77"/>
      <c r="N26" s="3359"/>
      <c r="O26" s="3361"/>
      <c r="P26" s="77"/>
      <c r="Q26" s="58">
        <v>6</v>
      </c>
      <c r="R26" s="2766">
        <f>-SUM(B32:G32)</f>
        <v>6582</v>
      </c>
      <c r="S26" s="2766">
        <f>SUM(B33:G33)+R26</f>
        <v>389787.12529910728</v>
      </c>
      <c r="T26" s="77"/>
      <c r="U26" s="77"/>
      <c r="V26" s="77"/>
      <c r="W26" s="77"/>
      <c r="X26" s="77"/>
      <c r="Y26" s="77"/>
      <c r="Z26" s="1292" t="s">
        <v>1389</v>
      </c>
      <c r="AA26" s="1294">
        <v>26</v>
      </c>
    </row>
    <row r="27" spans="1:27" ht="13.35" customHeight="1">
      <c r="A27" s="236" t="s">
        <v>409</v>
      </c>
      <c r="B27" s="2770">
        <f>IF('Part II-Sources of Funds'!$P$41="", 0,-'Part II-Sources of Funds'!$P$41)</f>
        <v>0</v>
      </c>
      <c r="C27" s="2770">
        <f>IF('Part II-Sources of Funds'!$P$41="", 0,-'Part II-Sources of Funds'!$P$41)</f>
        <v>0</v>
      </c>
      <c r="D27" s="2770">
        <f>IF('Part II-Sources of Funds'!$P$41="", 0,-'Part II-Sources of Funds'!$P$41)</f>
        <v>0</v>
      </c>
      <c r="E27" s="2770">
        <f>IF('Part II-Sources of Funds'!$P$41="", 0,-'Part II-Sources of Funds'!$P$41)</f>
        <v>0</v>
      </c>
      <c r="F27" s="2770">
        <f>IF('Part II-Sources of Funds'!$P$41="", 0,-'Part II-Sources of Funds'!$P$41)</f>
        <v>0</v>
      </c>
      <c r="G27" s="2770">
        <f>IF('Part II-Sources of Funds'!$P$41="", 0,-'Part II-Sources of Funds'!$P$41)</f>
        <v>0</v>
      </c>
      <c r="H27" s="2770">
        <f>IF('Part II-Sources of Funds'!$P$41="", 0,-'Part II-Sources of Funds'!$P$41)</f>
        <v>0</v>
      </c>
      <c r="I27" s="2770">
        <f>IF('Part II-Sources of Funds'!$P$41="", 0,-'Part II-Sources of Funds'!$P$41)</f>
        <v>0</v>
      </c>
      <c r="J27" s="2770">
        <f>IF('Part II-Sources of Funds'!$P$41="", 0,-'Part II-Sources of Funds'!$P$41)</f>
        <v>0</v>
      </c>
      <c r="K27" s="2770">
        <f>IF('Part II-Sources of Funds'!$P$41="", 0,-'Part II-Sources of Funds'!$P$41)</f>
        <v>0</v>
      </c>
      <c r="L27" s="77"/>
      <c r="M27" s="77"/>
      <c r="N27" s="3359"/>
      <c r="O27" s="3361"/>
      <c r="P27" s="77"/>
      <c r="Q27" s="58">
        <v>7</v>
      </c>
      <c r="R27" s="2766">
        <f>-SUM(B32:H32)</f>
        <v>6582</v>
      </c>
      <c r="S27" s="2766">
        <f>SUM(B33:H33)+R27</f>
        <v>457959.00230698398</v>
      </c>
      <c r="T27" s="77"/>
      <c r="U27" s="77"/>
      <c r="V27" s="77"/>
      <c r="W27" s="77"/>
      <c r="X27" s="77"/>
      <c r="Y27" s="77"/>
      <c r="Z27" s="1292" t="s">
        <v>1389</v>
      </c>
      <c r="AA27" s="1294">
        <v>27</v>
      </c>
    </row>
    <row r="28" spans="1:27" ht="13.35" customHeight="1">
      <c r="A28" s="236" t="s">
        <v>412</v>
      </c>
      <c r="B28" s="2770">
        <f>IF('Part II-Sources of Funds'!$P$42="", 0,-'Part II-Sources of Funds'!$P$42)</f>
        <v>0</v>
      </c>
      <c r="C28" s="2770">
        <f>IF('Part II-Sources of Funds'!$P$42="", 0,-'Part II-Sources of Funds'!$P$42)</f>
        <v>0</v>
      </c>
      <c r="D28" s="2770">
        <f>IF('Part II-Sources of Funds'!$P$42="", 0,-'Part II-Sources of Funds'!$P$42)</f>
        <v>0</v>
      </c>
      <c r="E28" s="2770">
        <f>IF('Part II-Sources of Funds'!$P$42="", 0,-'Part II-Sources of Funds'!$P$42)</f>
        <v>0</v>
      </c>
      <c r="F28" s="2770">
        <f>IF('Part II-Sources of Funds'!$P$42="", 0,-'Part II-Sources of Funds'!$P$42)</f>
        <v>0</v>
      </c>
      <c r="G28" s="2770">
        <f>IF('Part II-Sources of Funds'!$P$42="", 0,-'Part II-Sources of Funds'!$P$42)</f>
        <v>0</v>
      </c>
      <c r="H28" s="2770">
        <f>IF('Part II-Sources of Funds'!$P$42="", 0,-'Part II-Sources of Funds'!$P$42)</f>
        <v>0</v>
      </c>
      <c r="I28" s="2770">
        <f>IF('Part II-Sources of Funds'!$P$42="", 0,-'Part II-Sources of Funds'!$P$42)</f>
        <v>0</v>
      </c>
      <c r="J28" s="2770">
        <f>IF('Part II-Sources of Funds'!$P$42="", 0,-'Part II-Sources of Funds'!$P$42)</f>
        <v>0</v>
      </c>
      <c r="K28" s="2770">
        <f>IF('Part II-Sources of Funds'!$P$42="", 0,-'Part II-Sources of Funds'!$P$42)</f>
        <v>0</v>
      </c>
      <c r="L28" s="77"/>
      <c r="M28" s="77"/>
      <c r="N28" s="3359"/>
      <c r="O28" s="3361"/>
      <c r="P28" s="77"/>
      <c r="Q28" s="58">
        <v>8</v>
      </c>
      <c r="R28" s="2766">
        <f>-SUM(B32:I32)</f>
        <v>6582</v>
      </c>
      <c r="S28" s="2766">
        <f>SUM(B33:I33)+R28</f>
        <v>526672.87886389846</v>
      </c>
      <c r="T28" s="77"/>
      <c r="U28" s="77"/>
      <c r="V28" s="77"/>
      <c r="W28" s="77"/>
      <c r="X28" s="77"/>
      <c r="Y28" s="77"/>
      <c r="Z28" s="1292" t="s">
        <v>1389</v>
      </c>
      <c r="AA28" s="1294">
        <v>28</v>
      </c>
    </row>
    <row r="29" spans="1:27" ht="13.35" customHeight="1">
      <c r="A29" s="236" t="s">
        <v>1401</v>
      </c>
      <c r="B29" s="2770">
        <f>IF('Part II-Sources of Funds'!$P$43="", 0,-'Part II-Sources of Funds'!$P$43)</f>
        <v>0</v>
      </c>
      <c r="C29" s="2770">
        <f>IF('Part II-Sources of Funds'!$P$43="", 0,-'Part II-Sources of Funds'!$P$43)</f>
        <v>0</v>
      </c>
      <c r="D29" s="2770">
        <f>IF('Part II-Sources of Funds'!$P$43="", 0,-'Part II-Sources of Funds'!$P$43)</f>
        <v>0</v>
      </c>
      <c r="E29" s="2770">
        <f>IF('Part II-Sources of Funds'!$P$43="", 0,-'Part II-Sources of Funds'!$P$43)</f>
        <v>0</v>
      </c>
      <c r="F29" s="2770">
        <f>IF('Part II-Sources of Funds'!$P$43="", 0,-'Part II-Sources of Funds'!$P$43)</f>
        <v>0</v>
      </c>
      <c r="G29" s="2770">
        <f>IF('Part II-Sources of Funds'!$P$43="", 0,-'Part II-Sources of Funds'!$P$43)</f>
        <v>0</v>
      </c>
      <c r="H29" s="2770">
        <f>IF('Part II-Sources of Funds'!$P$43="", 0,-'Part II-Sources of Funds'!$P$43)</f>
        <v>0</v>
      </c>
      <c r="I29" s="2770">
        <f>IF('Part II-Sources of Funds'!$P$43="", 0,-'Part II-Sources of Funds'!$P$43)</f>
        <v>0</v>
      </c>
      <c r="J29" s="2770">
        <f>IF('Part II-Sources of Funds'!$P$43="", 0,-'Part II-Sources of Funds'!$P$43)</f>
        <v>0</v>
      </c>
      <c r="K29" s="2770">
        <f>IF('Part II-Sources of Funds'!$P$43="", 0,-'Part II-Sources of Funds'!$P$43)</f>
        <v>0</v>
      </c>
      <c r="L29" s="77"/>
      <c r="M29" s="77"/>
      <c r="N29" s="3359"/>
      <c r="O29" s="3361"/>
      <c r="P29" s="77"/>
      <c r="Q29" s="58">
        <v>9</v>
      </c>
      <c r="R29" s="2766">
        <f>-SUM(B32:J32)</f>
        <v>6582</v>
      </c>
      <c r="S29" s="2766">
        <f>SUM(B33:J33)+R29</f>
        <v>595771.257879299</v>
      </c>
      <c r="T29" s="77"/>
      <c r="U29" s="77"/>
      <c r="V29" s="77"/>
      <c r="W29" s="77"/>
      <c r="X29" s="77"/>
      <c r="Y29" s="77"/>
      <c r="Z29" s="1292" t="s">
        <v>1389</v>
      </c>
      <c r="AA29" s="1294">
        <v>29</v>
      </c>
    </row>
    <row r="30" spans="1:27" ht="13.35" customHeight="1">
      <c r="A30" s="236" t="s">
        <v>1402</v>
      </c>
      <c r="B30" s="2771"/>
      <c r="C30" s="2771"/>
      <c r="D30" s="2771"/>
      <c r="E30" s="2771"/>
      <c r="F30" s="2771"/>
      <c r="G30" s="2771"/>
      <c r="H30" s="2771"/>
      <c r="I30" s="2771"/>
      <c r="J30" s="2771"/>
      <c r="K30" s="2771"/>
      <c r="L30" s="77"/>
      <c r="M30" s="77"/>
      <c r="N30" s="3359"/>
      <c r="O30" s="3361"/>
      <c r="P30" s="77"/>
      <c r="Q30" s="58">
        <v>10</v>
      </c>
      <c r="R30" s="2766">
        <f>-SUM(B32:K32)</f>
        <v>6582</v>
      </c>
      <c r="S30" s="2766">
        <f>SUM(B33:K33)+R30</f>
        <v>665089.12320837588</v>
      </c>
      <c r="T30" s="77"/>
      <c r="U30" s="77"/>
      <c r="V30" s="77"/>
      <c r="W30" s="77"/>
      <c r="X30" s="77"/>
      <c r="Y30" s="77"/>
      <c r="Z30" s="1292" t="s">
        <v>1389</v>
      </c>
      <c r="AA30" s="1294">
        <v>30</v>
      </c>
    </row>
    <row r="31" spans="1:27" ht="13.35" customHeight="1">
      <c r="A31" s="236" t="s">
        <v>1403</v>
      </c>
      <c r="B31" s="2772">
        <f>-$G$6</f>
        <v>-7500</v>
      </c>
      <c r="C31" s="2772">
        <f t="shared" ref="C31:K31" si="8">+B31</f>
        <v>-7500</v>
      </c>
      <c r="D31" s="2772">
        <f t="shared" si="8"/>
        <v>-7500</v>
      </c>
      <c r="E31" s="2772">
        <f>+D31</f>
        <v>-7500</v>
      </c>
      <c r="F31" s="2772">
        <f t="shared" si="8"/>
        <v>-7500</v>
      </c>
      <c r="G31" s="2772">
        <f t="shared" si="8"/>
        <v>-7500</v>
      </c>
      <c r="H31" s="2772">
        <f t="shared" si="8"/>
        <v>-7500</v>
      </c>
      <c r="I31" s="2772">
        <f t="shared" si="8"/>
        <v>-7500</v>
      </c>
      <c r="J31" s="2772">
        <f t="shared" si="8"/>
        <v>-7500</v>
      </c>
      <c r="K31" s="2772">
        <f t="shared" si="8"/>
        <v>-7500</v>
      </c>
      <c r="L31" s="77"/>
      <c r="M31" s="77"/>
      <c r="N31" s="3359"/>
      <c r="O31" s="3361"/>
      <c r="P31" s="77"/>
      <c r="Q31" s="58">
        <v>11</v>
      </c>
      <c r="R31" s="2766">
        <f>-SUM(B32:K32)-B64</f>
        <v>6582</v>
      </c>
      <c r="S31" s="2766">
        <f>SUM(B33:K33)+B65+R31</f>
        <v>734451.67459760443</v>
      </c>
      <c r="T31" s="77"/>
      <c r="U31" s="77"/>
      <c r="V31" s="77"/>
      <c r="W31" s="77"/>
      <c r="X31" s="77"/>
      <c r="Y31" s="77"/>
      <c r="Z31" s="1292" t="s">
        <v>1389</v>
      </c>
      <c r="AA31" s="1294">
        <v>31</v>
      </c>
    </row>
    <row r="32" spans="1:27" ht="13.35" customHeight="1">
      <c r="A32" s="236" t="s">
        <v>1404</v>
      </c>
      <c r="B32" s="2773">
        <v>-6582</v>
      </c>
      <c r="C32" s="2773">
        <f>IF('Part II-Sources of Funds'!$P$45="", 0,-'Part II-Sources of Funds'!$P$45)</f>
        <v>0</v>
      </c>
      <c r="D32" s="2773">
        <f>IF('Part II-Sources of Funds'!$P$45="", 0,-'Part II-Sources of Funds'!$P$45)</f>
        <v>0</v>
      </c>
      <c r="E32" s="2773">
        <f>IF('Part II-Sources of Funds'!$P$45="", 0,-'Part II-Sources of Funds'!$P$45)</f>
        <v>0</v>
      </c>
      <c r="F32" s="2773">
        <f>IF('Part II-Sources of Funds'!$P$45="", 0,-'Part II-Sources of Funds'!$P$45)</f>
        <v>0</v>
      </c>
      <c r="G32" s="2773">
        <f>IF('Part II-Sources of Funds'!$P$45="", 0,-'Part II-Sources of Funds'!$P$45)</f>
        <v>0</v>
      </c>
      <c r="H32" s="2773">
        <f>IF('Part II-Sources of Funds'!$P$45="", 0,-'Part II-Sources of Funds'!$P$45)</f>
        <v>0</v>
      </c>
      <c r="I32" s="2773">
        <f>IF('Part II-Sources of Funds'!$P$45="", 0,-'Part II-Sources of Funds'!$P$45)</f>
        <v>0</v>
      </c>
      <c r="J32" s="2773">
        <f>IF('Part II-Sources of Funds'!$P$45="", 0,-'Part II-Sources of Funds'!$P$45)</f>
        <v>0</v>
      </c>
      <c r="K32" s="2773">
        <f>IF('Part II-Sources of Funds'!$P$45="", 0,-'Part II-Sources of Funds'!$P$45)</f>
        <v>0</v>
      </c>
      <c r="L32" s="77"/>
      <c r="M32" s="77"/>
      <c r="N32" s="3359"/>
      <c r="O32" s="3361"/>
      <c r="P32" s="77"/>
      <c r="Q32" s="58">
        <v>12</v>
      </c>
      <c r="R32" s="2766">
        <f>-SUM(B32:K32) - SUM(B64:C64)</f>
        <v>6582</v>
      </c>
      <c r="S32" s="2766">
        <f>SUM(B33:K33) + SUM(B65:C65)+R32</f>
        <v>803677.05328899529</v>
      </c>
      <c r="T32" s="77"/>
      <c r="U32" s="77"/>
      <c r="V32" s="77"/>
      <c r="W32" s="77"/>
      <c r="X32" s="77"/>
      <c r="Y32" s="77"/>
      <c r="Z32" s="1292" t="s">
        <v>1389</v>
      </c>
      <c r="AA32" s="1294">
        <v>32</v>
      </c>
    </row>
    <row r="33" spans="1:27" ht="13.35" customHeight="1">
      <c r="A33" s="236" t="s">
        <v>446</v>
      </c>
      <c r="B33" s="2764">
        <f t="shared" ref="B33:K33" si="9">SUM(B25:B32)</f>
        <v>55452.330067593255</v>
      </c>
      <c r="C33" s="2764">
        <f t="shared" si="9"/>
        <v>63365.151395593304</v>
      </c>
      <c r="D33" s="2764">
        <f t="shared" si="9"/>
        <v>64582.510450153262</v>
      </c>
      <c r="E33" s="2764">
        <f t="shared" si="9"/>
        <v>65678.298424804292</v>
      </c>
      <c r="F33" s="2764">
        <f t="shared" si="9"/>
        <v>66646.19155011879</v>
      </c>
      <c r="G33" s="2764">
        <f t="shared" si="9"/>
        <v>67480.643410844379</v>
      </c>
      <c r="H33" s="2764">
        <f t="shared" si="9"/>
        <v>68171.877007876697</v>
      </c>
      <c r="I33" s="2764">
        <f t="shared" si="9"/>
        <v>68713.876556914474</v>
      </c>
      <c r="J33" s="2764">
        <f t="shared" si="9"/>
        <v>69098.37901540054</v>
      </c>
      <c r="K33" s="2765">
        <f t="shared" si="9"/>
        <v>69317.865329076943</v>
      </c>
      <c r="L33" s="77"/>
      <c r="M33" s="77"/>
      <c r="N33" s="3359"/>
      <c r="O33" s="3361"/>
      <c r="P33" s="77"/>
      <c r="Q33" s="58">
        <v>13</v>
      </c>
      <c r="R33" s="2766">
        <f>-SUM(B32:K32) - SUM(B64:D64)</f>
        <v>6582</v>
      </c>
      <c r="S33" s="2766">
        <f>SUM(B33:K33) + SUM(B65:D65)+R33</f>
        <v>872572.05797502352</v>
      </c>
      <c r="T33" s="77"/>
      <c r="U33" s="77"/>
      <c r="V33" s="77"/>
      <c r="W33" s="77"/>
      <c r="X33" s="77"/>
      <c r="Y33" s="77"/>
      <c r="Z33" s="1292" t="s">
        <v>1389</v>
      </c>
      <c r="AA33" s="1294">
        <v>33</v>
      </c>
    </row>
    <row r="34" spans="1:27" ht="13.35" customHeight="1">
      <c r="A34" s="236" t="str">
        <f>IF('Part II-Sources of Funds'!$E$40 = "Neither", "", "DCR Mortgage A")</f>
        <v>DCR Mortgage A</v>
      </c>
      <c r="B34" s="2774">
        <f t="shared" ref="B34:K34" si="10">IF(B26=0,"",-B25/B26)</f>
        <v>1.2998290704198014</v>
      </c>
      <c r="C34" s="2774">
        <f t="shared" si="10"/>
        <v>1.3055675153186195</v>
      </c>
      <c r="D34" s="2774">
        <f t="shared" si="10"/>
        <v>1.3108167157256849</v>
      </c>
      <c r="E34" s="2774">
        <f t="shared" si="10"/>
        <v>1.3155417068127846</v>
      </c>
      <c r="F34" s="2774">
        <f t="shared" si="10"/>
        <v>1.3197152207554177</v>
      </c>
      <c r="G34" s="2774">
        <f t="shared" si="10"/>
        <v>1.3233133416471876</v>
      </c>
      <c r="H34" s="2774">
        <f t="shared" si="10"/>
        <v>1.3262939114842691</v>
      </c>
      <c r="I34" s="2774">
        <f t="shared" si="10"/>
        <v>1.3286309904609124</v>
      </c>
      <c r="J34" s="2774">
        <f t="shared" si="10"/>
        <v>1.3302889486894585</v>
      </c>
      <c r="K34" s="2775">
        <f t="shared" si="10"/>
        <v>1.3312353643281147</v>
      </c>
      <c r="L34" s="77"/>
      <c r="M34" s="77"/>
      <c r="N34" s="3359"/>
      <c r="O34" s="3361"/>
      <c r="P34" s="77"/>
      <c r="Q34" s="58">
        <v>14</v>
      </c>
      <c r="R34" s="2766">
        <f>-SUM(B32:K32) - SUM(B64:E64)</f>
        <v>6582</v>
      </c>
      <c r="S34" s="2766">
        <f>SUM(B33:K33) + SUM(B65:E65)+R34</f>
        <v>940934.85078640701</v>
      </c>
      <c r="T34" s="77"/>
      <c r="U34" s="77"/>
      <c r="V34" s="77"/>
      <c r="W34" s="77"/>
      <c r="X34" s="77"/>
      <c r="Y34" s="77"/>
      <c r="Z34" s="1292" t="s">
        <v>1389</v>
      </c>
      <c r="AA34" s="1294">
        <v>34</v>
      </c>
    </row>
    <row r="35" spans="1:27" ht="13.35" customHeight="1">
      <c r="A35" s="236" t="str">
        <f>IF('Part II-Sources of Funds'!$E$40 = "Neither", "", "DCR Mortgage B")</f>
        <v>DCR Mortgage B</v>
      </c>
      <c r="B35" s="2774" t="str">
        <f t="shared" ref="B35:K35" si="11">IF(B27=0,"",-(B25+B26)/B27)</f>
        <v/>
      </c>
      <c r="C35" s="2774" t="str">
        <f t="shared" si="11"/>
        <v/>
      </c>
      <c r="D35" s="2774" t="str">
        <f t="shared" si="11"/>
        <v/>
      </c>
      <c r="E35" s="2774" t="str">
        <f t="shared" si="11"/>
        <v/>
      </c>
      <c r="F35" s="2774" t="str">
        <f t="shared" si="11"/>
        <v/>
      </c>
      <c r="G35" s="2774" t="str">
        <f t="shared" si="11"/>
        <v/>
      </c>
      <c r="H35" s="2774" t="str">
        <f t="shared" si="11"/>
        <v/>
      </c>
      <c r="I35" s="2774" t="str">
        <f t="shared" si="11"/>
        <v/>
      </c>
      <c r="J35" s="2774" t="str">
        <f t="shared" si="11"/>
        <v/>
      </c>
      <c r="K35" s="2775" t="str">
        <f t="shared" si="11"/>
        <v/>
      </c>
      <c r="L35" s="77"/>
      <c r="M35" s="77"/>
      <c r="N35" s="3359"/>
      <c r="O35" s="3361"/>
      <c r="P35" s="77"/>
      <c r="Q35" s="58">
        <v>15</v>
      </c>
      <c r="R35" s="2766">
        <f>-SUM(B32:K32) - SUM(B64:F64)</f>
        <v>6582</v>
      </c>
      <c r="S35" s="2766">
        <f>SUM(B33:K33) + SUM(B65:F65)+R35</f>
        <v>1008554.6529848021</v>
      </c>
      <c r="T35" s="77"/>
      <c r="U35" s="77"/>
      <c r="V35" s="77"/>
      <c r="W35" s="77"/>
      <c r="X35" s="77"/>
      <c r="Y35" s="77"/>
      <c r="Z35" s="1292" t="s">
        <v>1389</v>
      </c>
      <c r="AA35" s="1294">
        <v>35</v>
      </c>
    </row>
    <row r="36" spans="1:27" ht="13.35" customHeight="1">
      <c r="A36" s="236" t="str">
        <f>IF('Part II-Sources of Funds'!$E$40 = "Neither", "DCR First Mortgage", "DCR Mortgage C")</f>
        <v>DCR Mortgage C</v>
      </c>
      <c r="B36" s="2774" t="str">
        <f t="shared" ref="B36:K36" si="12">IF(B28=0,"",-(B25+B26+B27)/B28)</f>
        <v/>
      </c>
      <c r="C36" s="2774" t="str">
        <f t="shared" si="12"/>
        <v/>
      </c>
      <c r="D36" s="2774" t="str">
        <f t="shared" si="12"/>
        <v/>
      </c>
      <c r="E36" s="2774" t="str">
        <f t="shared" si="12"/>
        <v/>
      </c>
      <c r="F36" s="2774" t="str">
        <f t="shared" si="12"/>
        <v/>
      </c>
      <c r="G36" s="2774" t="str">
        <f t="shared" si="12"/>
        <v/>
      </c>
      <c r="H36" s="2774" t="str">
        <f t="shared" si="12"/>
        <v/>
      </c>
      <c r="I36" s="2774" t="str">
        <f t="shared" si="12"/>
        <v/>
      </c>
      <c r="J36" s="2774" t="str">
        <f t="shared" si="12"/>
        <v/>
      </c>
      <c r="K36" s="2775" t="str">
        <f t="shared" si="12"/>
        <v/>
      </c>
      <c r="L36" s="77"/>
      <c r="M36" s="77"/>
      <c r="N36" s="3359"/>
      <c r="O36" s="3361"/>
      <c r="P36" s="77"/>
      <c r="Q36" s="58">
        <v>16</v>
      </c>
      <c r="R36" s="2766">
        <f>-SUM(B32:K32) - SUM(B64:G64)</f>
        <v>6582</v>
      </c>
      <c r="S36" s="2766">
        <f>SUM(B33:K33) + SUM(B65:G65)+R36</f>
        <v>1075208.430022073</v>
      </c>
      <c r="T36" s="77"/>
      <c r="U36" s="77"/>
      <c r="V36" s="77"/>
      <c r="W36" s="77"/>
      <c r="X36" s="77"/>
      <c r="Y36" s="77"/>
      <c r="Z36" s="1292" t="s">
        <v>1389</v>
      </c>
      <c r="AA36" s="1294">
        <v>36</v>
      </c>
    </row>
    <row r="37" spans="1:27" ht="13.35" customHeight="1">
      <c r="A37" s="236" t="s">
        <v>1405</v>
      </c>
      <c r="B37" s="2774" t="str">
        <f t="shared" ref="B37:K37" si="13">IF(B29=0,"",-(B25+B26+B27+B28)/B29)</f>
        <v/>
      </c>
      <c r="C37" s="2774" t="str">
        <f t="shared" si="13"/>
        <v/>
      </c>
      <c r="D37" s="2774" t="str">
        <f t="shared" si="13"/>
        <v/>
      </c>
      <c r="E37" s="2774" t="str">
        <f t="shared" si="13"/>
        <v/>
      </c>
      <c r="F37" s="2774" t="str">
        <f t="shared" si="13"/>
        <v/>
      </c>
      <c r="G37" s="2774" t="str">
        <f t="shared" si="13"/>
        <v/>
      </c>
      <c r="H37" s="2774" t="str">
        <f t="shared" si="13"/>
        <v/>
      </c>
      <c r="I37" s="2774" t="str">
        <f t="shared" si="13"/>
        <v/>
      </c>
      <c r="J37" s="2774" t="str">
        <f t="shared" si="13"/>
        <v/>
      </c>
      <c r="K37" s="2775" t="str">
        <f t="shared" si="13"/>
        <v/>
      </c>
      <c r="L37" s="77"/>
      <c r="M37" s="77"/>
      <c r="N37" s="3359"/>
      <c r="O37" s="3361"/>
      <c r="P37" s="77"/>
      <c r="Q37" s="58">
        <v>17</v>
      </c>
      <c r="R37" s="2766">
        <f>-SUM(B32:K32) - SUM(B64:H64)</f>
        <v>6582</v>
      </c>
      <c r="S37" s="2766">
        <f>SUM(B33:K33) + SUM(B65:H65)+R37</f>
        <v>1140664.5656170456</v>
      </c>
      <c r="T37" s="77"/>
      <c r="U37" s="77"/>
      <c r="V37" s="77"/>
      <c r="W37" s="77"/>
      <c r="X37" s="77"/>
      <c r="Y37" s="77"/>
      <c r="Z37" s="1292" t="s">
        <v>1389</v>
      </c>
      <c r="AA37" s="1294">
        <v>37</v>
      </c>
    </row>
    <row r="38" spans="1:27" ht="13.35" customHeight="1">
      <c r="A38" s="236" t="s">
        <v>1406</v>
      </c>
      <c r="B38" s="2774">
        <f t="shared" ref="B38:K38" si="14">IF(AND(B26=0,B27=0,B28=0,B29=0),"",-B25/(B26+B27+B28+B29))</f>
        <v>1.2998290704198014</v>
      </c>
      <c r="C38" s="2774">
        <f t="shared" si="14"/>
        <v>1.3055675153186195</v>
      </c>
      <c r="D38" s="2774">
        <f t="shared" si="14"/>
        <v>1.3108167157256849</v>
      </c>
      <c r="E38" s="2774">
        <f t="shared" si="14"/>
        <v>1.3155417068127846</v>
      </c>
      <c r="F38" s="2774">
        <f t="shared" si="14"/>
        <v>1.3197152207554177</v>
      </c>
      <c r="G38" s="2774">
        <f t="shared" si="14"/>
        <v>1.3233133416471876</v>
      </c>
      <c r="H38" s="2774">
        <f t="shared" si="14"/>
        <v>1.3262939114842691</v>
      </c>
      <c r="I38" s="2774">
        <f t="shared" si="14"/>
        <v>1.3286309904609124</v>
      </c>
      <c r="J38" s="2774">
        <f t="shared" si="14"/>
        <v>1.3302889486894585</v>
      </c>
      <c r="K38" s="2775">
        <f t="shared" si="14"/>
        <v>1.3312353643281147</v>
      </c>
      <c r="L38" s="77"/>
      <c r="M38" s="77"/>
      <c r="N38" s="3359"/>
      <c r="O38" s="3361"/>
      <c r="P38" s="77"/>
      <c r="Q38" s="58">
        <v>18</v>
      </c>
      <c r="R38" s="2766">
        <f>-SUM(B32:K32) - SUM(B64:I64)</f>
        <v>6582</v>
      </c>
      <c r="S38" s="2766">
        <f>SUM(B33:K33) + SUM(B65:I65)+R38</f>
        <v>1204679.5244895827</v>
      </c>
      <c r="T38" s="77"/>
      <c r="U38" s="77"/>
      <c r="V38" s="77"/>
      <c r="W38" s="77"/>
      <c r="X38" s="77"/>
      <c r="Y38" s="77"/>
      <c r="Z38" s="1292" t="s">
        <v>1389</v>
      </c>
      <c r="AA38" s="1294">
        <v>38</v>
      </c>
    </row>
    <row r="39" spans="1:27" ht="13.35" customHeight="1">
      <c r="A39" s="236" t="s">
        <v>1407</v>
      </c>
      <c r="B39" s="2776">
        <f t="shared" ref="B39:K39" si="15">IF(OR(B22="Choose mgt fee",B22="Choose One!"),"",(B15+B16+B17+B18+B19) / -(B21+B22+B23))</f>
        <v>1.6416685995993929</v>
      </c>
      <c r="C39" s="2776">
        <f t="shared" si="15"/>
        <v>1.6257291959651143</v>
      </c>
      <c r="D39" s="2776">
        <f t="shared" si="15"/>
        <v>1.6099473555128971</v>
      </c>
      <c r="E39" s="2776">
        <f t="shared" si="15"/>
        <v>1.594316301748276</v>
      </c>
      <c r="F39" s="2776">
        <f t="shared" si="15"/>
        <v>1.5788361590098456</v>
      </c>
      <c r="G39" s="2776">
        <f t="shared" si="15"/>
        <v>1.5635098344716685</v>
      </c>
      <c r="H39" s="2776">
        <f t="shared" si="15"/>
        <v>1.548328664439423</v>
      </c>
      <c r="I39" s="2776">
        <f t="shared" si="15"/>
        <v>1.533295816553619</v>
      </c>
      <c r="J39" s="2776">
        <f t="shared" si="15"/>
        <v>1.5184088115361614</v>
      </c>
      <c r="K39" s="2777">
        <f t="shared" si="15"/>
        <v>1.503667910593115</v>
      </c>
      <c r="L39" s="77"/>
      <c r="M39" s="77"/>
      <c r="N39" s="3359"/>
      <c r="O39" s="3361"/>
      <c r="P39" s="77"/>
      <c r="Q39" s="58">
        <v>19</v>
      </c>
      <c r="R39" s="2766">
        <f>-SUM(B32:K32) - SUM(B64:J64)</f>
        <v>6582</v>
      </c>
      <c r="S39" s="2766">
        <f>SUM(B33:K33) + SUM(B65:J65)+R39</f>
        <v>1266998.5033804062</v>
      </c>
      <c r="T39" s="77"/>
      <c r="U39" s="77"/>
      <c r="V39" s="77"/>
      <c r="W39" s="77"/>
      <c r="X39" s="77"/>
      <c r="Y39" s="77"/>
      <c r="Z39" s="1292" t="s">
        <v>1389</v>
      </c>
      <c r="AA39" s="1294">
        <v>39</v>
      </c>
    </row>
    <row r="40" spans="1:27" ht="13.35" customHeight="1">
      <c r="A40" s="236" t="s">
        <v>1408</v>
      </c>
      <c r="B40" s="2778">
        <f>IF('Part II-Sources of Funds'!$I$40="","",-FV('Part II-Sources of Funds'!$K$40/12,12,B26/12,'Part II-Sources of Funds'!$I$40))</f>
        <v>3087327.141843067</v>
      </c>
      <c r="C40" s="2778">
        <f>IF('Part II-Sources of Funds'!$I$40="","",-FV('Part II-Sources of Funds'!$K$40/12,12,C26/12,B40))</f>
        <v>3063067.0623329887</v>
      </c>
      <c r="D40" s="2778">
        <f>IF('Part II-Sources of Funds'!$I$40="","",-FV('Part II-Sources of Funds'!$K$40/12,12,D26/12,C40))</f>
        <v>3037117.8035455556</v>
      </c>
      <c r="E40" s="2778">
        <f>IF('Part II-Sources of Funds'!$I$40="","",-FV('Part II-Sources of Funds'!$K$40/12,12,E26/12,D40))</f>
        <v>3009361.7514131856</v>
      </c>
      <c r="F40" s="2778">
        <f>IF('Part II-Sources of Funds'!$I$40="","",-FV('Part II-Sources of Funds'!$K$40/12,12,F26/12,E40))</f>
        <v>2979673.1026434591</v>
      </c>
      <c r="G40" s="2778">
        <f>IF('Part II-Sources of Funds'!$I$40="","",-FV('Part II-Sources of Funds'!$K$40/12,12,G26/12,F40))</f>
        <v>2947917.2945202915</v>
      </c>
      <c r="H40" s="2778">
        <f>IF('Part II-Sources of Funds'!$I$40="","",-FV('Part II-Sources of Funds'!$K$40/12,12,H26/12,G40))</f>
        <v>2913950.3950033374</v>
      </c>
      <c r="I40" s="2778">
        <f>IF('Part II-Sources of Funds'!$I$40="","",-FV('Part II-Sources of Funds'!$K$40/12,12,I26/12,H40))</f>
        <v>2877618.450361276</v>
      </c>
      <c r="J40" s="2778">
        <f>IF('Part II-Sources of Funds'!$I$40="","",-FV('Part II-Sources of Funds'!$K$40/12,12,J26/12,I40))</f>
        <v>2838756.7873821468</v>
      </c>
      <c r="K40" s="2778">
        <f>IF('Part II-Sources of Funds'!$I$40="","",-FV('Part II-Sources of Funds'!$K$40/12,12,K26/12,J40))</f>
        <v>2797189.2669980316</v>
      </c>
      <c r="L40" s="77"/>
      <c r="M40" s="77"/>
      <c r="N40" s="3359"/>
      <c r="O40" s="3361"/>
      <c r="P40" s="77"/>
      <c r="Q40" s="58">
        <v>20</v>
      </c>
      <c r="R40" s="2766">
        <f>-SUM(B32:K32) - SUM(B64:K64)</f>
        <v>6582</v>
      </c>
      <c r="S40" s="2766">
        <f>SUM(B33:K33) + SUM(B65:K65)+R40</f>
        <v>1327354.0699733072</v>
      </c>
      <c r="T40" s="77"/>
      <c r="U40" s="77"/>
      <c r="V40" s="77"/>
      <c r="W40" s="77"/>
      <c r="X40" s="77"/>
      <c r="Y40" s="77"/>
      <c r="Z40" s="1292" t="s">
        <v>1389</v>
      </c>
      <c r="AA40" s="1294">
        <v>40</v>
      </c>
    </row>
    <row r="41" spans="1:27" ht="13.35" customHeight="1">
      <c r="A41" s="236" t="s">
        <v>1409</v>
      </c>
      <c r="B41" s="2770">
        <f>IF('Part II-Sources of Funds'!$I$41="","",-FV('Part II-Sources of Funds'!$K$41/12,12,B27/12,'Part II-Sources of Funds'!$I$41))</f>
        <v>2302819.9469620571</v>
      </c>
      <c r="C41" s="2770">
        <f>IF('Part II-Sources of Funds'!$I$41="","",-FV('Part II-Sources of Funds'!$K$41/12,12,C27/12,B41))</f>
        <v>2325953.9860794572</v>
      </c>
      <c r="D41" s="2770">
        <f>IF('Part II-Sources of Funds'!$I$41="","",-FV('Part II-Sources of Funds'!$K$41/12,12,D27/12,C41))</f>
        <v>2349320.428848993</v>
      </c>
      <c r="E41" s="2770">
        <f>IF('Part II-Sources of Funds'!$I$41="","",-FV('Part II-Sources of Funds'!$K$41/12,12,E27/12,D41))</f>
        <v>2372921.6099886643</v>
      </c>
      <c r="F41" s="2770">
        <f>IF('Part II-Sources of Funds'!$I$41="","",-FV('Part II-Sources of Funds'!$K$41/12,12,F27/12,E41))</f>
        <v>2396759.8876709561</v>
      </c>
      <c r="G41" s="2770">
        <f>IF('Part II-Sources of Funds'!$I$41="","",-FV('Part II-Sources of Funds'!$K$41/12,12,G27/12,F41))</f>
        <v>2420837.6437584618</v>
      </c>
      <c r="H41" s="2770">
        <f>IF('Part II-Sources of Funds'!$I$41="","",-FV('Part II-Sources of Funds'!$K$41/12,12,H27/12,G41))</f>
        <v>2445157.2840418736</v>
      </c>
      <c r="I41" s="2770">
        <f>IF('Part II-Sources of Funds'!$I$41="","",-FV('Part II-Sources of Funds'!$K$41/12,12,I27/12,H41))</f>
        <v>2469721.238480363</v>
      </c>
      <c r="J41" s="2770">
        <f>IF('Part II-Sources of Funds'!$I$41="","",-FV('Part II-Sources of Funds'!$K$41/12,12,J27/12,I41))</f>
        <v>2494531.961444376</v>
      </c>
      <c r="K41" s="2770">
        <f>IF('Part II-Sources of Funds'!$I$41="","",-FV('Part II-Sources of Funds'!$K$41/12,12,K27/12,J41))</f>
        <v>2519591.9319608682</v>
      </c>
      <c r="L41" s="77"/>
      <c r="M41" s="77"/>
      <c r="N41" s="3359"/>
      <c r="O41" s="3361"/>
      <c r="P41" s="77"/>
      <c r="Q41" s="77"/>
      <c r="R41" s="77"/>
      <c r="S41" s="77"/>
      <c r="T41" s="77"/>
      <c r="U41" s="77"/>
      <c r="V41" s="77"/>
      <c r="W41" s="77"/>
      <c r="X41" s="77"/>
      <c r="Y41" s="77"/>
      <c r="Z41" s="1292" t="s">
        <v>1389</v>
      </c>
      <c r="AA41" s="1294">
        <v>41</v>
      </c>
    </row>
    <row r="42" spans="1:27" ht="13.35" customHeight="1">
      <c r="A42" s="236" t="s">
        <v>1410</v>
      </c>
      <c r="B42" s="2770" t="str">
        <f>IF('Part II-Sources of Funds'!$I$42="","",-FV('Part II-Sources of Funds'!$K$42/12,12,B28/12,'Part II-Sources of Funds'!$I$42))</f>
        <v/>
      </c>
      <c r="C42" s="2770" t="str">
        <f>IF('Part II-Sources of Funds'!$I$42="","",-FV('Part II-Sources of Funds'!$K$42/12,12,C28/12,B42))</f>
        <v/>
      </c>
      <c r="D42" s="2770" t="str">
        <f>IF('Part II-Sources of Funds'!$I$42="","",-FV('Part II-Sources of Funds'!$K$42/12,12,D28/12,C42))</f>
        <v/>
      </c>
      <c r="E42" s="2770" t="str">
        <f>IF('Part II-Sources of Funds'!$I$42="","",-FV('Part II-Sources of Funds'!$K$42/12,12,E28/12,D42))</f>
        <v/>
      </c>
      <c r="F42" s="2770" t="str">
        <f>IF('Part II-Sources of Funds'!$I$42="","",-FV('Part II-Sources of Funds'!$K$42/12,12,F28/12,E42))</f>
        <v/>
      </c>
      <c r="G42" s="2770" t="str">
        <f>IF('Part II-Sources of Funds'!$I$42="","",-FV('Part II-Sources of Funds'!$K$42/12,12,G28/12,F42))</f>
        <v/>
      </c>
      <c r="H42" s="2770" t="str">
        <f>IF('Part II-Sources of Funds'!$I$42="","",-FV('Part II-Sources of Funds'!$K$42/12,12,H28/12,G42))</f>
        <v/>
      </c>
      <c r="I42" s="2770" t="str">
        <f>IF('Part II-Sources of Funds'!$I$42="","",-FV('Part II-Sources of Funds'!$K$42/12,12,I28/12,H42))</f>
        <v/>
      </c>
      <c r="J42" s="2770" t="str">
        <f>IF('Part II-Sources of Funds'!$I$42="","",-FV('Part II-Sources of Funds'!$K$42/12,12,J28/12,I42))</f>
        <v/>
      </c>
      <c r="K42" s="2770" t="str">
        <f>IF('Part II-Sources of Funds'!$I$42="","",-FV('Part II-Sources of Funds'!$K$42/12,12,K28/12,J42))</f>
        <v/>
      </c>
      <c r="L42" s="77"/>
      <c r="M42" s="77"/>
      <c r="N42" s="3359"/>
      <c r="O42" s="3361"/>
      <c r="P42" s="77"/>
      <c r="Q42" s="77"/>
      <c r="R42" s="77"/>
      <c r="S42" s="77"/>
      <c r="T42" s="77"/>
      <c r="U42" s="77"/>
      <c r="V42" s="77"/>
      <c r="W42" s="77"/>
      <c r="X42" s="77"/>
      <c r="Y42" s="77"/>
      <c r="Z42" s="1292" t="s">
        <v>1389</v>
      </c>
      <c r="AA42" s="1294">
        <v>42</v>
      </c>
    </row>
    <row r="43" spans="1:27" ht="13.35" customHeight="1">
      <c r="A43" s="236" t="s">
        <v>1411</v>
      </c>
      <c r="B43" s="2770" t="str">
        <f>IF('Part II-Sources of Funds'!$I$43="","",-FV('Part II-Sources of Funds'!$K$43/12,12,B29/12,'Part II-Sources of Funds'!$I$43))</f>
        <v/>
      </c>
      <c r="C43" s="2770" t="str">
        <f>IF('Part II-Sources of Funds'!$I$43="","",-FV('Part II-Sources of Funds'!$K$43/12,12,C29/12,B43))</f>
        <v/>
      </c>
      <c r="D43" s="2770" t="str">
        <f>IF('Part II-Sources of Funds'!$I$43="","",-FV('Part II-Sources of Funds'!$K$43/12,12,D29/12,C43))</f>
        <v/>
      </c>
      <c r="E43" s="2770" t="str">
        <f>IF('Part II-Sources of Funds'!$I$43="","",-FV('Part II-Sources of Funds'!$K$43/12,12,E29/12,D43))</f>
        <v/>
      </c>
      <c r="F43" s="2770" t="str">
        <f>IF('Part II-Sources of Funds'!$I$43="","",-FV('Part II-Sources of Funds'!$K$43/12,12,F29/12,E43))</f>
        <v/>
      </c>
      <c r="G43" s="2770" t="str">
        <f>IF('Part II-Sources of Funds'!$I$43="","",-FV('Part II-Sources of Funds'!$K$43/12,12,G29/12,F43))</f>
        <v/>
      </c>
      <c r="H43" s="2770" t="str">
        <f>IF('Part II-Sources of Funds'!$I$43="","",-FV('Part II-Sources of Funds'!$K$43/12,12,H29/12,G43))</f>
        <v/>
      </c>
      <c r="I43" s="2770" t="str">
        <f>IF('Part II-Sources of Funds'!$I$43="","",-FV('Part II-Sources of Funds'!$K$43/12,12,I29/12,H43))</f>
        <v/>
      </c>
      <c r="J43" s="2770" t="str">
        <f>IF('Part II-Sources of Funds'!$I$43="","",-FV('Part II-Sources of Funds'!$K$43/12,12,J29/12,I43))</f>
        <v/>
      </c>
      <c r="K43" s="2770" t="str">
        <f>IF('Part II-Sources of Funds'!$I$43="","",-FV('Part II-Sources of Funds'!$K$43/12,12,K29/12,J43))</f>
        <v/>
      </c>
      <c r="L43" s="77"/>
      <c r="M43" s="77"/>
      <c r="N43" s="3359"/>
      <c r="O43" s="3361"/>
      <c r="P43" s="77"/>
      <c r="Q43" s="77"/>
      <c r="R43" s="77"/>
      <c r="S43" s="77"/>
      <c r="T43" s="77"/>
      <c r="U43" s="77"/>
      <c r="V43" s="77"/>
      <c r="W43" s="77"/>
      <c r="X43" s="77"/>
      <c r="Y43" s="77"/>
      <c r="Z43" s="1292" t="s">
        <v>1389</v>
      </c>
      <c r="AA43" s="1294">
        <v>43</v>
      </c>
    </row>
    <row r="44" spans="1:27" ht="13.35" customHeight="1">
      <c r="A44" s="236" t="s">
        <v>1412</v>
      </c>
      <c r="B44" s="2773">
        <f>IF('Part II-Sources of Funds'!$I$45="","",-FV('Part II-Sources of Funds'!$K$45/12,12,B32/12,'Part II-Sources of Funds'!$I$45))</f>
        <v>0</v>
      </c>
      <c r="C44" s="2773">
        <f>IF('Part II-Sources of Funds'!$I$45="","",IF(-FV('Part II-Sources of Funds'!$K$45/12,12,C32/12,B44)&gt;0,-FV('Part II-Sources of Funds'!$K$45/12,12,C32/12,B44),0))</f>
        <v>0</v>
      </c>
      <c r="D44" s="2773">
        <f>IF('Part II-Sources of Funds'!$I$45="","",IF(-FV('Part II-Sources of Funds'!$K$45/12,12,D32/12,C44)&gt;0,-FV('Part II-Sources of Funds'!$K$45/12,12,D32/12,C44),0))</f>
        <v>0</v>
      </c>
      <c r="E44" s="2773">
        <f>IF('Part II-Sources of Funds'!$I$45="","",IF(-FV('Part II-Sources of Funds'!$K$45/12,12,E32/12,D44)&gt;0,-FV('Part II-Sources of Funds'!$K$45/12,12,E32/12,D44),0))</f>
        <v>0</v>
      </c>
      <c r="F44" s="2773">
        <f>IF('Part II-Sources of Funds'!$I$45="","",IF(-FV('Part II-Sources of Funds'!$K$45/12,12,F32/12,E44)&gt;0,-FV('Part II-Sources of Funds'!$K$45/12,12,F32/12,E44),0))</f>
        <v>0</v>
      </c>
      <c r="G44" s="2773">
        <f>IF('Part II-Sources of Funds'!$I$45="","",IF(-FV('Part II-Sources of Funds'!$K$45/12,12,G32/12,F44)&gt;0,-FV('Part II-Sources of Funds'!$K$45/12,12,G32/12,F44),0))</f>
        <v>0</v>
      </c>
      <c r="H44" s="2773">
        <f>IF('Part II-Sources of Funds'!$I$45="","",IF(-FV('Part II-Sources of Funds'!$K$45/12,12,H32/12,G44)&gt;0,-FV('Part II-Sources of Funds'!$K$45/12,12,H32/12,G44),0))</f>
        <v>0</v>
      </c>
      <c r="I44" s="2773">
        <f>IF('Part II-Sources of Funds'!$I$45="","",IF(-FV('Part II-Sources of Funds'!$K$45/12,12,I32/12,H44)&gt;0,-FV('Part II-Sources of Funds'!$K$45/12,12,I32/12,H44),0))</f>
        <v>0</v>
      </c>
      <c r="J44" s="2773">
        <f>IF('Part II-Sources of Funds'!$I$45="","",IF(-FV('Part II-Sources of Funds'!$K$45/12,12,J32/12,I44)&gt;0,-FV('Part II-Sources of Funds'!$K$45/12,12,J32/12,I44),0))</f>
        <v>0</v>
      </c>
      <c r="K44" s="2773">
        <f>IF('Part II-Sources of Funds'!$I$45="","",IF(-FV('Part II-Sources of Funds'!$K$45/12,12,K32/12,J44)&gt;0,-FV('Part II-Sources of Funds'!$K$45/12,12,K32/12,J44),0))</f>
        <v>0</v>
      </c>
      <c r="L44" s="77"/>
      <c r="M44" s="77"/>
      <c r="N44" s="3371"/>
      <c r="O44" s="3373"/>
      <c r="P44" s="77"/>
      <c r="Q44" s="77"/>
      <c r="R44" s="77"/>
      <c r="S44" s="77"/>
      <c r="T44" s="77"/>
      <c r="U44" s="77"/>
      <c r="V44" s="77"/>
      <c r="W44" s="77"/>
      <c r="X44" s="77"/>
      <c r="Y44" s="77"/>
      <c r="Z44" s="1292" t="s">
        <v>1389</v>
      </c>
      <c r="AA44" s="1294">
        <v>44</v>
      </c>
    </row>
    <row r="45" spans="1:27" ht="4.3499999999999996" customHeight="1">
      <c r="A45" s="77"/>
      <c r="B45" s="2779"/>
      <c r="C45" s="2779"/>
      <c r="D45" s="2779"/>
      <c r="E45" s="2779"/>
      <c r="F45" s="2779"/>
      <c r="G45" s="2779"/>
      <c r="H45" s="2779"/>
      <c r="I45" s="2779"/>
      <c r="J45" s="2779"/>
      <c r="K45" s="2779"/>
      <c r="L45" s="77"/>
      <c r="M45" s="77"/>
      <c r="N45" s="77"/>
      <c r="O45" s="77"/>
      <c r="P45" s="77"/>
      <c r="Q45" s="77"/>
      <c r="R45" s="77"/>
      <c r="S45" s="77"/>
      <c r="T45" s="77"/>
      <c r="U45" s="77"/>
      <c r="V45" s="77"/>
      <c r="W45" s="77"/>
      <c r="X45" s="77"/>
      <c r="Y45" s="77"/>
      <c r="AA45" s="1294">
        <v>45</v>
      </c>
    </row>
    <row r="46" spans="1:27" ht="14.65"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021" t="s">
        <v>1281</v>
      </c>
      <c r="O46" s="3021"/>
      <c r="P46" s="77"/>
      <c r="Q46" s="77"/>
      <c r="R46" s="77"/>
      <c r="S46" s="77"/>
      <c r="T46" s="77"/>
      <c r="U46" s="77"/>
      <c r="V46" s="77"/>
      <c r="W46" s="77"/>
      <c r="X46" s="77"/>
      <c r="Y46" s="77"/>
      <c r="AA46" s="1294">
        <v>46</v>
      </c>
    </row>
    <row r="47" spans="1:27" ht="13.35" customHeight="1">
      <c r="A47" s="2762" t="s">
        <v>1387</v>
      </c>
      <c r="B47" s="2763">
        <f t="shared" ref="B47:K47" si="17">$B$15*(1+$B$6)^(B46-1)</f>
        <v>991071.71932181739</v>
      </c>
      <c r="C47" s="2763">
        <f t="shared" si="17"/>
        <v>1010893.1537082535</v>
      </c>
      <c r="D47" s="2763">
        <f t="shared" si="17"/>
        <v>1031111.0167824188</v>
      </c>
      <c r="E47" s="2763">
        <f t="shared" si="17"/>
        <v>1051733.2371180672</v>
      </c>
      <c r="F47" s="2763">
        <f t="shared" si="17"/>
        <v>1072767.9018604285</v>
      </c>
      <c r="G47" s="2763">
        <f t="shared" si="17"/>
        <v>1094223.2598976369</v>
      </c>
      <c r="H47" s="2763">
        <f t="shared" si="17"/>
        <v>1116107.7250955899</v>
      </c>
      <c r="I47" s="2763">
        <f t="shared" si="17"/>
        <v>1138429.8795975016</v>
      </c>
      <c r="J47" s="2763">
        <f t="shared" si="17"/>
        <v>1161198.4771894515</v>
      </c>
      <c r="K47" s="4715">
        <f t="shared" si="17"/>
        <v>1184422.4467332405</v>
      </c>
      <c r="L47" s="77"/>
      <c r="M47" s="77"/>
      <c r="N47" s="3365"/>
      <c r="O47" s="3367"/>
      <c r="P47" s="77"/>
      <c r="Q47" s="77"/>
      <c r="R47" s="77"/>
      <c r="S47" s="77"/>
      <c r="T47" s="77"/>
      <c r="U47" s="77"/>
      <c r="V47" s="77"/>
      <c r="W47" s="77"/>
      <c r="X47" s="77"/>
      <c r="Y47" s="77"/>
      <c r="Z47" s="1292" t="s">
        <v>1413</v>
      </c>
      <c r="AA47" s="1294">
        <v>47</v>
      </c>
    </row>
    <row r="48" spans="1:27" ht="13.35" customHeight="1">
      <c r="A48" s="236" t="s">
        <v>1272</v>
      </c>
      <c r="B48" s="2764">
        <f t="shared" ref="B48:K48" si="18">$B$16*(1+$B$6)^(B46-1)</f>
        <v>19821.434386436347</v>
      </c>
      <c r="C48" s="2764">
        <f t="shared" si="18"/>
        <v>20217.86307416507</v>
      </c>
      <c r="D48" s="2764">
        <f t="shared" si="18"/>
        <v>20622.220335648377</v>
      </c>
      <c r="E48" s="2764">
        <f t="shared" si="18"/>
        <v>21034.664742361343</v>
      </c>
      <c r="F48" s="2764">
        <f t="shared" si="18"/>
        <v>21455.358037208571</v>
      </c>
      <c r="G48" s="2764">
        <f t="shared" si="18"/>
        <v>21884.465197952737</v>
      </c>
      <c r="H48" s="2764">
        <f t="shared" si="18"/>
        <v>22322.154501911795</v>
      </c>
      <c r="I48" s="2764">
        <f t="shared" si="18"/>
        <v>22768.597591950034</v>
      </c>
      <c r="J48" s="2764">
        <f t="shared" si="18"/>
        <v>23223.96954378903</v>
      </c>
      <c r="K48" s="2765">
        <f t="shared" si="18"/>
        <v>23688.448934664812</v>
      </c>
      <c r="L48" s="77"/>
      <c r="M48" s="77"/>
      <c r="N48" s="3359"/>
      <c r="O48" s="3361"/>
      <c r="P48" s="77"/>
      <c r="Q48" s="77"/>
      <c r="R48" s="77"/>
      <c r="S48" s="77"/>
      <c r="T48" s="77"/>
      <c r="U48" s="77"/>
      <c r="V48" s="77"/>
      <c r="W48" s="77"/>
      <c r="X48" s="77"/>
      <c r="Y48" s="77"/>
      <c r="Z48" s="1292" t="s">
        <v>1413</v>
      </c>
      <c r="AA48" s="1294">
        <v>48</v>
      </c>
    </row>
    <row r="49" spans="1:27" ht="13.35" customHeight="1">
      <c r="A49" s="236" t="s">
        <v>1390</v>
      </c>
      <c r="B49" s="2764">
        <f t="shared" ref="B49:K49" si="19">-(B47+B48)*$B$9</f>
        <v>-70762.520759577776</v>
      </c>
      <c r="C49" s="2764">
        <f t="shared" si="19"/>
        <v>-72177.77117476931</v>
      </c>
      <c r="D49" s="2764">
        <f t="shared" si="19"/>
        <v>-73621.326598264714</v>
      </c>
      <c r="E49" s="2764">
        <f t="shared" si="19"/>
        <v>-75093.753130230005</v>
      </c>
      <c r="F49" s="2764">
        <f t="shared" si="19"/>
        <v>-76595.628192834614</v>
      </c>
      <c r="G49" s="2764">
        <f t="shared" si="19"/>
        <v>-78127.540756691276</v>
      </c>
      <c r="H49" s="2764">
        <f t="shared" si="19"/>
        <v>-79690.09157182512</v>
      </c>
      <c r="I49" s="2764">
        <f t="shared" si="19"/>
        <v>-81283.893403261623</v>
      </c>
      <c r="J49" s="2764">
        <f t="shared" si="19"/>
        <v>-82909.571271326844</v>
      </c>
      <c r="K49" s="2765">
        <f t="shared" si="19"/>
        <v>-84567.762696753372</v>
      </c>
      <c r="L49" s="77"/>
      <c r="M49" s="77"/>
      <c r="N49" s="3359"/>
      <c r="O49" s="3361"/>
      <c r="P49" s="77"/>
      <c r="Q49" s="77"/>
      <c r="R49" s="77"/>
      <c r="S49" s="77"/>
      <c r="T49" s="77"/>
      <c r="U49" s="77"/>
      <c r="V49" s="77"/>
      <c r="W49" s="77"/>
      <c r="X49" s="77"/>
      <c r="Y49" s="77"/>
      <c r="Z49" s="1292" t="s">
        <v>1413</v>
      </c>
      <c r="AA49" s="1294">
        <v>49</v>
      </c>
    </row>
    <row r="50" spans="1:27" ht="13.35" customHeight="1">
      <c r="A50" s="236" t="s">
        <v>1393</v>
      </c>
      <c r="B50" s="2764">
        <f>'Part V-Revenues &amp; Expenses'!H198</f>
        <v>0</v>
      </c>
      <c r="C50" s="2764">
        <f>'Part V-Revenues &amp; Expenses'!I198</f>
        <v>0</v>
      </c>
      <c r="D50" s="2764">
        <f>'Part V-Revenues &amp; Expenses'!J198</f>
        <v>0</v>
      </c>
      <c r="E50" s="2764">
        <f>'Part V-Revenues &amp; Expenses'!K198</f>
        <v>0</v>
      </c>
      <c r="F50" s="2764">
        <f>'Part V-Revenues &amp; Expenses'!L198</f>
        <v>0</v>
      </c>
      <c r="G50" s="2764">
        <f>'Part V-Revenues &amp; Expenses'!M198</f>
        <v>0</v>
      </c>
      <c r="H50" s="2764">
        <f>'Part V-Revenues &amp; Expenses'!N198</f>
        <v>0</v>
      </c>
      <c r="I50" s="2764">
        <f>'Part V-Revenues &amp; Expenses'!O198</f>
        <v>0</v>
      </c>
      <c r="J50" s="2764">
        <f>'Part V-Revenues &amp; Expenses'!P198</f>
        <v>0</v>
      </c>
      <c r="K50" s="2765">
        <f>'Part V-Revenues &amp; Expenses'!Q198</f>
        <v>0</v>
      </c>
      <c r="L50" s="77"/>
      <c r="M50" s="77"/>
      <c r="N50" s="3359"/>
      <c r="O50" s="3361"/>
      <c r="P50" s="77"/>
      <c r="Q50" s="77"/>
      <c r="R50" s="77"/>
      <c r="S50" s="77"/>
      <c r="T50" s="77"/>
      <c r="U50" s="77"/>
      <c r="V50" s="77"/>
      <c r="W50" s="77"/>
      <c r="X50" s="77"/>
      <c r="Y50" s="77"/>
      <c r="Z50" s="1292" t="s">
        <v>1413</v>
      </c>
      <c r="AA50" s="1294">
        <v>50</v>
      </c>
    </row>
    <row r="51" spans="1:27" ht="13.35" customHeight="1">
      <c r="A51" s="236" t="s">
        <v>1394</v>
      </c>
      <c r="B51" s="2764">
        <f>'Part V-Revenues &amp; Expenses'!H202</f>
        <v>0</v>
      </c>
      <c r="C51" s="2764">
        <f>'Part V-Revenues &amp; Expenses'!I202</f>
        <v>0</v>
      </c>
      <c r="D51" s="2764">
        <f>'Part V-Revenues &amp; Expenses'!J202</f>
        <v>0</v>
      </c>
      <c r="E51" s="2764">
        <f>'Part V-Revenues &amp; Expenses'!K202</f>
        <v>0</v>
      </c>
      <c r="F51" s="2764">
        <f>'Part V-Revenues &amp; Expenses'!L202</f>
        <v>0</v>
      </c>
      <c r="G51" s="2764">
        <f>'Part V-Revenues &amp; Expenses'!M202</f>
        <v>0</v>
      </c>
      <c r="H51" s="2764">
        <f>'Part V-Revenues &amp; Expenses'!N202</f>
        <v>0</v>
      </c>
      <c r="I51" s="2764">
        <f>'Part V-Revenues &amp; Expenses'!O202</f>
        <v>0</v>
      </c>
      <c r="J51" s="2764">
        <f>'Part V-Revenues &amp; Expenses'!P202</f>
        <v>0</v>
      </c>
      <c r="K51" s="2765">
        <f>'Part V-Revenues &amp; Expenses'!Q202</f>
        <v>0</v>
      </c>
      <c r="L51" s="77"/>
      <c r="M51" s="77"/>
      <c r="N51" s="3359"/>
      <c r="O51" s="3361"/>
      <c r="P51" s="77"/>
      <c r="Q51" s="77"/>
      <c r="R51" s="77"/>
      <c r="S51" s="77"/>
      <c r="T51" s="77"/>
      <c r="U51" s="77"/>
      <c r="V51" s="77"/>
      <c r="W51" s="77"/>
      <c r="X51" s="77"/>
      <c r="Y51" s="77"/>
      <c r="Z51" s="1292" t="s">
        <v>1413</v>
      </c>
      <c r="AA51" s="1294">
        <v>51</v>
      </c>
    </row>
    <row r="52" spans="1:27" ht="13.35" customHeight="1">
      <c r="A52" s="236" t="s">
        <v>1395</v>
      </c>
      <c r="B52" s="2764">
        <f t="shared" ref="B52:K52" si="20">SUM(B47:B51)</f>
        <v>940130.63294867601</v>
      </c>
      <c r="C52" s="2764">
        <f t="shared" si="20"/>
        <v>958933.24560764933</v>
      </c>
      <c r="D52" s="2764">
        <f t="shared" si="20"/>
        <v>978111.91051980248</v>
      </c>
      <c r="E52" s="2764">
        <f t="shared" si="20"/>
        <v>997674.1487301985</v>
      </c>
      <c r="F52" s="2764">
        <f t="shared" si="20"/>
        <v>1017627.6317048026</v>
      </c>
      <c r="G52" s="2764">
        <f t="shared" si="20"/>
        <v>1037980.1843388984</v>
      </c>
      <c r="H52" s="2764">
        <f t="shared" si="20"/>
        <v>1058739.7880256765</v>
      </c>
      <c r="I52" s="2764">
        <f t="shared" si="20"/>
        <v>1079914.58378619</v>
      </c>
      <c r="J52" s="2764">
        <f t="shared" si="20"/>
        <v>1101512.8754619136</v>
      </c>
      <c r="K52" s="2765">
        <f t="shared" si="20"/>
        <v>1123543.1329711517</v>
      </c>
      <c r="L52" s="77"/>
      <c r="M52" s="77"/>
      <c r="N52" s="3359"/>
      <c r="O52" s="3361"/>
      <c r="P52" s="77"/>
      <c r="Q52" s="77"/>
      <c r="R52" s="77"/>
      <c r="S52" s="77"/>
      <c r="T52" s="77"/>
      <c r="U52" s="77"/>
      <c r="V52" s="77"/>
      <c r="W52" s="77"/>
      <c r="X52" s="77"/>
      <c r="Y52" s="77"/>
      <c r="Z52" s="1292" t="s">
        <v>1413</v>
      </c>
      <c r="AA52" s="1294">
        <v>52</v>
      </c>
    </row>
    <row r="53" spans="1:27" ht="13.35" customHeight="1">
      <c r="A53" s="236" t="s">
        <v>1396</v>
      </c>
      <c r="B53" s="2764">
        <f t="shared" ref="B53:K53" si="21">$B$21*(1+$B$7)^(B46-1)</f>
        <v>-538008.7002264529</v>
      </c>
      <c r="C53" s="2764">
        <f t="shared" si="21"/>
        <v>-554148.96123324649</v>
      </c>
      <c r="D53" s="2764">
        <f t="shared" si="21"/>
        <v>-570773.43007024389</v>
      </c>
      <c r="E53" s="2764">
        <f t="shared" si="21"/>
        <v>-587896.63297235116</v>
      </c>
      <c r="F53" s="2764">
        <f t="shared" si="21"/>
        <v>-605533.53196152172</v>
      </c>
      <c r="G53" s="2764">
        <f t="shared" si="21"/>
        <v>-623699.53792036744</v>
      </c>
      <c r="H53" s="2764">
        <f t="shared" si="21"/>
        <v>-642410.5240579783</v>
      </c>
      <c r="I53" s="2764">
        <f t="shared" si="21"/>
        <v>-661682.83977971773</v>
      </c>
      <c r="J53" s="2764">
        <f t="shared" si="21"/>
        <v>-681533.32497310918</v>
      </c>
      <c r="K53" s="2765">
        <f t="shared" si="21"/>
        <v>-701979.3247223025</v>
      </c>
      <c r="L53" s="77"/>
      <c r="M53" s="77"/>
      <c r="N53" s="3359"/>
      <c r="O53" s="3361"/>
      <c r="P53" s="77"/>
      <c r="Q53" s="77"/>
      <c r="R53" s="77"/>
      <c r="S53" s="77"/>
      <c r="T53" s="77"/>
      <c r="U53" s="77"/>
      <c r="V53" s="77"/>
      <c r="W53" s="77"/>
      <c r="X53" s="77"/>
      <c r="Y53" s="77"/>
      <c r="Z53" s="1292" t="s">
        <v>1413</v>
      </c>
      <c r="AA53" s="1294">
        <v>53</v>
      </c>
    </row>
    <row r="54" spans="1:27" ht="13.35" customHeight="1">
      <c r="A54" s="236" t="s">
        <v>1397</v>
      </c>
      <c r="B54" s="2764">
        <f>IF(AND('Part VI-Pro Forma'!$G$9="Yes",'Part VI-Pro Forma'!$G$10="Yes"),"Choose One!",IF('Part VI-Pro Forma'!$G$9="Yes",ROUND((-$K$9*(1+'Part VI-Pro Forma'!$B$7)^('Part VI-Pro Forma'!B46-1)),),IF('Part VI-Pro Forma'!$G$10="Yes",ROUND((-(SUM(B47:B50)*'Part VI-Pro Forma'!$K$10)),),"Choose mgt fee")))</f>
        <v>-69962</v>
      </c>
      <c r="C54" s="2764">
        <f>IF(AND('Part VI-Pro Forma'!$G$9="Yes",'Part VI-Pro Forma'!$G$10="Yes"),"Choose One!",IF('Part VI-Pro Forma'!$G$9="Yes",ROUND((-$K$9*(1+'Part VI-Pro Forma'!$B$7)^('Part VI-Pro Forma'!C46-1)),),IF('Part VI-Pro Forma'!$G$10="Yes",ROUND((-(SUM(C47:C50)*'Part VI-Pro Forma'!$K$10)),),"Choose mgt fee")))</f>
        <v>-72060</v>
      </c>
      <c r="D54" s="2764">
        <f>IF(AND('Part VI-Pro Forma'!$G$9="Yes",'Part VI-Pro Forma'!$G$10="Yes"),"Choose One!",IF('Part VI-Pro Forma'!$G$9="Yes",ROUND((-$K$9*(1+'Part VI-Pro Forma'!$B$7)^('Part VI-Pro Forma'!D46-1)),),IF('Part VI-Pro Forma'!$G$10="Yes",ROUND((-(SUM(D47:D50)*'Part VI-Pro Forma'!$K$10)),),"Choose mgt fee")))</f>
        <v>-74222</v>
      </c>
      <c r="E54" s="2764">
        <f>IF(AND('Part VI-Pro Forma'!$G$9="Yes",'Part VI-Pro Forma'!$G$10="Yes"),"Choose One!",IF('Part VI-Pro Forma'!$G$9="Yes",ROUND((-$K$9*(1+'Part VI-Pro Forma'!$B$7)^('Part VI-Pro Forma'!E46-1)),),IF('Part VI-Pro Forma'!$G$10="Yes",ROUND((-(SUM(E47:E50)*'Part VI-Pro Forma'!$K$10)),),"Choose mgt fee")))</f>
        <v>-76449</v>
      </c>
      <c r="F54" s="2764">
        <f>IF(AND('Part VI-Pro Forma'!$G$9="Yes",'Part VI-Pro Forma'!$G$10="Yes"),"Choose One!",IF('Part VI-Pro Forma'!$G$9="Yes",ROUND((-$K$9*(1+'Part VI-Pro Forma'!$B$7)^('Part VI-Pro Forma'!F46-1)),),IF('Part VI-Pro Forma'!$G$10="Yes",ROUND((-(SUM(F47:F50)*'Part VI-Pro Forma'!$K$10)),),"Choose mgt fee")))</f>
        <v>-78742</v>
      </c>
      <c r="G54" s="2764">
        <f>IF(AND('Part VI-Pro Forma'!$G$9="Yes",'Part VI-Pro Forma'!$G$10="Yes"),"Choose One!",IF('Part VI-Pro Forma'!$G$9="Yes",ROUND((-$K$9*(1+'Part VI-Pro Forma'!$B$7)^('Part VI-Pro Forma'!G46-1)),),IF('Part VI-Pro Forma'!$G$10="Yes",ROUND((-(SUM(G47:G50)*'Part VI-Pro Forma'!$K$10)),),"Choose mgt fee")))</f>
        <v>-81105</v>
      </c>
      <c r="H54" s="2764">
        <f>IF(AND('Part VI-Pro Forma'!$G$9="Yes",'Part VI-Pro Forma'!$G$10="Yes"),"Choose One!",IF('Part VI-Pro Forma'!$G$9="Yes",ROUND((-$K$9*(1+'Part VI-Pro Forma'!$B$7)^('Part VI-Pro Forma'!H46-1)),),IF('Part VI-Pro Forma'!$G$10="Yes",ROUND((-(SUM(H47:H50)*'Part VI-Pro Forma'!$K$10)),),"Choose mgt fee")))</f>
        <v>-83538</v>
      </c>
      <c r="I54" s="2764">
        <f>IF(AND('Part VI-Pro Forma'!$G$9="Yes",'Part VI-Pro Forma'!$G$10="Yes"),"Choose One!",IF('Part VI-Pro Forma'!$G$9="Yes",ROUND((-$K$9*(1+'Part VI-Pro Forma'!$B$7)^('Part VI-Pro Forma'!I46-1)),),IF('Part VI-Pro Forma'!$G$10="Yes",ROUND((-(SUM(I47:I50)*'Part VI-Pro Forma'!$K$10)),),"Choose mgt fee")))</f>
        <v>-86044</v>
      </c>
      <c r="J54" s="2764">
        <f>IF(AND('Part VI-Pro Forma'!$G$9="Yes",'Part VI-Pro Forma'!$G$10="Yes"),"Choose One!",IF('Part VI-Pro Forma'!$G$9="Yes",ROUND((-$K$9*(1+'Part VI-Pro Forma'!$B$7)^('Part VI-Pro Forma'!J46-1)),),IF('Part VI-Pro Forma'!$G$10="Yes",ROUND((-(SUM(J47:J50)*'Part VI-Pro Forma'!$K$10)),),"Choose mgt fee")))</f>
        <v>-88625</v>
      </c>
      <c r="K54" s="2765">
        <f>IF(AND('Part VI-Pro Forma'!$G$9="Yes",'Part VI-Pro Forma'!$G$10="Yes"),"Choose One!",IF('Part VI-Pro Forma'!$G$9="Yes",ROUND((-$K$9*(1+'Part VI-Pro Forma'!$B$7)^('Part VI-Pro Forma'!K46-1)),),IF('Part VI-Pro Forma'!$G$10="Yes",ROUND((-(SUM(K47:K50)*'Part VI-Pro Forma'!$K$10)),),"Choose mgt fee")))</f>
        <v>-91284</v>
      </c>
      <c r="L54" s="77"/>
      <c r="M54" s="77"/>
      <c r="N54" s="3359"/>
      <c r="O54" s="3361"/>
      <c r="P54" s="77"/>
      <c r="Q54" s="77"/>
      <c r="R54" s="77"/>
      <c r="S54" s="77"/>
      <c r="T54" s="77"/>
      <c r="U54" s="77"/>
      <c r="V54" s="77"/>
      <c r="W54" s="77"/>
      <c r="X54" s="77"/>
      <c r="Y54" s="77"/>
      <c r="Z54" s="1292" t="s">
        <v>1413</v>
      </c>
      <c r="AA54" s="1294">
        <v>54</v>
      </c>
    </row>
    <row r="55" spans="1:27" ht="13.35" customHeight="1">
      <c r="A55" s="236" t="s">
        <v>1398</v>
      </c>
      <c r="B55" s="2764">
        <f t="shared" ref="B55:K55" si="22">$B$23*(1+$B$8)^(B46-1)</f>
        <v>-23384.14500058772</v>
      </c>
      <c r="C55" s="2764">
        <f t="shared" si="22"/>
        <v>-24085.669350605353</v>
      </c>
      <c r="D55" s="2764">
        <f t="shared" si="22"/>
        <v>-24808.239431123508</v>
      </c>
      <c r="E55" s="2764">
        <f t="shared" si="22"/>
        <v>-25552.486614057212</v>
      </c>
      <c r="F55" s="2764">
        <f t="shared" si="22"/>
        <v>-26319.061212478933</v>
      </c>
      <c r="G55" s="2764">
        <f t="shared" si="22"/>
        <v>-27108.633048853302</v>
      </c>
      <c r="H55" s="2764">
        <f t="shared" si="22"/>
        <v>-27921.892040318897</v>
      </c>
      <c r="I55" s="2764">
        <f t="shared" si="22"/>
        <v>-28759.548801528461</v>
      </c>
      <c r="J55" s="2764">
        <f t="shared" si="22"/>
        <v>-29622.335265574315</v>
      </c>
      <c r="K55" s="2765">
        <f t="shared" si="22"/>
        <v>-30511.005323541543</v>
      </c>
      <c r="L55" s="77"/>
      <c r="M55" s="77"/>
      <c r="N55" s="3359"/>
      <c r="O55" s="3361"/>
      <c r="P55" s="77"/>
      <c r="Q55" s="58"/>
      <c r="R55" s="2766"/>
      <c r="S55" s="2766"/>
      <c r="T55" s="77"/>
      <c r="U55" s="77"/>
      <c r="V55" s="77"/>
      <c r="W55" s="77"/>
      <c r="X55" s="77"/>
      <c r="Y55" s="77"/>
      <c r="Z55" s="1292" t="s">
        <v>1413</v>
      </c>
      <c r="AA55" s="1294">
        <v>55</v>
      </c>
    </row>
    <row r="56" spans="1:27" ht="13.35" customHeight="1">
      <c r="A56" s="236" t="s">
        <v>1399</v>
      </c>
      <c r="B56" s="2767">
        <f>IF(B46&lt;=+'Part V-Revenues &amp; Expenses'!$N$255,-'Part V-Revenues &amp; Expenses'!$K$255,0)</f>
        <v>0</v>
      </c>
      <c r="C56" s="2767">
        <f>IF(C46&lt;=+'Part V-Revenues &amp; Expenses'!$N$255,-'Part V-Revenues &amp; Expenses'!$K$255,0)</f>
        <v>0</v>
      </c>
      <c r="D56" s="2767">
        <f>IF(D46&lt;=+'Part V-Revenues &amp; Expenses'!$N$255,-'Part V-Revenues &amp; Expenses'!$K$255,0)</f>
        <v>0</v>
      </c>
      <c r="E56" s="2767">
        <f>IF(E46&lt;=+'Part V-Revenues &amp; Expenses'!$N$255,-'Part V-Revenues &amp; Expenses'!$K$255,0)</f>
        <v>0</v>
      </c>
      <c r="F56" s="2767">
        <f>IF(F46&lt;=+'Part V-Revenues &amp; Expenses'!$N$255,-'Part V-Revenues &amp; Expenses'!$K$255,0)</f>
        <v>0</v>
      </c>
      <c r="G56" s="2767">
        <f>IF(G46&lt;=+'Part V-Revenues &amp; Expenses'!$N$255,-'Part V-Revenues &amp; Expenses'!$K$255,0)</f>
        <v>0</v>
      </c>
      <c r="H56" s="2767">
        <f>IF(H46&lt;=+'Part V-Revenues &amp; Expenses'!$N$255,-'Part V-Revenues &amp; Expenses'!$K$255,0)</f>
        <v>0</v>
      </c>
      <c r="I56" s="2767">
        <f>IF(I46&lt;=+'Part V-Revenues &amp; Expenses'!$N$255,-'Part V-Revenues &amp; Expenses'!$K$255,0)</f>
        <v>0</v>
      </c>
      <c r="J56" s="2767">
        <f>IF(J46&lt;=+'Part V-Revenues &amp; Expenses'!$N$255,-'Part V-Revenues &amp; Expenses'!$K$255,0)</f>
        <v>0</v>
      </c>
      <c r="K56" s="2767">
        <f>IF(K46&lt;=+'Part V-Revenues &amp; Expenses'!$N$255,-'Part V-Revenues &amp; Expenses'!$K$255,0)</f>
        <v>0</v>
      </c>
      <c r="L56" s="77"/>
      <c r="M56" s="77"/>
      <c r="N56" s="3359"/>
      <c r="O56" s="3361"/>
      <c r="P56" s="77"/>
      <c r="Q56" s="77"/>
      <c r="R56" s="77"/>
      <c r="S56" s="77"/>
      <c r="T56" s="77"/>
      <c r="U56" s="77"/>
      <c r="V56" s="77"/>
      <c r="W56" s="77"/>
      <c r="X56" s="77"/>
      <c r="Y56" s="77"/>
      <c r="Z56" s="1292" t="s">
        <v>1413</v>
      </c>
      <c r="AA56" s="1294">
        <v>56</v>
      </c>
    </row>
    <row r="57" spans="1:27" ht="13.35" customHeight="1">
      <c r="A57" s="236" t="s">
        <v>1400</v>
      </c>
      <c r="B57" s="2764">
        <f t="shared" ref="B57:K57" si="23">SUM(B52:B56)</f>
        <v>308775.78772163537</v>
      </c>
      <c r="C57" s="2764">
        <f t="shared" si="23"/>
        <v>308638.61502379749</v>
      </c>
      <c r="D57" s="2764">
        <f t="shared" si="23"/>
        <v>308308.2410184351</v>
      </c>
      <c r="E57" s="2764">
        <f t="shared" si="23"/>
        <v>307776.02914379013</v>
      </c>
      <c r="F57" s="2764">
        <f t="shared" si="23"/>
        <v>307033.038530802</v>
      </c>
      <c r="G57" s="2764">
        <f t="shared" si="23"/>
        <v>306067.01336967765</v>
      </c>
      <c r="H57" s="2764">
        <f t="shared" si="23"/>
        <v>304869.37192737928</v>
      </c>
      <c r="I57" s="2764">
        <f t="shared" si="23"/>
        <v>303428.19520494383</v>
      </c>
      <c r="J57" s="2764">
        <f t="shared" si="23"/>
        <v>301732.21522323013</v>
      </c>
      <c r="K57" s="2768">
        <f t="shared" si="23"/>
        <v>299768.80292530771</v>
      </c>
      <c r="L57" s="77"/>
      <c r="M57" s="77"/>
      <c r="N57" s="3359"/>
      <c r="O57" s="3361"/>
      <c r="P57" s="77"/>
      <c r="Q57" s="77"/>
      <c r="R57" s="77"/>
      <c r="S57" s="77"/>
      <c r="T57" s="77"/>
      <c r="U57" s="77"/>
      <c r="V57" s="77"/>
      <c r="W57" s="77"/>
      <c r="X57" s="77"/>
      <c r="Y57" s="77"/>
      <c r="Z57" s="1292" t="s">
        <v>1413</v>
      </c>
      <c r="AA57" s="1294">
        <v>57</v>
      </c>
    </row>
    <row r="58" spans="1:27" ht="13.35" customHeight="1">
      <c r="A58" s="236" t="str">
        <f>$A26</f>
        <v>Mortgage A</v>
      </c>
      <c r="B58" s="2769">
        <f>IF('Part II-Sources of Funds'!$P$40="", 0,-'Part II-Sources of Funds'!$P$40)</f>
        <v>-231913.23633240676</v>
      </c>
      <c r="C58" s="2769">
        <f>IF('Part II-Sources of Funds'!$P$40="", 0,-'Part II-Sources of Funds'!$P$40)</f>
        <v>-231913.23633240676</v>
      </c>
      <c r="D58" s="2769">
        <f>IF('Part II-Sources of Funds'!$P$40="", 0,-'Part II-Sources of Funds'!$P$40)</f>
        <v>-231913.23633240676</v>
      </c>
      <c r="E58" s="2769">
        <f>IF('Part II-Sources of Funds'!$P$40="", 0,-'Part II-Sources of Funds'!$P$40)</f>
        <v>-231913.23633240676</v>
      </c>
      <c r="F58" s="2769">
        <f>IF('Part II-Sources of Funds'!$P$40="", 0,-'Part II-Sources of Funds'!$P$40)</f>
        <v>-231913.23633240676</v>
      </c>
      <c r="G58" s="2769">
        <f>IF('Part II-Sources of Funds'!$P$40="", 0,-'Part II-Sources of Funds'!$P$40)</f>
        <v>-231913.23633240676</v>
      </c>
      <c r="H58" s="2769">
        <f>IF('Part II-Sources of Funds'!$P$40="", 0,-'Part II-Sources of Funds'!$P$40)</f>
        <v>-231913.23633240676</v>
      </c>
      <c r="I58" s="2769">
        <f>IF('Part II-Sources of Funds'!$P$40="", 0,-'Part II-Sources of Funds'!$P$40)</f>
        <v>-231913.23633240676</v>
      </c>
      <c r="J58" s="2769">
        <f>IF('Part II-Sources of Funds'!$P$40="", 0,-'Part II-Sources of Funds'!$P$40)</f>
        <v>-231913.23633240676</v>
      </c>
      <c r="K58" s="2769">
        <f>IF('Part II-Sources of Funds'!$P$40="", 0,-'Part II-Sources of Funds'!$P$40)</f>
        <v>-231913.23633240676</v>
      </c>
      <c r="L58" s="77"/>
      <c r="M58" s="77"/>
      <c r="N58" s="3359"/>
      <c r="O58" s="3361"/>
      <c r="P58" s="77"/>
      <c r="Q58" s="77"/>
      <c r="R58" s="77"/>
      <c r="S58" s="77"/>
      <c r="T58" s="77"/>
      <c r="U58" s="77"/>
      <c r="V58" s="77"/>
      <c r="W58" s="77"/>
      <c r="X58" s="77"/>
      <c r="Y58" s="77"/>
      <c r="Z58" s="1292" t="s">
        <v>1413</v>
      </c>
      <c r="AA58" s="1294">
        <v>58</v>
      </c>
    </row>
    <row r="59" spans="1:27" ht="13.35" customHeight="1">
      <c r="A59" s="236" t="str">
        <f>$A27</f>
        <v>Mortgage B</v>
      </c>
      <c r="B59" s="2770">
        <f>IF('Part II-Sources of Funds'!$P$41="", 0,-'Part II-Sources of Funds'!$P$41)</f>
        <v>0</v>
      </c>
      <c r="C59" s="2770">
        <f>IF('Part II-Sources of Funds'!$P$41="", 0,-'Part II-Sources of Funds'!$P$41)</f>
        <v>0</v>
      </c>
      <c r="D59" s="2770">
        <f>IF('Part II-Sources of Funds'!$P$41="", 0,-'Part II-Sources of Funds'!$P$41)</f>
        <v>0</v>
      </c>
      <c r="E59" s="2770">
        <f>IF('Part II-Sources of Funds'!$P$41="", 0,-'Part II-Sources of Funds'!$P$41)</f>
        <v>0</v>
      </c>
      <c r="F59" s="2770">
        <f>IF('Part II-Sources of Funds'!$P$41="", 0,-'Part II-Sources of Funds'!$P$41)</f>
        <v>0</v>
      </c>
      <c r="G59" s="2770">
        <f>IF('Part II-Sources of Funds'!$P$41="", 0,-'Part II-Sources of Funds'!$P$41)</f>
        <v>0</v>
      </c>
      <c r="H59" s="2770">
        <f>IF('Part II-Sources of Funds'!$P$41="", 0,-'Part II-Sources of Funds'!$P$41)</f>
        <v>0</v>
      </c>
      <c r="I59" s="2770">
        <f>IF('Part II-Sources of Funds'!$P$41="", 0,-'Part II-Sources of Funds'!$P$41)</f>
        <v>0</v>
      </c>
      <c r="J59" s="2770">
        <f>IF('Part II-Sources of Funds'!$P$41="", 0,-'Part II-Sources of Funds'!$P$41)</f>
        <v>0</v>
      </c>
      <c r="K59" s="2770">
        <f>IF('Part II-Sources of Funds'!$P$41="", 0,-'Part II-Sources of Funds'!$P$41)</f>
        <v>0</v>
      </c>
      <c r="L59" s="77"/>
      <c r="M59" s="77"/>
      <c r="N59" s="3359"/>
      <c r="O59" s="3361"/>
      <c r="P59" s="77"/>
      <c r="Q59" s="77"/>
      <c r="R59" s="77"/>
      <c r="S59" s="77"/>
      <c r="T59" s="77"/>
      <c r="U59" s="77"/>
      <c r="V59" s="77"/>
      <c r="W59" s="77"/>
      <c r="X59" s="77"/>
      <c r="Y59" s="77"/>
      <c r="Z59" s="1292" t="s">
        <v>1413</v>
      </c>
      <c r="AA59" s="1294">
        <v>59</v>
      </c>
    </row>
    <row r="60" spans="1:27" ht="13.35" customHeight="1">
      <c r="A60" s="236" t="str">
        <f>$A28</f>
        <v>Mortgage C</v>
      </c>
      <c r="B60" s="2770">
        <f>IF('Part II-Sources of Funds'!$P$42="", 0,-'Part II-Sources of Funds'!$P$42)</f>
        <v>0</v>
      </c>
      <c r="C60" s="2770">
        <f>IF('Part II-Sources of Funds'!$P$42="", 0,-'Part II-Sources of Funds'!$P$42)</f>
        <v>0</v>
      </c>
      <c r="D60" s="2770">
        <f>IF('Part II-Sources of Funds'!$P$42="", 0,-'Part II-Sources of Funds'!$P$42)</f>
        <v>0</v>
      </c>
      <c r="E60" s="2770">
        <f>IF('Part II-Sources of Funds'!$P$42="", 0,-'Part II-Sources of Funds'!$P$42)</f>
        <v>0</v>
      </c>
      <c r="F60" s="2770">
        <f>IF('Part II-Sources of Funds'!$P$42="", 0,-'Part II-Sources of Funds'!$P$42)</f>
        <v>0</v>
      </c>
      <c r="G60" s="2770">
        <f>IF('Part II-Sources of Funds'!$P$42="", 0,-'Part II-Sources of Funds'!$P$42)</f>
        <v>0</v>
      </c>
      <c r="H60" s="2770">
        <f>IF('Part II-Sources of Funds'!$P$42="", 0,-'Part II-Sources of Funds'!$P$42)</f>
        <v>0</v>
      </c>
      <c r="I60" s="2770">
        <f>IF('Part II-Sources of Funds'!$P$42="", 0,-'Part II-Sources of Funds'!$P$42)</f>
        <v>0</v>
      </c>
      <c r="J60" s="2770">
        <f>IF('Part II-Sources of Funds'!$P$42="", 0,-'Part II-Sources of Funds'!$P$42)</f>
        <v>0</v>
      </c>
      <c r="K60" s="2770">
        <f>IF('Part II-Sources of Funds'!$P$42="", 0,-'Part II-Sources of Funds'!$P$42)</f>
        <v>0</v>
      </c>
      <c r="L60" s="77"/>
      <c r="M60" s="77"/>
      <c r="N60" s="3359"/>
      <c r="O60" s="3361"/>
      <c r="P60" s="77"/>
      <c r="Q60" s="77"/>
      <c r="R60" s="77"/>
      <c r="S60" s="77"/>
      <c r="T60" s="77"/>
      <c r="U60" s="77"/>
      <c r="V60" s="77"/>
      <c r="W60" s="77"/>
      <c r="X60" s="77"/>
      <c r="Y60" s="77"/>
      <c r="Z60" s="1292" t="s">
        <v>1413</v>
      </c>
      <c r="AA60" s="1294">
        <v>60</v>
      </c>
    </row>
    <row r="61" spans="1:27" ht="13.35" customHeight="1">
      <c r="A61" s="236" t="str">
        <f>$A29</f>
        <v>D/S Other Source,not DDF</v>
      </c>
      <c r="B61" s="2770">
        <f>IF('Part II-Sources of Funds'!$P$43="", 0,-'Part II-Sources of Funds'!$P$43)</f>
        <v>0</v>
      </c>
      <c r="C61" s="2770">
        <f>IF('Part II-Sources of Funds'!$P$43="", 0,-'Part II-Sources of Funds'!$P$43)</f>
        <v>0</v>
      </c>
      <c r="D61" s="2770">
        <f>IF('Part II-Sources of Funds'!$P$43="", 0,-'Part II-Sources of Funds'!$P$43)</f>
        <v>0</v>
      </c>
      <c r="E61" s="2770">
        <f>IF('Part II-Sources of Funds'!$P$43="", 0,-'Part II-Sources of Funds'!$P$43)</f>
        <v>0</v>
      </c>
      <c r="F61" s="2770">
        <f>IF('Part II-Sources of Funds'!$P$43="", 0,-'Part II-Sources of Funds'!$P$43)</f>
        <v>0</v>
      </c>
      <c r="G61" s="2770">
        <f>IF('Part II-Sources of Funds'!$P$43="", 0,-'Part II-Sources of Funds'!$P$43)</f>
        <v>0</v>
      </c>
      <c r="H61" s="2770">
        <f>IF('Part II-Sources of Funds'!$P$43="", 0,-'Part II-Sources of Funds'!$P$43)</f>
        <v>0</v>
      </c>
      <c r="I61" s="2770">
        <f>IF('Part II-Sources of Funds'!$P$43="", 0,-'Part II-Sources of Funds'!$P$43)</f>
        <v>0</v>
      </c>
      <c r="J61" s="2770">
        <f>IF('Part II-Sources of Funds'!$P$43="", 0,-'Part II-Sources of Funds'!$P$43)</f>
        <v>0</v>
      </c>
      <c r="K61" s="2770">
        <f>IF('Part II-Sources of Funds'!$P$43="", 0,-'Part II-Sources of Funds'!$P$43)</f>
        <v>0</v>
      </c>
      <c r="L61" s="77"/>
      <c r="M61" s="77"/>
      <c r="N61" s="3359"/>
      <c r="O61" s="3361"/>
      <c r="P61" s="77"/>
      <c r="Q61" s="77"/>
      <c r="R61" s="77"/>
      <c r="S61" s="77"/>
      <c r="T61" s="77"/>
      <c r="U61" s="77"/>
      <c r="V61" s="77"/>
      <c r="W61" s="77"/>
      <c r="X61" s="77"/>
      <c r="Y61" s="77"/>
      <c r="Z61" s="1292" t="s">
        <v>1413</v>
      </c>
      <c r="AA61" s="1294">
        <v>61</v>
      </c>
    </row>
    <row r="62" spans="1:27" ht="13.35" customHeight="1">
      <c r="A62" s="236" t="s">
        <v>1402</v>
      </c>
      <c r="B62" s="2771"/>
      <c r="C62" s="2771"/>
      <c r="D62" s="2771"/>
      <c r="E62" s="2771"/>
      <c r="F62" s="2771"/>
      <c r="G62" s="2771"/>
      <c r="H62" s="2771"/>
      <c r="I62" s="2771"/>
      <c r="J62" s="2771"/>
      <c r="K62" s="2771"/>
      <c r="L62" s="77"/>
      <c r="M62" s="77"/>
      <c r="N62" s="3359"/>
      <c r="O62" s="3361"/>
      <c r="P62" s="77"/>
      <c r="Q62" s="58"/>
      <c r="R62" s="2766"/>
      <c r="S62" s="77"/>
      <c r="T62" s="77"/>
      <c r="U62" s="77"/>
      <c r="V62" s="77"/>
      <c r="W62" s="77"/>
      <c r="X62" s="77"/>
      <c r="Y62" s="77"/>
      <c r="Z62" s="1292" t="s">
        <v>1413</v>
      </c>
      <c r="AA62" s="1294">
        <v>62</v>
      </c>
    </row>
    <row r="63" spans="1:27" ht="13.35" customHeight="1">
      <c r="A63" s="236" t="s">
        <v>1403</v>
      </c>
      <c r="B63" s="2770">
        <f>+K31</f>
        <v>-7500</v>
      </c>
      <c r="C63" s="2770">
        <f t="shared" ref="C63:K63" si="24">+B63</f>
        <v>-7500</v>
      </c>
      <c r="D63" s="2770">
        <f t="shared" si="24"/>
        <v>-7500</v>
      </c>
      <c r="E63" s="2770">
        <f t="shared" si="24"/>
        <v>-7500</v>
      </c>
      <c r="F63" s="2770">
        <f t="shared" si="24"/>
        <v>-7500</v>
      </c>
      <c r="G63" s="2770">
        <f t="shared" si="24"/>
        <v>-7500</v>
      </c>
      <c r="H63" s="2770">
        <f t="shared" si="24"/>
        <v>-7500</v>
      </c>
      <c r="I63" s="2770">
        <f t="shared" si="24"/>
        <v>-7500</v>
      </c>
      <c r="J63" s="2770">
        <f t="shared" si="24"/>
        <v>-7500</v>
      </c>
      <c r="K63" s="2770">
        <f t="shared" si="24"/>
        <v>-7500</v>
      </c>
      <c r="L63" s="77"/>
      <c r="M63" s="77"/>
      <c r="N63" s="3359"/>
      <c r="O63" s="3361"/>
      <c r="P63" s="77"/>
      <c r="Q63" s="77"/>
      <c r="R63" s="77"/>
      <c r="S63" s="77"/>
      <c r="T63" s="77"/>
      <c r="U63" s="77"/>
      <c r="V63" s="77"/>
      <c r="W63" s="77"/>
      <c r="X63" s="77"/>
      <c r="Y63" s="77"/>
      <c r="Z63" s="1292" t="s">
        <v>1413</v>
      </c>
      <c r="AA63" s="1294">
        <v>63</v>
      </c>
    </row>
    <row r="64" spans="1:27" ht="13.35" customHeight="1">
      <c r="A64" s="236" t="s">
        <v>1404</v>
      </c>
      <c r="B64" s="2773">
        <f>IF('Part II-Sources of Funds'!$P$45="", 0,-'Part II-Sources of Funds'!$P$45)</f>
        <v>0</v>
      </c>
      <c r="C64" s="2773">
        <f>IF('Part II-Sources of Funds'!$P$45="", 0,-'Part II-Sources of Funds'!$P$45)</f>
        <v>0</v>
      </c>
      <c r="D64" s="2773">
        <f>IF('Part II-Sources of Funds'!$P$45="", 0,-'Part II-Sources of Funds'!$P$45)</f>
        <v>0</v>
      </c>
      <c r="E64" s="2773">
        <f>IF('Part II-Sources of Funds'!$P$45="", 0,-'Part II-Sources of Funds'!$P$45)</f>
        <v>0</v>
      </c>
      <c r="F64" s="2773">
        <f>IF('Part II-Sources of Funds'!$P$45="", 0,-'Part II-Sources of Funds'!$P$45)</f>
        <v>0</v>
      </c>
      <c r="G64" s="2773"/>
      <c r="H64" s="2773"/>
      <c r="I64" s="2773"/>
      <c r="J64" s="2773"/>
      <c r="K64" s="2773"/>
      <c r="L64" s="77"/>
      <c r="M64" s="77"/>
      <c r="N64" s="3359"/>
      <c r="O64" s="3361"/>
      <c r="P64" s="77"/>
      <c r="Q64" s="77"/>
      <c r="R64" s="77"/>
      <c r="S64" s="77"/>
      <c r="T64" s="77"/>
      <c r="U64" s="77"/>
      <c r="V64" s="77"/>
      <c r="W64" s="77"/>
      <c r="X64" s="77"/>
      <c r="Y64" s="77"/>
      <c r="Z64" s="1292" t="s">
        <v>1413</v>
      </c>
      <c r="AA64" s="1294">
        <v>64</v>
      </c>
    </row>
    <row r="65" spans="1:27" ht="13.35" customHeight="1">
      <c r="A65" s="236" t="s">
        <v>446</v>
      </c>
      <c r="B65" s="2764">
        <f t="shared" ref="B65:K65" si="25">SUM(B57:B64)</f>
        <v>69362.551389228611</v>
      </c>
      <c r="C65" s="2764">
        <f t="shared" si="25"/>
        <v>69225.378691390739</v>
      </c>
      <c r="D65" s="2764">
        <f t="shared" si="25"/>
        <v>68895.004686028347</v>
      </c>
      <c r="E65" s="2764">
        <f t="shared" si="25"/>
        <v>68362.792811383377</v>
      </c>
      <c r="F65" s="2764">
        <f t="shared" si="25"/>
        <v>67619.802198395249</v>
      </c>
      <c r="G65" s="2764">
        <f t="shared" si="25"/>
        <v>66653.777037270891</v>
      </c>
      <c r="H65" s="2764">
        <f t="shared" si="25"/>
        <v>65456.135594972526</v>
      </c>
      <c r="I65" s="2764">
        <f t="shared" si="25"/>
        <v>64014.95887253707</v>
      </c>
      <c r="J65" s="2764">
        <f t="shared" si="25"/>
        <v>62318.978890823375</v>
      </c>
      <c r="K65" s="4715">
        <f t="shared" si="25"/>
        <v>60355.566592900956</v>
      </c>
      <c r="L65" s="77"/>
      <c r="M65" s="77"/>
      <c r="N65" s="3359"/>
      <c r="O65" s="3361"/>
      <c r="P65" s="77"/>
      <c r="Q65" s="77"/>
      <c r="R65" s="77"/>
      <c r="S65" s="77"/>
      <c r="T65" s="77"/>
      <c r="U65" s="77"/>
      <c r="V65" s="77"/>
      <c r="W65" s="77"/>
      <c r="X65" s="77"/>
      <c r="Y65" s="77"/>
      <c r="Z65" s="1292" t="s">
        <v>1413</v>
      </c>
      <c r="AA65" s="1294">
        <v>65</v>
      </c>
    </row>
    <row r="66" spans="1:27" ht="13.35" customHeight="1">
      <c r="A66" s="236" t="str">
        <f>$A34</f>
        <v>DCR Mortgage A</v>
      </c>
      <c r="B66" s="2774">
        <f t="shared" ref="B66:K66" si="26">IF(B58=0,"",-B57/B58)</f>
        <v>1.3314280487167178</v>
      </c>
      <c r="C66" s="2774">
        <f t="shared" si="26"/>
        <v>1.3308365658845727</v>
      </c>
      <c r="D66" s="2774">
        <f t="shared" si="26"/>
        <v>1.3294120072410596</v>
      </c>
      <c r="E66" s="2774">
        <f t="shared" si="26"/>
        <v>1.3271171322996305</v>
      </c>
      <c r="F66" s="2774">
        <f t="shared" si="26"/>
        <v>1.3239133884136058</v>
      </c>
      <c r="G66" s="2774">
        <f t="shared" si="26"/>
        <v>1.319747929053021</v>
      </c>
      <c r="H66" s="2774">
        <f t="shared" si="26"/>
        <v>1.3145837501504345</v>
      </c>
      <c r="I66" s="2774">
        <f t="shared" si="26"/>
        <v>1.308369457489839</v>
      </c>
      <c r="J66" s="2774">
        <f t="shared" si="26"/>
        <v>1.3010564640249778</v>
      </c>
      <c r="K66" s="2775">
        <f t="shared" si="26"/>
        <v>1.2925903138001229</v>
      </c>
      <c r="L66" s="77"/>
      <c r="M66" s="77"/>
      <c r="N66" s="3359"/>
      <c r="O66" s="3361"/>
      <c r="P66" s="77"/>
      <c r="Q66" s="77"/>
      <c r="R66" s="77"/>
      <c r="S66" s="77"/>
      <c r="T66" s="77"/>
      <c r="U66" s="77"/>
      <c r="V66" s="77"/>
      <c r="W66" s="77"/>
      <c r="X66" s="77"/>
      <c r="Y66" s="77"/>
      <c r="Z66" s="1292" t="s">
        <v>1413</v>
      </c>
      <c r="AA66" s="1294">
        <v>66</v>
      </c>
    </row>
    <row r="67" spans="1:27" ht="13.35" customHeight="1">
      <c r="A67" s="236" t="str">
        <f>$A35</f>
        <v>DCR Mortgage B</v>
      </c>
      <c r="B67" s="2774" t="str">
        <f t="shared" ref="B67:K67" si="27">IF(B59=0,"",-(B57+B58)/B59)</f>
        <v/>
      </c>
      <c r="C67" s="2774" t="str">
        <f t="shared" si="27"/>
        <v/>
      </c>
      <c r="D67" s="2774" t="str">
        <f t="shared" si="27"/>
        <v/>
      </c>
      <c r="E67" s="2774" t="str">
        <f t="shared" si="27"/>
        <v/>
      </c>
      <c r="F67" s="2774" t="str">
        <f t="shared" si="27"/>
        <v/>
      </c>
      <c r="G67" s="2774" t="str">
        <f t="shared" si="27"/>
        <v/>
      </c>
      <c r="H67" s="2774" t="str">
        <f t="shared" si="27"/>
        <v/>
      </c>
      <c r="I67" s="2774" t="str">
        <f t="shared" si="27"/>
        <v/>
      </c>
      <c r="J67" s="2774" t="str">
        <f t="shared" si="27"/>
        <v/>
      </c>
      <c r="K67" s="2775" t="str">
        <f t="shared" si="27"/>
        <v/>
      </c>
      <c r="L67" s="77"/>
      <c r="M67" s="77"/>
      <c r="N67" s="3359"/>
      <c r="O67" s="3361"/>
      <c r="P67" s="77"/>
      <c r="Q67" s="77"/>
      <c r="R67" s="77"/>
      <c r="S67" s="77"/>
      <c r="T67" s="77"/>
      <c r="U67" s="77"/>
      <c r="V67" s="77"/>
      <c r="W67" s="77"/>
      <c r="X67" s="77"/>
      <c r="Y67" s="77"/>
      <c r="Z67" s="1292" t="s">
        <v>1413</v>
      </c>
      <c r="AA67" s="1294">
        <v>67</v>
      </c>
    </row>
    <row r="68" spans="1:27" ht="13.35" customHeight="1">
      <c r="A68" s="236" t="str">
        <f>$A36</f>
        <v>DCR Mortgage C</v>
      </c>
      <c r="B68" s="2774" t="str">
        <f t="shared" ref="B68:K68" si="28">IF(B60=0,"",-(B57+B58+B59)/B60)</f>
        <v/>
      </c>
      <c r="C68" s="2774" t="str">
        <f t="shared" si="28"/>
        <v/>
      </c>
      <c r="D68" s="2774" t="str">
        <f t="shared" si="28"/>
        <v/>
      </c>
      <c r="E68" s="2774" t="str">
        <f t="shared" si="28"/>
        <v/>
      </c>
      <c r="F68" s="2774" t="str">
        <f t="shared" si="28"/>
        <v/>
      </c>
      <c r="G68" s="2774" t="str">
        <f t="shared" si="28"/>
        <v/>
      </c>
      <c r="H68" s="2774" t="str">
        <f t="shared" si="28"/>
        <v/>
      </c>
      <c r="I68" s="2774" t="str">
        <f t="shared" si="28"/>
        <v/>
      </c>
      <c r="J68" s="2774" t="str">
        <f t="shared" si="28"/>
        <v/>
      </c>
      <c r="K68" s="2775" t="str">
        <f t="shared" si="28"/>
        <v/>
      </c>
      <c r="L68" s="77"/>
      <c r="M68" s="77"/>
      <c r="N68" s="3359"/>
      <c r="O68" s="3361"/>
      <c r="P68" s="77"/>
      <c r="Q68" s="77"/>
      <c r="R68" s="77"/>
      <c r="S68" s="77"/>
      <c r="T68" s="77"/>
      <c r="U68" s="77"/>
      <c r="V68" s="77"/>
      <c r="W68" s="77"/>
      <c r="X68" s="77"/>
      <c r="Y68" s="77"/>
      <c r="Z68" s="1292" t="s">
        <v>1413</v>
      </c>
      <c r="AA68" s="1294">
        <v>68</v>
      </c>
    </row>
    <row r="69" spans="1:27" ht="13.35" customHeight="1">
      <c r="A69" s="236" t="str">
        <f>$A37</f>
        <v>DCR Other Source</v>
      </c>
      <c r="B69" s="2774" t="str">
        <f t="shared" ref="B69:K69" si="29">IF(B61=0,"",-(B57+B58+B59+B60)/B61)</f>
        <v/>
      </c>
      <c r="C69" s="2774" t="str">
        <f t="shared" si="29"/>
        <v/>
      </c>
      <c r="D69" s="2774" t="str">
        <f t="shared" si="29"/>
        <v/>
      </c>
      <c r="E69" s="2774" t="str">
        <f t="shared" si="29"/>
        <v/>
      </c>
      <c r="F69" s="2774" t="str">
        <f t="shared" si="29"/>
        <v/>
      </c>
      <c r="G69" s="2774" t="str">
        <f t="shared" si="29"/>
        <v/>
      </c>
      <c r="H69" s="2774" t="str">
        <f t="shared" si="29"/>
        <v/>
      </c>
      <c r="I69" s="2774" t="str">
        <f t="shared" si="29"/>
        <v/>
      </c>
      <c r="J69" s="2774" t="str">
        <f t="shared" si="29"/>
        <v/>
      </c>
      <c r="K69" s="2775" t="str">
        <f t="shared" si="29"/>
        <v/>
      </c>
      <c r="L69" s="77"/>
      <c r="M69" s="77"/>
      <c r="N69" s="3359"/>
      <c r="O69" s="3361"/>
      <c r="P69" s="77"/>
      <c r="Q69" s="77"/>
      <c r="R69" s="77"/>
      <c r="S69" s="77"/>
      <c r="T69" s="77"/>
      <c r="U69" s="77"/>
      <c r="V69" s="77"/>
      <c r="W69" s="77"/>
      <c r="X69" s="77"/>
      <c r="Y69" s="77"/>
      <c r="Z69" s="1292" t="s">
        <v>1413</v>
      </c>
      <c r="AA69" s="1294">
        <v>69</v>
      </c>
    </row>
    <row r="70" spans="1:27" ht="13.35" customHeight="1">
      <c r="A70" s="236" t="s">
        <v>1406</v>
      </c>
      <c r="B70" s="2774">
        <f t="shared" ref="B70:K70" si="30">IF(AND(B58=0,B59=0,B60=0,B61=0),"",-B57/(B58+B59+B60+B61))</f>
        <v>1.3314280487167178</v>
      </c>
      <c r="C70" s="2774">
        <f t="shared" si="30"/>
        <v>1.3308365658845727</v>
      </c>
      <c r="D70" s="2774">
        <f t="shared" si="30"/>
        <v>1.3294120072410596</v>
      </c>
      <c r="E70" s="2774">
        <f t="shared" si="30"/>
        <v>1.3271171322996305</v>
      </c>
      <c r="F70" s="2774">
        <f t="shared" si="30"/>
        <v>1.3239133884136058</v>
      </c>
      <c r="G70" s="2774">
        <f t="shared" si="30"/>
        <v>1.319747929053021</v>
      </c>
      <c r="H70" s="2774">
        <f t="shared" si="30"/>
        <v>1.3145837501504345</v>
      </c>
      <c r="I70" s="2774">
        <f t="shared" si="30"/>
        <v>1.308369457489839</v>
      </c>
      <c r="J70" s="2774">
        <f t="shared" si="30"/>
        <v>1.3010564640249778</v>
      </c>
      <c r="K70" s="2775">
        <f t="shared" si="30"/>
        <v>1.2925903138001229</v>
      </c>
      <c r="L70" s="77"/>
      <c r="M70" s="77"/>
      <c r="N70" s="3359"/>
      <c r="O70" s="3361"/>
      <c r="P70" s="77"/>
      <c r="Q70" s="77"/>
      <c r="R70" s="77"/>
      <c r="S70" s="77"/>
      <c r="T70" s="77"/>
      <c r="U70" s="77"/>
      <c r="V70" s="77"/>
      <c r="W70" s="77"/>
      <c r="X70" s="77"/>
      <c r="Y70" s="77"/>
      <c r="Z70" s="1292" t="s">
        <v>1413</v>
      </c>
      <c r="AA70" s="1294">
        <v>70</v>
      </c>
    </row>
    <row r="71" spans="1:27" ht="13.35" customHeight="1">
      <c r="A71" s="236" t="s">
        <v>1407</v>
      </c>
      <c r="B71" s="2776">
        <f t="shared" ref="B71:K71" si="31">IF(OR(B54="Choose mgt fee",B54="Choose One!"),"",(B47+B48+B49+B50+B51) / -(B53+B54+B55))</f>
        <v>1.4890685326262081</v>
      </c>
      <c r="C71" s="2776">
        <f t="shared" si="31"/>
        <v>1.4746135067218586</v>
      </c>
      <c r="D71" s="2776">
        <f t="shared" si="31"/>
        <v>1.460296434696982</v>
      </c>
      <c r="E71" s="2776">
        <f t="shared" si="31"/>
        <v>1.446118086723154</v>
      </c>
      <c r="F71" s="2776">
        <f t="shared" si="31"/>
        <v>1.4320790525007836</v>
      </c>
      <c r="G71" s="2776">
        <f t="shared" si="31"/>
        <v>1.4181739385347785</v>
      </c>
      <c r="H71" s="2776">
        <f t="shared" si="31"/>
        <v>1.4044055389588697</v>
      </c>
      <c r="I71" s="2776">
        <f t="shared" si="31"/>
        <v>1.3907707844812984</v>
      </c>
      <c r="J71" s="2776">
        <f t="shared" si="31"/>
        <v>1.3772687065641003</v>
      </c>
      <c r="K71" s="2777">
        <f t="shared" si="31"/>
        <v>1.3638967518065599</v>
      </c>
      <c r="L71" s="77"/>
      <c r="M71" s="77"/>
      <c r="N71" s="3359"/>
      <c r="O71" s="3361"/>
      <c r="P71" s="77"/>
      <c r="Q71" s="77"/>
      <c r="R71" s="77"/>
      <c r="S71" s="77"/>
      <c r="T71" s="77"/>
      <c r="U71" s="77"/>
      <c r="V71" s="77"/>
      <c r="W71" s="77"/>
      <c r="X71" s="77"/>
      <c r="Y71" s="77"/>
      <c r="Z71" s="1292" t="s">
        <v>1413</v>
      </c>
      <c r="AA71" s="1294">
        <v>71</v>
      </c>
    </row>
    <row r="72" spans="1:27" ht="13.35" customHeight="1">
      <c r="A72" s="236" t="s">
        <v>1408</v>
      </c>
      <c r="B72" s="2778">
        <f>IF('Part II-Sources of Funds'!$I$40="","",-FV('Part II-Sources of Funds'!$K$40/12,12,B58/12,K40))</f>
        <v>2752727.4859411637</v>
      </c>
      <c r="C72" s="2778">
        <f>IF('Part II-Sources of Funds'!$I$40="","",-FV('Part II-Sources of Funds'!$K$40/12,12,C58/12,B72))</f>
        <v>2705169.9228129988</v>
      </c>
      <c r="D72" s="2778">
        <f>IF('Part II-Sources of Funds'!$I$40="","",-FV('Part II-Sources of Funds'!$K$40/12,12,D58/12,C72))</f>
        <v>2654301.024695836</v>
      </c>
      <c r="E72" s="2778">
        <f>IF('Part II-Sources of Funds'!$I$40="","",-FV('Part II-Sources of Funds'!$K$40/12,12,E58/12,D72))</f>
        <v>2599890.2301670937</v>
      </c>
      <c r="F72" s="2778">
        <f>IF('Part II-Sources of Funds'!$I$40="","",-FV('Part II-Sources of Funds'!$K$40/12,12,F58/12,E72))</f>
        <v>2541690.9242880824</v>
      </c>
      <c r="G72" s="2778">
        <f>IF('Part II-Sources of Funds'!$I$40="","",-FV('Part II-Sources of Funds'!$K$40/12,12,G58/12,F72))</f>
        <v>2479439.3208308043</v>
      </c>
      <c r="H72" s="2778">
        <f>IF('Part II-Sources of Funds'!$I$40="","",-FV('Part II-Sources of Funds'!$K$40/12,12,H58/12,G72))</f>
        <v>2412853.2666765093</v>
      </c>
      <c r="I72" s="2778">
        <f>IF('Part II-Sources of Funds'!$I$40="","",-FV('Part II-Sources of Funds'!$K$40/12,12,I58/12,H72))</f>
        <v>2341630.9629669921</v>
      </c>
      <c r="J72" s="2778">
        <f>IF('Part II-Sources of Funds'!$I$40="","",-FV('Part II-Sources of Funds'!$K$40/12,12,J58/12,I72))</f>
        <v>2265449.5972122904</v>
      </c>
      <c r="K72" s="2778">
        <f>IF('Part II-Sources of Funds'!$I$40="","",-FV('Part II-Sources of Funds'!$K$40/12,12,K58/12,J72))</f>
        <v>2183963.8801548667</v>
      </c>
      <c r="L72" s="77"/>
      <c r="M72" s="77"/>
      <c r="N72" s="3359"/>
      <c r="O72" s="3361"/>
      <c r="P72" s="77"/>
      <c r="Q72" s="77"/>
      <c r="R72" s="77"/>
      <c r="S72" s="77"/>
      <c r="T72" s="77"/>
      <c r="U72" s="77"/>
      <c r="V72" s="77"/>
      <c r="W72" s="77"/>
      <c r="X72" s="77"/>
      <c r="Y72" s="77"/>
      <c r="Z72" s="1292" t="s">
        <v>1413</v>
      </c>
      <c r="AA72" s="1294">
        <v>72</v>
      </c>
    </row>
    <row r="73" spans="1:27" ht="13.35" customHeight="1">
      <c r="A73" s="236" t="s">
        <v>1409</v>
      </c>
      <c r="B73" s="2770">
        <f>IF('Part II-Sources of Funds'!$I$41="","",-FV('Part II-Sources of Funds'!$K$41/12,12,B59/12,K41))</f>
        <v>2544903.6539610028</v>
      </c>
      <c r="C73" s="2770">
        <f>IF('Part II-Sources of Funds'!$I$41="","",-FV('Part II-Sources of Funds'!$K$41/12,12,C59/12,B73))</f>
        <v>2570469.6565303379</v>
      </c>
      <c r="D73" s="2770">
        <f>IF('Part II-Sources of Funds'!$I$41="","",-FV('Part II-Sources of Funds'!$K$41/12,12,D59/12,C73))</f>
        <v>2596292.4941615262</v>
      </c>
      <c r="E73" s="2770">
        <f>IF('Part II-Sources of Funds'!$I$41="","",-FV('Part II-Sources of Funds'!$K$41/12,12,E59/12,D73))</f>
        <v>2622374.7470095535</v>
      </c>
      <c r="F73" s="2770">
        <f>IF('Part II-Sources of Funds'!$I$41="","",-FV('Part II-Sources of Funds'!$K$41/12,12,F59/12,E73))</f>
        <v>2648719.0211495417</v>
      </c>
      <c r="G73" s="2770">
        <f>IF('Part II-Sources of Funds'!$I$41="","",-FV('Part II-Sources of Funds'!$K$41/12,12,G59/12,F73))</f>
        <v>2675327.948837141</v>
      </c>
      <c r="H73" s="2770">
        <f>IF('Part II-Sources of Funds'!$I$41="","",-FV('Part II-Sources of Funds'!$K$41/12,12,H59/12,G73))</f>
        <v>2702204.1887715398</v>
      </c>
      <c r="I73" s="2770">
        <f>IF('Part II-Sources of Funds'!$I$41="","",-FV('Part II-Sources of Funds'!$K$41/12,12,I59/12,H73))</f>
        <v>2729350.4263611143</v>
      </c>
      <c r="J73" s="2770">
        <f>IF('Part II-Sources of Funds'!$I$41="","",-FV('Part II-Sources of Funds'!$K$41/12,12,J59/12,I73))</f>
        <v>2756769.3739917479</v>
      </c>
      <c r="K73" s="2770">
        <f>IF('Part II-Sources of Funds'!$I$41="","",-FV('Part II-Sources of Funds'!$K$41/12,12,K59/12,J73))</f>
        <v>2784463.771297846</v>
      </c>
      <c r="L73" s="77"/>
      <c r="M73" s="77"/>
      <c r="N73" s="3359"/>
      <c r="O73" s="3361"/>
      <c r="P73" s="77"/>
      <c r="Q73" s="77"/>
      <c r="R73" s="77"/>
      <c r="S73" s="77"/>
      <c r="T73" s="77"/>
      <c r="U73" s="77"/>
      <c r="V73" s="77"/>
      <c r="W73" s="77"/>
      <c r="X73" s="77"/>
      <c r="Y73" s="77"/>
      <c r="Z73" s="1292" t="s">
        <v>1413</v>
      </c>
      <c r="AA73" s="1294">
        <v>73</v>
      </c>
    </row>
    <row r="74" spans="1:27" ht="13.35" customHeight="1">
      <c r="A74" s="236" t="s">
        <v>1410</v>
      </c>
      <c r="B74" s="2770" t="str">
        <f>IF('Part II-Sources of Funds'!$I$42="","",-FV('Part II-Sources of Funds'!$K$42/12,12,B60/12,K42))</f>
        <v/>
      </c>
      <c r="C74" s="2770" t="str">
        <f>IF('Part II-Sources of Funds'!$I$42="","",-FV('Part II-Sources of Funds'!$K$42/12,12,C60/12,B74))</f>
        <v/>
      </c>
      <c r="D74" s="2770" t="str">
        <f>IF('Part II-Sources of Funds'!$I$42="","",-FV('Part II-Sources of Funds'!$K$42/12,12,D60/12,C74))</f>
        <v/>
      </c>
      <c r="E74" s="2770" t="str">
        <f>IF('Part II-Sources of Funds'!$I$42="","",-FV('Part II-Sources of Funds'!$K$42/12,12,E60/12,D74))</f>
        <v/>
      </c>
      <c r="F74" s="2770" t="str">
        <f>IF('Part II-Sources of Funds'!$I$42="","",-FV('Part II-Sources of Funds'!$K$42/12,12,F60/12,E74))</f>
        <v/>
      </c>
      <c r="G74" s="2770" t="str">
        <f>IF('Part II-Sources of Funds'!$I$42="","",-FV('Part II-Sources of Funds'!$K$42/12,12,G60/12,F74))</f>
        <v/>
      </c>
      <c r="H74" s="2770" t="str">
        <f>IF('Part II-Sources of Funds'!$I$42="","",-FV('Part II-Sources of Funds'!$K$42/12,12,H60/12,G74))</f>
        <v/>
      </c>
      <c r="I74" s="2770" t="str">
        <f>IF('Part II-Sources of Funds'!$I$42="","",-FV('Part II-Sources of Funds'!$K$42/12,12,I60/12,H74))</f>
        <v/>
      </c>
      <c r="J74" s="2770" t="str">
        <f>IF('Part II-Sources of Funds'!$I$42="","",-FV('Part II-Sources of Funds'!$K$42/12,12,J60/12,I74))</f>
        <v/>
      </c>
      <c r="K74" s="2770" t="str">
        <f>IF('Part II-Sources of Funds'!$I$42="","",-FV('Part II-Sources of Funds'!$K$42/12,12,K60/12,J74))</f>
        <v/>
      </c>
      <c r="L74" s="77"/>
      <c r="M74" s="77"/>
      <c r="N74" s="3359"/>
      <c r="O74" s="3361"/>
      <c r="P74" s="77"/>
      <c r="Q74" s="77"/>
      <c r="R74" s="77"/>
      <c r="S74" s="77"/>
      <c r="T74" s="77"/>
      <c r="U74" s="77"/>
      <c r="V74" s="77"/>
      <c r="W74" s="77"/>
      <c r="X74" s="77"/>
      <c r="Y74" s="77"/>
      <c r="Z74" s="1292" t="s">
        <v>1413</v>
      </c>
      <c r="AA74" s="1294">
        <v>74</v>
      </c>
    </row>
    <row r="75" spans="1:27" ht="13.35" customHeight="1">
      <c r="A75" s="236" t="s">
        <v>1411</v>
      </c>
      <c r="B75" s="2770" t="str">
        <f>IF('Part II-Sources of Funds'!$I$43="","",-FV('Part II-Sources of Funds'!$K$43/12,12,B61/12,K43))</f>
        <v/>
      </c>
      <c r="C75" s="2770" t="str">
        <f>IF('Part II-Sources of Funds'!$I$43="","",-FV('Part II-Sources of Funds'!$K$43/12,12,C61/12,B75))</f>
        <v/>
      </c>
      <c r="D75" s="2770" t="str">
        <f>IF('Part II-Sources of Funds'!$I$43="","",-FV('Part II-Sources of Funds'!$K$43/12,12,D61/12,C75))</f>
        <v/>
      </c>
      <c r="E75" s="2770" t="str">
        <f>IF('Part II-Sources of Funds'!$I$43="","",-FV('Part II-Sources of Funds'!$K$43/12,12,E61/12,D75))</f>
        <v/>
      </c>
      <c r="F75" s="2770" t="str">
        <f>IF('Part II-Sources of Funds'!$I$43="","",-FV('Part II-Sources of Funds'!$K$43/12,12,F61/12,E75))</f>
        <v/>
      </c>
      <c r="G75" s="2770" t="str">
        <f>IF('Part II-Sources of Funds'!$I$43="","",-FV('Part II-Sources of Funds'!$K$43/12,12,G61/12,F75))</f>
        <v/>
      </c>
      <c r="H75" s="2770" t="str">
        <f>IF('Part II-Sources of Funds'!$I$43="","",-FV('Part II-Sources of Funds'!$K$43/12,12,H61/12,G75))</f>
        <v/>
      </c>
      <c r="I75" s="2770" t="str">
        <f>IF('Part II-Sources of Funds'!$I$43="","",-FV('Part II-Sources of Funds'!$K$43/12,12,I61/12,H75))</f>
        <v/>
      </c>
      <c r="J75" s="2770" t="str">
        <f>IF('Part II-Sources of Funds'!$I$43="","",-FV('Part II-Sources of Funds'!$K$43/12,12,J61/12,I75))</f>
        <v/>
      </c>
      <c r="K75" s="2770" t="str">
        <f>IF('Part II-Sources of Funds'!$I$43="","",-FV('Part II-Sources of Funds'!$K$43/12,12,K61/12,J75))</f>
        <v/>
      </c>
      <c r="L75" s="77"/>
      <c r="M75" s="77"/>
      <c r="N75" s="3359"/>
      <c r="O75" s="3361"/>
      <c r="P75" s="77"/>
      <c r="Q75" s="77"/>
      <c r="R75" s="77"/>
      <c r="S75" s="77"/>
      <c r="T75" s="77"/>
      <c r="U75" s="77"/>
      <c r="V75" s="77"/>
      <c r="W75" s="77"/>
      <c r="X75" s="77"/>
      <c r="Y75" s="77"/>
      <c r="Z75" s="1292" t="s">
        <v>1413</v>
      </c>
      <c r="AA75" s="1294">
        <v>75</v>
      </c>
    </row>
    <row r="76" spans="1:27" ht="13.35" customHeight="1">
      <c r="A76" s="236" t="s">
        <v>1412</v>
      </c>
      <c r="B76" s="2773">
        <f>IF('Part II-Sources of Funds'!$I$45="","",IF(-FV('Part II-Sources of Funds'!$K$45/12,12,B64/12,K44)&gt;0,-FV('Part II-Sources of Funds'!$K$45/12,12,B64/12,K44),0))</f>
        <v>0</v>
      </c>
      <c r="C76" s="2773">
        <f>IF('Part II-Sources of Funds'!$I$45="","",IF(-FV('Part II-Sources of Funds'!$K$45/12,12,C64/12,B76)&gt;0,-FV('Part II-Sources of Funds'!$K$45/12,12,C64/12,B76),0))</f>
        <v>0</v>
      </c>
      <c r="D76" s="2773">
        <f>IF('Part II-Sources of Funds'!$I$45="","",IF(-FV('Part II-Sources of Funds'!$K$45/12,12,D64/12,C76)&gt;0,-FV('Part II-Sources of Funds'!$K$45/12,12,D64/12,C76),0))</f>
        <v>0</v>
      </c>
      <c r="E76" s="2773">
        <f>IF('Part II-Sources of Funds'!$I$45="","",IF(-FV('Part II-Sources of Funds'!$K$45/12,12,E64/12,D76)&gt;0,-FV('Part II-Sources of Funds'!$K$45/12,12,E64/12,D76),0))</f>
        <v>0</v>
      </c>
      <c r="F76" s="2773">
        <f>IF('Part II-Sources of Funds'!$I$45="","",IF(-FV('Part II-Sources of Funds'!$K$45/12,12,F64/12,E76)&gt;0,-FV('Part II-Sources of Funds'!$K$45/12,12,F64/12,E76),0))</f>
        <v>0</v>
      </c>
      <c r="G76" s="2773">
        <f>IF('Part II-Sources of Funds'!$I$45="","",IF(-FV('Part II-Sources of Funds'!$K$45/12,12,G64/12,F76)&gt;0,-FV('Part II-Sources of Funds'!$K$45/12,12,G64/12,F76),0))</f>
        <v>0</v>
      </c>
      <c r="H76" s="2773" t="str">
        <f>IF('Part II-Sources of Funds'!$I$43="","",-FV('Part II-Sources of Funds'!$K$43/12,12,H62/12,G76))</f>
        <v/>
      </c>
      <c r="I76" s="2773" t="str">
        <f>IF('Part II-Sources of Funds'!$I$43="","",-FV('Part II-Sources of Funds'!$K$43/12,12,I62/12,H76))</f>
        <v/>
      </c>
      <c r="J76" s="2773" t="str">
        <f>IF('Part II-Sources of Funds'!$I$43="","",-FV('Part II-Sources of Funds'!$K$43/12,12,J62/12,I76))</f>
        <v/>
      </c>
      <c r="K76" s="2773" t="str">
        <f>IF('Part II-Sources of Funds'!$I$43="","",-FV('Part II-Sources of Funds'!$K$43/12,12,K62/12,J76))</f>
        <v/>
      </c>
      <c r="L76" s="77"/>
      <c r="M76" s="77"/>
      <c r="N76" s="3371"/>
      <c r="O76" s="3373"/>
      <c r="P76" s="77"/>
      <c r="Q76" s="77"/>
      <c r="R76" s="77"/>
      <c r="S76" s="77"/>
      <c r="T76" s="77"/>
      <c r="U76" s="77"/>
      <c r="V76" s="77"/>
      <c r="W76" s="77"/>
      <c r="X76" s="77"/>
      <c r="Y76" s="77"/>
      <c r="Z76" s="1292" t="s">
        <v>1413</v>
      </c>
      <c r="AA76" s="1294">
        <v>76</v>
      </c>
    </row>
    <row r="77" spans="1:27" ht="4.3499999999999996" customHeight="1">
      <c r="A77" s="77"/>
      <c r="B77" s="2779"/>
      <c r="C77" s="2779"/>
      <c r="D77" s="2779"/>
      <c r="E77" s="2779"/>
      <c r="F77" s="2779"/>
      <c r="G77" s="2779"/>
      <c r="H77" s="2779"/>
      <c r="I77" s="2779"/>
      <c r="J77" s="2779"/>
      <c r="K77" s="2779"/>
      <c r="L77" s="77"/>
      <c r="M77" s="77"/>
      <c r="N77" s="77"/>
      <c r="O77" s="77"/>
      <c r="P77" s="77"/>
      <c r="Q77" s="77"/>
      <c r="R77" s="77"/>
      <c r="S77" s="77"/>
      <c r="T77" s="77"/>
      <c r="U77" s="77"/>
      <c r="V77" s="77"/>
      <c r="W77" s="77"/>
      <c r="X77" s="77"/>
      <c r="Y77" s="77"/>
      <c r="AA77" s="1294">
        <v>77</v>
      </c>
    </row>
    <row r="78" spans="1:27" ht="14.65" customHeight="1">
      <c r="A78" s="6" t="s">
        <v>495</v>
      </c>
      <c r="B78" s="8">
        <f>K46+1</f>
        <v>21</v>
      </c>
      <c r="C78" s="8">
        <f t="shared" ref="C78:K78" si="32">B78+1</f>
        <v>22</v>
      </c>
      <c r="D78" s="8">
        <f t="shared" si="32"/>
        <v>23</v>
      </c>
      <c r="E78" s="8">
        <f t="shared" si="32"/>
        <v>24</v>
      </c>
      <c r="F78" s="8">
        <f t="shared" si="32"/>
        <v>25</v>
      </c>
      <c r="G78" s="8">
        <f t="shared" si="32"/>
        <v>26</v>
      </c>
      <c r="H78" s="8">
        <f t="shared" si="32"/>
        <v>27</v>
      </c>
      <c r="I78" s="8">
        <f t="shared" si="32"/>
        <v>28</v>
      </c>
      <c r="J78" s="8">
        <f t="shared" si="32"/>
        <v>29</v>
      </c>
      <c r="K78" s="8">
        <f t="shared" si="32"/>
        <v>30</v>
      </c>
      <c r="L78" s="77"/>
      <c r="M78" s="77"/>
      <c r="N78" s="3021" t="s">
        <v>1282</v>
      </c>
      <c r="O78" s="3021"/>
      <c r="P78" s="77"/>
      <c r="Q78" s="77"/>
      <c r="R78" s="77"/>
      <c r="S78" s="77"/>
      <c r="T78" s="77"/>
      <c r="U78" s="77"/>
      <c r="V78" s="77"/>
      <c r="W78" s="77"/>
      <c r="X78" s="77"/>
      <c r="Y78" s="77"/>
      <c r="AA78" s="1294">
        <v>78</v>
      </c>
    </row>
    <row r="79" spans="1:27" ht="13.35" customHeight="1">
      <c r="A79" s="2762" t="s">
        <v>1387</v>
      </c>
      <c r="B79" s="2763">
        <f t="shared" ref="B79:K79" si="33">$B$15*(1+$B$6)^(B78-1)</f>
        <v>1208110.8956679055</v>
      </c>
      <c r="C79" s="2763">
        <f t="shared" si="33"/>
        <v>1232273.1135812635</v>
      </c>
      <c r="D79" s="2763">
        <f t="shared" si="33"/>
        <v>1256918.5758528889</v>
      </c>
      <c r="E79" s="2763">
        <f t="shared" si="33"/>
        <v>1282056.9473699464</v>
      </c>
      <c r="F79" s="2763">
        <f t="shared" si="33"/>
        <v>1307698.0863173453</v>
      </c>
      <c r="G79" s="2763">
        <f t="shared" si="33"/>
        <v>1333852.0480436923</v>
      </c>
      <c r="H79" s="2763">
        <f t="shared" si="33"/>
        <v>1360529.0890045662</v>
      </c>
      <c r="I79" s="2763">
        <f t="shared" si="33"/>
        <v>1387739.6707846574</v>
      </c>
      <c r="J79" s="2763">
        <f t="shared" si="33"/>
        <v>1415494.4642003507</v>
      </c>
      <c r="K79" s="4715">
        <f t="shared" si="33"/>
        <v>1443804.3534843575</v>
      </c>
      <c r="L79" s="77"/>
      <c r="M79" s="77"/>
      <c r="N79" s="3365"/>
      <c r="O79" s="3367"/>
      <c r="P79" s="77"/>
      <c r="Q79" s="77"/>
      <c r="R79" s="77"/>
      <c r="S79" s="77"/>
      <c r="T79" s="77"/>
      <c r="U79" s="77"/>
      <c r="V79" s="77"/>
      <c r="W79" s="77"/>
      <c r="X79" s="77"/>
      <c r="Y79" s="77"/>
      <c r="Z79" s="1292" t="s">
        <v>1414</v>
      </c>
      <c r="AA79" s="1294">
        <v>79</v>
      </c>
    </row>
    <row r="80" spans="1:27" ht="13.35" customHeight="1">
      <c r="A80" s="236" t="s">
        <v>1272</v>
      </c>
      <c r="B80" s="2764">
        <f t="shared" ref="B80:K80" si="34">$B$16*(1+$B$6)^(B78-1)</f>
        <v>24162.217913358108</v>
      </c>
      <c r="C80" s="2764">
        <f t="shared" si="34"/>
        <v>24645.462271625271</v>
      </c>
      <c r="D80" s="2764">
        <f t="shared" si="34"/>
        <v>25138.371517057774</v>
      </c>
      <c r="E80" s="2764">
        <f t="shared" si="34"/>
        <v>25641.138947398926</v>
      </c>
      <c r="F80" s="2764">
        <f t="shared" si="34"/>
        <v>26153.961726346908</v>
      </c>
      <c r="G80" s="2764">
        <f t="shared" si="34"/>
        <v>26677.040960873845</v>
      </c>
      <c r="H80" s="2764">
        <f t="shared" si="34"/>
        <v>27210.581780091325</v>
      </c>
      <c r="I80" s="2764">
        <f t="shared" si="34"/>
        <v>27754.793415693144</v>
      </c>
      <c r="J80" s="2764">
        <f t="shared" si="34"/>
        <v>28309.889284007015</v>
      </c>
      <c r="K80" s="2765">
        <f t="shared" si="34"/>
        <v>28876.08706968715</v>
      </c>
      <c r="L80" s="77"/>
      <c r="M80" s="77"/>
      <c r="N80" s="3359"/>
      <c r="O80" s="3361"/>
      <c r="P80" s="77"/>
      <c r="Q80" s="77"/>
      <c r="R80" s="77"/>
      <c r="S80" s="77"/>
      <c r="T80" s="77"/>
      <c r="U80" s="77"/>
      <c r="V80" s="77"/>
      <c r="W80" s="77"/>
      <c r="X80" s="77"/>
      <c r="Y80" s="77"/>
      <c r="Z80" s="1292" t="s">
        <v>1414</v>
      </c>
      <c r="AA80" s="1294">
        <v>80</v>
      </c>
    </row>
    <row r="81" spans="1:27" ht="13.35" customHeight="1">
      <c r="A81" s="236" t="s">
        <v>1390</v>
      </c>
      <c r="B81" s="2764">
        <f t="shared" ref="B81:K81" si="35">-(B79+B80)*$B$9</f>
        <v>-86259.117950688451</v>
      </c>
      <c r="C81" s="2764">
        <f t="shared" si="35"/>
        <v>-87984.300309702216</v>
      </c>
      <c r="D81" s="2764">
        <f t="shared" si="35"/>
        <v>-89743.986315896269</v>
      </c>
      <c r="E81" s="2764">
        <f t="shared" si="35"/>
        <v>-91538.866042214184</v>
      </c>
      <c r="F81" s="2764">
        <f t="shared" si="35"/>
        <v>-93369.643363058465</v>
      </c>
      <c r="G81" s="2764">
        <f t="shared" si="35"/>
        <v>-95237.036230319645</v>
      </c>
      <c r="H81" s="2764">
        <f t="shared" si="35"/>
        <v>-97141.776954926041</v>
      </c>
      <c r="I81" s="2764">
        <f t="shared" si="35"/>
        <v>-99084.612494024535</v>
      </c>
      <c r="J81" s="2764">
        <f t="shared" si="35"/>
        <v>-101066.30474390504</v>
      </c>
      <c r="K81" s="2765">
        <f t="shared" si="35"/>
        <v>-103087.63083878314</v>
      </c>
      <c r="L81" s="77"/>
      <c r="M81" s="77"/>
      <c r="N81" s="3359"/>
      <c r="O81" s="3361"/>
      <c r="P81" s="77"/>
      <c r="Q81" s="77"/>
      <c r="R81" s="77"/>
      <c r="S81" s="77"/>
      <c r="T81" s="77"/>
      <c r="U81" s="77"/>
      <c r="V81" s="77"/>
      <c r="W81" s="77"/>
      <c r="X81" s="77"/>
      <c r="Y81" s="77"/>
      <c r="Z81" s="1292" t="s">
        <v>1414</v>
      </c>
      <c r="AA81" s="1294">
        <v>81</v>
      </c>
    </row>
    <row r="82" spans="1:27" ht="13.35" customHeight="1">
      <c r="A82" s="236" t="s">
        <v>1393</v>
      </c>
      <c r="B82" s="2764">
        <f>'Part V-Revenues &amp; Expenses'!H207</f>
        <v>0</v>
      </c>
      <c r="C82" s="2764">
        <f>'Part V-Revenues &amp; Expenses'!I207</f>
        <v>0</v>
      </c>
      <c r="D82" s="2764">
        <f>'Part V-Revenues &amp; Expenses'!J207</f>
        <v>0</v>
      </c>
      <c r="E82" s="2764">
        <f>'Part V-Revenues &amp; Expenses'!K207</f>
        <v>0</v>
      </c>
      <c r="F82" s="2764">
        <f>'Part V-Revenues &amp; Expenses'!L207</f>
        <v>0</v>
      </c>
      <c r="G82" s="2764">
        <f>'Part V-Revenues &amp; Expenses'!M207</f>
        <v>0</v>
      </c>
      <c r="H82" s="2764">
        <f>'Part V-Revenues &amp; Expenses'!N207</f>
        <v>0</v>
      </c>
      <c r="I82" s="2764">
        <f>'Part V-Revenues &amp; Expenses'!O207</f>
        <v>0</v>
      </c>
      <c r="J82" s="2764">
        <f>'Part V-Revenues &amp; Expenses'!P207</f>
        <v>0</v>
      </c>
      <c r="K82" s="2765">
        <f>'Part V-Revenues &amp; Expenses'!Q207</f>
        <v>0</v>
      </c>
      <c r="L82" s="77"/>
      <c r="M82" s="77"/>
      <c r="N82" s="3359"/>
      <c r="O82" s="3361"/>
      <c r="P82" s="77"/>
      <c r="Q82" s="77"/>
      <c r="R82" s="77"/>
      <c r="S82" s="77"/>
      <c r="T82" s="77"/>
      <c r="U82" s="77"/>
      <c r="V82" s="77"/>
      <c r="W82" s="77"/>
      <c r="X82" s="77"/>
      <c r="Y82" s="77"/>
      <c r="Z82" s="1292" t="s">
        <v>1414</v>
      </c>
      <c r="AA82" s="1294">
        <v>82</v>
      </c>
    </row>
    <row r="83" spans="1:27" ht="13.35" customHeight="1">
      <c r="A83" s="236" t="s">
        <v>1394</v>
      </c>
      <c r="B83" s="2764">
        <f>'Part V-Revenues &amp; Expenses'!H211</f>
        <v>0</v>
      </c>
      <c r="C83" s="2764">
        <f>'Part V-Revenues &amp; Expenses'!I211</f>
        <v>0</v>
      </c>
      <c r="D83" s="2764">
        <f>'Part V-Revenues &amp; Expenses'!J211</f>
        <v>0</v>
      </c>
      <c r="E83" s="2764">
        <f>'Part V-Revenues &amp; Expenses'!K211</f>
        <v>0</v>
      </c>
      <c r="F83" s="2764">
        <f>'Part V-Revenues &amp; Expenses'!L211</f>
        <v>0</v>
      </c>
      <c r="G83" s="2764">
        <f>'Part V-Revenues &amp; Expenses'!M211</f>
        <v>0</v>
      </c>
      <c r="H83" s="2764">
        <f>'Part V-Revenues &amp; Expenses'!N211</f>
        <v>0</v>
      </c>
      <c r="I83" s="2764">
        <f>'Part V-Revenues &amp; Expenses'!O211</f>
        <v>0</v>
      </c>
      <c r="J83" s="2764">
        <f>'Part V-Revenues &amp; Expenses'!P211</f>
        <v>0</v>
      </c>
      <c r="K83" s="2765">
        <f>'Part V-Revenues &amp; Expenses'!Q211</f>
        <v>0</v>
      </c>
      <c r="L83" s="77"/>
      <c r="M83" s="77"/>
      <c r="N83" s="3359"/>
      <c r="O83" s="3361"/>
      <c r="P83" s="77"/>
      <c r="Q83" s="77"/>
      <c r="R83" s="77"/>
      <c r="S83" s="77"/>
      <c r="T83" s="77"/>
      <c r="U83" s="77"/>
      <c r="V83" s="77"/>
      <c r="W83" s="77"/>
      <c r="X83" s="77"/>
      <c r="Y83" s="77"/>
      <c r="Z83" s="1292" t="s">
        <v>1414</v>
      </c>
      <c r="AA83" s="1294">
        <v>83</v>
      </c>
    </row>
    <row r="84" spans="1:27" ht="13.35" customHeight="1">
      <c r="A84" s="236" t="s">
        <v>1395</v>
      </c>
      <c r="B84" s="2764">
        <f t="shared" ref="B84:K84" si="36">SUM(B79:B83)</f>
        <v>1146013.9956305751</v>
      </c>
      <c r="C84" s="2764">
        <f t="shared" si="36"/>
        <v>1168934.2755431863</v>
      </c>
      <c r="D84" s="2764">
        <f t="shared" si="36"/>
        <v>1192312.9610540504</v>
      </c>
      <c r="E84" s="2764">
        <f t="shared" si="36"/>
        <v>1216159.2202751311</v>
      </c>
      <c r="F84" s="2764">
        <f t="shared" si="36"/>
        <v>1240482.4046806337</v>
      </c>
      <c r="G84" s="2764">
        <f t="shared" si="36"/>
        <v>1265292.0527742465</v>
      </c>
      <c r="H84" s="2764">
        <f t="shared" si="36"/>
        <v>1290597.8938297315</v>
      </c>
      <c r="I84" s="2764">
        <f t="shared" si="36"/>
        <v>1316409.851706326</v>
      </c>
      <c r="J84" s="2764">
        <f t="shared" si="36"/>
        <v>1342738.0487404526</v>
      </c>
      <c r="K84" s="2765">
        <f t="shared" si="36"/>
        <v>1369592.8097152615</v>
      </c>
      <c r="L84" s="77"/>
      <c r="M84" s="77"/>
      <c r="N84" s="3359"/>
      <c r="O84" s="3361"/>
      <c r="P84" s="77"/>
      <c r="Q84" s="77"/>
      <c r="R84" s="77"/>
      <c r="S84" s="77"/>
      <c r="T84" s="77"/>
      <c r="U84" s="77"/>
      <c r="V84" s="77"/>
      <c r="W84" s="77"/>
      <c r="X84" s="77"/>
      <c r="Y84" s="77"/>
      <c r="Z84" s="1292" t="s">
        <v>1414</v>
      </c>
      <c r="AA84" s="1294">
        <v>84</v>
      </c>
    </row>
    <row r="85" spans="1:27" ht="13.35" customHeight="1">
      <c r="A85" s="236" t="s">
        <v>1396</v>
      </c>
      <c r="B85" s="2764">
        <f t="shared" ref="B85:K85" si="37">$B$21*(1+$B$7)^(B78-1)</f>
        <v>-723038.70446397155</v>
      </c>
      <c r="C85" s="2764">
        <f t="shared" si="37"/>
        <v>-744729.86559789057</v>
      </c>
      <c r="D85" s="2764">
        <f t="shared" si="37"/>
        <v>-767071.76156582742</v>
      </c>
      <c r="E85" s="2764">
        <f t="shared" si="37"/>
        <v>-790083.9144128022</v>
      </c>
      <c r="F85" s="2764">
        <f t="shared" si="37"/>
        <v>-813786.43184518616</v>
      </c>
      <c r="G85" s="2764">
        <f t="shared" si="37"/>
        <v>-838200.02480054181</v>
      </c>
      <c r="H85" s="2764">
        <f t="shared" si="37"/>
        <v>-863346.02554455819</v>
      </c>
      <c r="I85" s="2764">
        <f t="shared" si="37"/>
        <v>-889246.40631089476</v>
      </c>
      <c r="J85" s="2764">
        <f t="shared" si="37"/>
        <v>-915923.79850022169</v>
      </c>
      <c r="K85" s="2765">
        <f t="shared" si="37"/>
        <v>-943401.51245522813</v>
      </c>
      <c r="L85" s="77"/>
      <c r="M85" s="77"/>
      <c r="N85" s="3359"/>
      <c r="O85" s="3361"/>
      <c r="P85" s="77"/>
      <c r="Q85" s="77"/>
      <c r="R85" s="77"/>
      <c r="S85" s="77"/>
      <c r="T85" s="77"/>
      <c r="U85" s="77"/>
      <c r="V85" s="77"/>
      <c r="W85" s="77"/>
      <c r="X85" s="77"/>
      <c r="Y85" s="77"/>
      <c r="Z85" s="1292" t="s">
        <v>1414</v>
      </c>
      <c r="AA85" s="1294">
        <v>85</v>
      </c>
    </row>
    <row r="86" spans="1:27" ht="13.35" customHeight="1">
      <c r="A86" s="236" t="s">
        <v>1397</v>
      </c>
      <c r="B86" s="2764">
        <f>IF(AND('Part VI-Pro Forma'!$G$9="Yes",'Part VI-Pro Forma'!$G$10="Yes"),"Choose One!",IF('Part VI-Pro Forma'!$G$9="Yes",ROUND((-$K$9*(1+'Part VI-Pro Forma'!$B$7)^('Part VI-Pro Forma'!B78-1)),),IF('Part VI-Pro Forma'!$G$10="Yes",ROUND((-(SUM(B79:B82)*'Part VI-Pro Forma'!$K$10)),),"Choose mgt fee")))</f>
        <v>-94023</v>
      </c>
      <c r="C86" s="2764">
        <f>IF(AND('Part VI-Pro Forma'!$G$9="Yes",'Part VI-Pro Forma'!$G$10="Yes"),"Choose One!",IF('Part VI-Pro Forma'!$G$9="Yes",ROUND((-$K$9*(1+'Part VI-Pro Forma'!$B$7)^('Part VI-Pro Forma'!C78-1)),),IF('Part VI-Pro Forma'!$G$10="Yes",ROUND((-(SUM(C79:C82)*'Part VI-Pro Forma'!$K$10)),),"Choose mgt fee")))</f>
        <v>-96843</v>
      </c>
      <c r="D86" s="2764">
        <f>IF(AND('Part VI-Pro Forma'!$G$9="Yes",'Part VI-Pro Forma'!$G$10="Yes"),"Choose One!",IF('Part VI-Pro Forma'!$G$9="Yes",ROUND((-$K$9*(1+'Part VI-Pro Forma'!$B$7)^('Part VI-Pro Forma'!D78-1)),),IF('Part VI-Pro Forma'!$G$10="Yes",ROUND((-(SUM(D79:D82)*'Part VI-Pro Forma'!$K$10)),),"Choose mgt fee")))</f>
        <v>-99749</v>
      </c>
      <c r="E86" s="2764">
        <f>IF(AND('Part VI-Pro Forma'!$G$9="Yes",'Part VI-Pro Forma'!$G$10="Yes"),"Choose One!",IF('Part VI-Pro Forma'!$G$9="Yes",ROUND((-$K$9*(1+'Part VI-Pro Forma'!$B$7)^('Part VI-Pro Forma'!E78-1)),),IF('Part VI-Pro Forma'!$G$10="Yes",ROUND((-(SUM(E79:E82)*'Part VI-Pro Forma'!$K$10)),),"Choose mgt fee")))</f>
        <v>-102741</v>
      </c>
      <c r="F86" s="2764">
        <f>IF(AND('Part VI-Pro Forma'!$G$9="Yes",'Part VI-Pro Forma'!$G$10="Yes"),"Choose One!",IF('Part VI-Pro Forma'!$G$9="Yes",ROUND((-$K$9*(1+'Part VI-Pro Forma'!$B$7)^('Part VI-Pro Forma'!F78-1)),),IF('Part VI-Pro Forma'!$G$10="Yes",ROUND((-(SUM(F79:F82)*'Part VI-Pro Forma'!$K$10)),),"Choose mgt fee")))</f>
        <v>-105823</v>
      </c>
      <c r="G86" s="2764">
        <f>IF(AND('Part VI-Pro Forma'!$G$9="Yes",'Part VI-Pro Forma'!$G$10="Yes"),"Choose One!",IF('Part VI-Pro Forma'!$G$9="Yes",ROUND((-$K$9*(1+'Part VI-Pro Forma'!$B$7)^('Part VI-Pro Forma'!G78-1)),),IF('Part VI-Pro Forma'!$G$10="Yes",ROUND((-(SUM(G79:G82)*'Part VI-Pro Forma'!$K$10)),),"Choose mgt fee")))</f>
        <v>-108998</v>
      </c>
      <c r="H86" s="2764">
        <f>IF(AND('Part VI-Pro Forma'!$G$9="Yes",'Part VI-Pro Forma'!$G$10="Yes"),"Choose One!",IF('Part VI-Pro Forma'!$G$9="Yes",ROUND((-$K$9*(1+'Part VI-Pro Forma'!$B$7)^('Part VI-Pro Forma'!H78-1)),),IF('Part VI-Pro Forma'!$G$10="Yes",ROUND((-(SUM(H79:H82)*'Part VI-Pro Forma'!$K$10)),),"Choose mgt fee")))</f>
        <v>-112268</v>
      </c>
      <c r="I86" s="2764">
        <f>IF(AND('Part VI-Pro Forma'!$G$9="Yes",'Part VI-Pro Forma'!$G$10="Yes"),"Choose One!",IF('Part VI-Pro Forma'!$G$9="Yes",ROUND((-$K$9*(1+'Part VI-Pro Forma'!$B$7)^('Part VI-Pro Forma'!I78-1)),),IF('Part VI-Pro Forma'!$G$10="Yes",ROUND((-(SUM(I79:I82)*'Part VI-Pro Forma'!$K$10)),),"Choose mgt fee")))</f>
        <v>-115636</v>
      </c>
      <c r="J86" s="2764">
        <f>IF(AND('Part VI-Pro Forma'!$G$9="Yes",'Part VI-Pro Forma'!$G$10="Yes"),"Choose One!",IF('Part VI-Pro Forma'!$G$9="Yes",ROUND((-$K$9*(1+'Part VI-Pro Forma'!$B$7)^('Part VI-Pro Forma'!J78-1)),),IF('Part VI-Pro Forma'!$G$10="Yes",ROUND((-(SUM(J79:J82)*'Part VI-Pro Forma'!$K$10)),),"Choose mgt fee")))</f>
        <v>-119105</v>
      </c>
      <c r="K86" s="2765">
        <f>IF(AND('Part VI-Pro Forma'!$G$9="Yes",'Part VI-Pro Forma'!$G$10="Yes"),"Choose One!",IF('Part VI-Pro Forma'!$G$9="Yes",ROUND((-$K$9*(1+'Part VI-Pro Forma'!$B$7)^('Part VI-Pro Forma'!K78-1)),),IF('Part VI-Pro Forma'!$G$10="Yes",ROUND((-(SUM(K79:K82)*'Part VI-Pro Forma'!$K$10)),),"Choose mgt fee")))</f>
        <v>-122678</v>
      </c>
      <c r="L86" s="77"/>
      <c r="M86" s="77"/>
      <c r="N86" s="3359"/>
      <c r="O86" s="3361"/>
      <c r="P86" s="77"/>
      <c r="Q86" s="77"/>
      <c r="R86" s="77"/>
      <c r="S86" s="77"/>
      <c r="T86" s="77"/>
      <c r="U86" s="77"/>
      <c r="V86" s="77"/>
      <c r="W86" s="77"/>
      <c r="X86" s="77"/>
      <c r="Y86" s="77"/>
      <c r="Z86" s="1292" t="s">
        <v>1414</v>
      </c>
      <c r="AA86" s="1294">
        <v>86</v>
      </c>
    </row>
    <row r="87" spans="1:27" ht="13.35" customHeight="1">
      <c r="A87" s="236" t="s">
        <v>1398</v>
      </c>
      <c r="B87" s="2764">
        <f t="shared" ref="B87:K87" si="38">$B$23*(1+$B$8)^(B78-1)</f>
        <v>-31426.335483247789</v>
      </c>
      <c r="C87" s="2764">
        <f t="shared" si="38"/>
        <v>-32369.125547745221</v>
      </c>
      <c r="D87" s="2764">
        <f t="shared" si="38"/>
        <v>-33340.199314177582</v>
      </c>
      <c r="E87" s="2764">
        <f t="shared" si="38"/>
        <v>-34340.405293602911</v>
      </c>
      <c r="F87" s="2764">
        <f t="shared" si="38"/>
        <v>-35370.617452410988</v>
      </c>
      <c r="G87" s="2764">
        <f t="shared" si="38"/>
        <v>-36431.73597598332</v>
      </c>
      <c r="H87" s="2764">
        <f t="shared" si="38"/>
        <v>-37524.688055262828</v>
      </c>
      <c r="I87" s="2764">
        <f t="shared" si="38"/>
        <v>-38650.42869692071</v>
      </c>
      <c r="J87" s="2764">
        <f t="shared" si="38"/>
        <v>-39809.94155782833</v>
      </c>
      <c r="K87" s="2765">
        <f t="shared" si="38"/>
        <v>-41004.239804563171</v>
      </c>
      <c r="L87" s="77"/>
      <c r="M87" s="77"/>
      <c r="N87" s="3359"/>
      <c r="O87" s="3361"/>
      <c r="P87" s="77"/>
      <c r="Q87" s="58"/>
      <c r="R87" s="2766"/>
      <c r="S87" s="2766"/>
      <c r="T87" s="77"/>
      <c r="U87" s="77"/>
      <c r="V87" s="77"/>
      <c r="W87" s="77"/>
      <c r="X87" s="77"/>
      <c r="Y87" s="77"/>
      <c r="Z87" s="1292" t="s">
        <v>1414</v>
      </c>
      <c r="AA87" s="1294">
        <v>87</v>
      </c>
    </row>
    <row r="88" spans="1:27" ht="13.35" customHeight="1">
      <c r="A88" s="236" t="s">
        <v>1399</v>
      </c>
      <c r="B88" s="2767">
        <f>IF(B78&lt;=+'Part V-Revenues &amp; Expenses'!$N$255,-'Part V-Revenues &amp; Expenses'!$K$255,0)</f>
        <v>0</v>
      </c>
      <c r="C88" s="2767">
        <f>IF(C78&lt;=+'Part V-Revenues &amp; Expenses'!$N$255,-'Part V-Revenues &amp; Expenses'!$K$255,0)</f>
        <v>0</v>
      </c>
      <c r="D88" s="2767">
        <f>IF(D78&lt;=+'Part V-Revenues &amp; Expenses'!$N$255,-'Part V-Revenues &amp; Expenses'!$K$255,0)</f>
        <v>0</v>
      </c>
      <c r="E88" s="2767">
        <f>IF(E78&lt;=+'Part V-Revenues &amp; Expenses'!$N$255,-'Part V-Revenues &amp; Expenses'!$K$255,0)</f>
        <v>0</v>
      </c>
      <c r="F88" s="2767">
        <f>IF(F78&lt;=+'Part V-Revenues &amp; Expenses'!$N$255,-'Part V-Revenues &amp; Expenses'!$K$255,0)</f>
        <v>0</v>
      </c>
      <c r="G88" s="2767">
        <f>IF(G78&lt;=+'Part V-Revenues &amp; Expenses'!$N$255,-'Part V-Revenues &amp; Expenses'!$K$255,0)</f>
        <v>0</v>
      </c>
      <c r="H88" s="2767">
        <f>IF(H78&lt;=+'Part V-Revenues &amp; Expenses'!$N$255,-'Part V-Revenues &amp; Expenses'!$K$255,0)</f>
        <v>0</v>
      </c>
      <c r="I88" s="2767">
        <f>IF(I78&lt;=+'Part V-Revenues &amp; Expenses'!$N$255,-'Part V-Revenues &amp; Expenses'!$K$255,0)</f>
        <v>0</v>
      </c>
      <c r="J88" s="2767">
        <f>IF(J78&lt;=+'Part V-Revenues &amp; Expenses'!$N$255,-'Part V-Revenues &amp; Expenses'!$K$255,0)</f>
        <v>0</v>
      </c>
      <c r="K88" s="2767">
        <f>IF(K78&lt;=+'Part V-Revenues &amp; Expenses'!$N$255,-'Part V-Revenues &amp; Expenses'!$K$255,0)</f>
        <v>0</v>
      </c>
      <c r="L88" s="77"/>
      <c r="M88" s="77"/>
      <c r="N88" s="3359"/>
      <c r="O88" s="3361"/>
      <c r="P88" s="77"/>
      <c r="Q88" s="77"/>
      <c r="R88" s="77"/>
      <c r="S88" s="77"/>
      <c r="T88" s="77"/>
      <c r="U88" s="77"/>
      <c r="V88" s="77"/>
      <c r="W88" s="77"/>
      <c r="X88" s="77"/>
      <c r="Y88" s="77"/>
      <c r="Z88" s="1292" t="s">
        <v>1414</v>
      </c>
      <c r="AA88" s="1294">
        <v>88</v>
      </c>
    </row>
    <row r="89" spans="1:27" ht="13.35" customHeight="1">
      <c r="A89" s="236" t="s">
        <v>1400</v>
      </c>
      <c r="B89" s="2764">
        <f t="shared" ref="B89:K89" si="39">SUM(B84:B88)</f>
        <v>297525.9556833558</v>
      </c>
      <c r="C89" s="2764">
        <f t="shared" si="39"/>
        <v>294992.28439755057</v>
      </c>
      <c r="D89" s="2764">
        <f t="shared" si="39"/>
        <v>292152.00017404539</v>
      </c>
      <c r="E89" s="2764">
        <f t="shared" si="39"/>
        <v>288993.90056872595</v>
      </c>
      <c r="F89" s="2764">
        <f t="shared" si="39"/>
        <v>285502.35538303654</v>
      </c>
      <c r="G89" s="2764">
        <f t="shared" si="39"/>
        <v>281662.29199772142</v>
      </c>
      <c r="H89" s="2764">
        <f t="shared" si="39"/>
        <v>277459.18022991047</v>
      </c>
      <c r="I89" s="2764">
        <f t="shared" si="39"/>
        <v>272877.01669851056</v>
      </c>
      <c r="J89" s="2764">
        <f t="shared" si="39"/>
        <v>267899.3086824026</v>
      </c>
      <c r="K89" s="2768">
        <f t="shared" si="39"/>
        <v>262509.05745547015</v>
      </c>
      <c r="L89" s="77"/>
      <c r="M89" s="77"/>
      <c r="N89" s="3359"/>
      <c r="O89" s="3361"/>
      <c r="P89" s="77"/>
      <c r="Q89" s="77"/>
      <c r="R89" s="77"/>
      <c r="S89" s="77"/>
      <c r="T89" s="77"/>
      <c r="U89" s="77"/>
      <c r="V89" s="77"/>
      <c r="W89" s="77"/>
      <c r="X89" s="77"/>
      <c r="Y89" s="77"/>
      <c r="Z89" s="1292" t="s">
        <v>1414</v>
      </c>
      <c r="AA89" s="1294">
        <v>89</v>
      </c>
    </row>
    <row r="90" spans="1:27" ht="13.35" customHeight="1">
      <c r="A90" s="236" t="str">
        <f>$A58</f>
        <v>Mortgage A</v>
      </c>
      <c r="B90" s="2769">
        <f>IF('Part II-Sources of Funds'!$P$40="", 0,-'Part II-Sources of Funds'!$P$40)</f>
        <v>-231913.23633240676</v>
      </c>
      <c r="C90" s="2769">
        <f>IF('Part II-Sources of Funds'!$P$40="", 0,-'Part II-Sources of Funds'!$P$40)</f>
        <v>-231913.23633240676</v>
      </c>
      <c r="D90" s="2769">
        <f>IF('Part II-Sources of Funds'!$P$40="", 0,-'Part II-Sources of Funds'!$P$40)</f>
        <v>-231913.23633240676</v>
      </c>
      <c r="E90" s="2769">
        <f>IF('Part II-Sources of Funds'!$P$40="", 0,-'Part II-Sources of Funds'!$P$40)</f>
        <v>-231913.23633240676</v>
      </c>
      <c r="F90" s="2769">
        <f>IF('Part II-Sources of Funds'!$P$40="", 0,-'Part II-Sources of Funds'!$P$40)</f>
        <v>-231913.23633240676</v>
      </c>
      <c r="G90" s="2769">
        <f>IF('Part II-Sources of Funds'!$P$40="", 0,-'Part II-Sources of Funds'!$P$40)</f>
        <v>-231913.23633240676</v>
      </c>
      <c r="H90" s="2769">
        <f>IF('Part II-Sources of Funds'!$P$40="", 0,-'Part II-Sources of Funds'!$P$40)</f>
        <v>-231913.23633240676</v>
      </c>
      <c r="I90" s="2769">
        <f>IF('Part II-Sources of Funds'!$P$40="", 0,-'Part II-Sources of Funds'!$P$40)</f>
        <v>-231913.23633240676</v>
      </c>
      <c r="J90" s="2769">
        <f>IF('Part II-Sources of Funds'!$P$40="", 0,-'Part II-Sources of Funds'!$P$40)</f>
        <v>-231913.23633240676</v>
      </c>
      <c r="K90" s="2769">
        <f>IF('Part II-Sources of Funds'!$P$40="", 0,-'Part II-Sources of Funds'!$P$40)</f>
        <v>-231913.23633240676</v>
      </c>
      <c r="L90" s="77"/>
      <c r="M90" s="77"/>
      <c r="N90" s="3359"/>
      <c r="O90" s="3361"/>
      <c r="P90" s="77"/>
      <c r="Q90" s="77"/>
      <c r="R90" s="77"/>
      <c r="S90" s="77"/>
      <c r="T90" s="77"/>
      <c r="U90" s="77"/>
      <c r="V90" s="77"/>
      <c r="W90" s="77"/>
      <c r="X90" s="77"/>
      <c r="Y90" s="77"/>
      <c r="Z90" s="1292" t="s">
        <v>1414</v>
      </c>
      <c r="AA90" s="1294">
        <v>90</v>
      </c>
    </row>
    <row r="91" spans="1:27" ht="13.35" customHeight="1">
      <c r="A91" s="236" t="str">
        <f>$A59</f>
        <v>Mortgage B</v>
      </c>
      <c r="B91" s="2770">
        <f>IF('Part II-Sources of Funds'!$P$41="", 0,-'Part II-Sources of Funds'!$P$41)</f>
        <v>0</v>
      </c>
      <c r="C91" s="2770">
        <f>IF('Part II-Sources of Funds'!$P$41="", 0,-'Part II-Sources of Funds'!$P$41)</f>
        <v>0</v>
      </c>
      <c r="D91" s="2770">
        <f>IF('Part II-Sources of Funds'!$P$41="", 0,-'Part II-Sources of Funds'!$P$41)</f>
        <v>0</v>
      </c>
      <c r="E91" s="2770">
        <f>IF('Part II-Sources of Funds'!$P$41="", 0,-'Part II-Sources of Funds'!$P$41)</f>
        <v>0</v>
      </c>
      <c r="F91" s="2770">
        <f>IF('Part II-Sources of Funds'!$P$41="", 0,-'Part II-Sources of Funds'!$P$41)</f>
        <v>0</v>
      </c>
      <c r="G91" s="2770">
        <f>IF('Part II-Sources of Funds'!$P$41="", 0,-'Part II-Sources of Funds'!$P$41)</f>
        <v>0</v>
      </c>
      <c r="H91" s="2770">
        <f>IF('Part II-Sources of Funds'!$P$41="", 0,-'Part II-Sources of Funds'!$P$41)</f>
        <v>0</v>
      </c>
      <c r="I91" s="2770">
        <f>IF('Part II-Sources of Funds'!$P$41="", 0,-'Part II-Sources of Funds'!$P$41)</f>
        <v>0</v>
      </c>
      <c r="J91" s="2770">
        <f>IF('Part II-Sources of Funds'!$P$41="", 0,-'Part II-Sources of Funds'!$P$41)</f>
        <v>0</v>
      </c>
      <c r="K91" s="2770">
        <f>IF('Part II-Sources of Funds'!$P$41="", 0,-'Part II-Sources of Funds'!$P$41)</f>
        <v>0</v>
      </c>
      <c r="L91" s="77"/>
      <c r="M91" s="77"/>
      <c r="N91" s="3359"/>
      <c r="O91" s="3361"/>
      <c r="P91" s="77"/>
      <c r="Q91" s="77"/>
      <c r="R91" s="77"/>
      <c r="S91" s="77"/>
      <c r="T91" s="77"/>
      <c r="U91" s="77"/>
      <c r="V91" s="77"/>
      <c r="W91" s="77"/>
      <c r="X91" s="77"/>
      <c r="Y91" s="77"/>
      <c r="Z91" s="1292" t="s">
        <v>1414</v>
      </c>
      <c r="AA91" s="1294">
        <v>91</v>
      </c>
    </row>
    <row r="92" spans="1:27" ht="13.35" customHeight="1">
      <c r="A92" s="236" t="str">
        <f>$A60</f>
        <v>Mortgage C</v>
      </c>
      <c r="B92" s="2770">
        <f>IF('Part II-Sources of Funds'!$P$42="", 0,-'Part II-Sources of Funds'!$P$42)</f>
        <v>0</v>
      </c>
      <c r="C92" s="2770">
        <f>IF('Part II-Sources of Funds'!$P$42="", 0,-'Part II-Sources of Funds'!$P$42)</f>
        <v>0</v>
      </c>
      <c r="D92" s="2770">
        <f>IF('Part II-Sources of Funds'!$P$42="", 0,-'Part II-Sources of Funds'!$P$42)</f>
        <v>0</v>
      </c>
      <c r="E92" s="2770">
        <f>IF('Part II-Sources of Funds'!$P$42="", 0,-'Part II-Sources of Funds'!$P$42)</f>
        <v>0</v>
      </c>
      <c r="F92" s="2770">
        <f>IF('Part II-Sources of Funds'!$P$42="", 0,-'Part II-Sources of Funds'!$P$42)</f>
        <v>0</v>
      </c>
      <c r="G92" s="2770">
        <f>IF('Part II-Sources of Funds'!$P$42="", 0,-'Part II-Sources of Funds'!$P$42)</f>
        <v>0</v>
      </c>
      <c r="H92" s="2770">
        <f>IF('Part II-Sources of Funds'!$P$42="", 0,-'Part II-Sources of Funds'!$P$42)</f>
        <v>0</v>
      </c>
      <c r="I92" s="2770">
        <f>IF('Part II-Sources of Funds'!$P$42="", 0,-'Part II-Sources of Funds'!$P$42)</f>
        <v>0</v>
      </c>
      <c r="J92" s="2770">
        <f>IF('Part II-Sources of Funds'!$P$42="", 0,-'Part II-Sources of Funds'!$P$42)</f>
        <v>0</v>
      </c>
      <c r="K92" s="2770">
        <f>IF('Part II-Sources of Funds'!$P$42="", 0,-'Part II-Sources of Funds'!$P$42)</f>
        <v>0</v>
      </c>
      <c r="L92" s="77"/>
      <c r="M92" s="77"/>
      <c r="N92" s="3359"/>
      <c r="O92" s="3361"/>
      <c r="P92" s="77"/>
      <c r="Q92" s="77"/>
      <c r="R92" s="77"/>
      <c r="S92" s="77"/>
      <c r="T92" s="77"/>
      <c r="U92" s="77"/>
      <c r="V92" s="77"/>
      <c r="W92" s="77"/>
      <c r="X92" s="77"/>
      <c r="Y92" s="77"/>
      <c r="Z92" s="1292" t="s">
        <v>1414</v>
      </c>
      <c r="AA92" s="1294">
        <v>92</v>
      </c>
    </row>
    <row r="93" spans="1:27" ht="13.35" customHeight="1">
      <c r="A93" s="236" t="str">
        <f>$A61</f>
        <v>D/S Other Source,not DDF</v>
      </c>
      <c r="B93" s="2770">
        <f>IF('Part II-Sources of Funds'!$P$43="", 0,-'Part II-Sources of Funds'!$P$43)</f>
        <v>0</v>
      </c>
      <c r="C93" s="2770">
        <f>IF('Part II-Sources of Funds'!$P$43="", 0,-'Part II-Sources of Funds'!$P$43)</f>
        <v>0</v>
      </c>
      <c r="D93" s="2770">
        <f>IF('Part II-Sources of Funds'!$P$43="", 0,-'Part II-Sources of Funds'!$P$43)</f>
        <v>0</v>
      </c>
      <c r="E93" s="2770">
        <f>IF('Part II-Sources of Funds'!$P$43="", 0,-'Part II-Sources of Funds'!$P$43)</f>
        <v>0</v>
      </c>
      <c r="F93" s="2770">
        <f>IF('Part II-Sources of Funds'!$P$43="", 0,-'Part II-Sources of Funds'!$P$43)</f>
        <v>0</v>
      </c>
      <c r="G93" s="2770">
        <f>IF('Part II-Sources of Funds'!$P$43="", 0,-'Part II-Sources of Funds'!$P$43)</f>
        <v>0</v>
      </c>
      <c r="H93" s="2770">
        <f>IF('Part II-Sources of Funds'!$P$43="", 0,-'Part II-Sources of Funds'!$P$43)</f>
        <v>0</v>
      </c>
      <c r="I93" s="2770">
        <f>IF('Part II-Sources of Funds'!$P$43="", 0,-'Part II-Sources of Funds'!$P$43)</f>
        <v>0</v>
      </c>
      <c r="J93" s="2770">
        <f>IF('Part II-Sources of Funds'!$P$43="", 0,-'Part II-Sources of Funds'!$P$43)</f>
        <v>0</v>
      </c>
      <c r="K93" s="2770">
        <f>IF('Part II-Sources of Funds'!$P$43="", 0,-'Part II-Sources of Funds'!$P$43)</f>
        <v>0</v>
      </c>
      <c r="L93" s="77"/>
      <c r="M93" s="77"/>
      <c r="N93" s="3359"/>
      <c r="O93" s="3361"/>
      <c r="P93" s="77"/>
      <c r="Q93" s="77"/>
      <c r="R93" s="77"/>
      <c r="S93" s="77"/>
      <c r="T93" s="77"/>
      <c r="U93" s="77"/>
      <c r="V93" s="77"/>
      <c r="W93" s="77"/>
      <c r="X93" s="77"/>
      <c r="Y93" s="77"/>
      <c r="Z93" s="1292" t="s">
        <v>1414</v>
      </c>
      <c r="AA93" s="1294">
        <v>93</v>
      </c>
    </row>
    <row r="94" spans="1:27" ht="13.35" customHeight="1">
      <c r="A94" s="236" t="s">
        <v>1402</v>
      </c>
      <c r="B94" s="2771"/>
      <c r="C94" s="2771"/>
      <c r="D94" s="2771"/>
      <c r="E94" s="2771"/>
      <c r="F94" s="2771"/>
      <c r="G94" s="2771"/>
      <c r="H94" s="2771"/>
      <c r="I94" s="2771"/>
      <c r="J94" s="2771"/>
      <c r="K94" s="2771"/>
      <c r="L94" s="77"/>
      <c r="M94" s="77"/>
      <c r="N94" s="3359"/>
      <c r="O94" s="3361"/>
      <c r="P94" s="77"/>
      <c r="Q94" s="77"/>
      <c r="R94" s="77"/>
      <c r="S94" s="77"/>
      <c r="T94" s="77"/>
      <c r="U94" s="77"/>
      <c r="V94" s="77"/>
      <c r="W94" s="77"/>
      <c r="X94" s="77"/>
      <c r="Y94" s="77"/>
      <c r="Z94" s="1292" t="s">
        <v>1414</v>
      </c>
      <c r="AA94" s="1294">
        <v>94</v>
      </c>
    </row>
    <row r="95" spans="1:27" ht="13.35" customHeight="1">
      <c r="A95" s="236" t="s">
        <v>1403</v>
      </c>
      <c r="B95" s="2773">
        <f>+K63</f>
        <v>-7500</v>
      </c>
      <c r="C95" s="2773">
        <f t="shared" ref="C95:K95" si="40">+B95</f>
        <v>-7500</v>
      </c>
      <c r="D95" s="2773">
        <f t="shared" si="40"/>
        <v>-7500</v>
      </c>
      <c r="E95" s="2773">
        <f t="shared" si="40"/>
        <v>-7500</v>
      </c>
      <c r="F95" s="2773">
        <f t="shared" si="40"/>
        <v>-7500</v>
      </c>
      <c r="G95" s="2773">
        <f t="shared" si="40"/>
        <v>-7500</v>
      </c>
      <c r="H95" s="2773">
        <f t="shared" si="40"/>
        <v>-7500</v>
      </c>
      <c r="I95" s="2773">
        <f t="shared" si="40"/>
        <v>-7500</v>
      </c>
      <c r="J95" s="2773">
        <f t="shared" si="40"/>
        <v>-7500</v>
      </c>
      <c r="K95" s="2773">
        <f t="shared" si="40"/>
        <v>-7500</v>
      </c>
      <c r="L95" s="77"/>
      <c r="M95" s="77"/>
      <c r="N95" s="3359"/>
      <c r="O95" s="3361"/>
      <c r="P95" s="77"/>
      <c r="Q95" s="77"/>
      <c r="R95" s="77"/>
      <c r="S95" s="77"/>
      <c r="T95" s="77"/>
      <c r="U95" s="77"/>
      <c r="V95" s="77"/>
      <c r="W95" s="77"/>
      <c r="X95" s="77"/>
      <c r="Y95" s="77"/>
      <c r="Z95" s="1292" t="s">
        <v>1414</v>
      </c>
      <c r="AA95" s="1294">
        <v>95</v>
      </c>
    </row>
    <row r="96" spans="1:27" ht="13.35" customHeight="1">
      <c r="A96" s="236" t="s">
        <v>446</v>
      </c>
      <c r="B96" s="2764">
        <f t="shared" ref="B96:K96" si="41">SUM(B89:B95)</f>
        <v>58112.719350949046</v>
      </c>
      <c r="C96" s="2764">
        <f t="shared" si="41"/>
        <v>55579.048065143812</v>
      </c>
      <c r="D96" s="2764">
        <f t="shared" si="41"/>
        <v>52738.763841638633</v>
      </c>
      <c r="E96" s="2764">
        <f t="shared" si="41"/>
        <v>49580.664236319193</v>
      </c>
      <c r="F96" s="2764">
        <f t="shared" si="41"/>
        <v>46089.119050629786</v>
      </c>
      <c r="G96" s="2764">
        <f t="shared" si="41"/>
        <v>42249.055665314663</v>
      </c>
      <c r="H96" s="2764">
        <f t="shared" si="41"/>
        <v>38045.943897503719</v>
      </c>
      <c r="I96" s="2764">
        <f t="shared" si="41"/>
        <v>33463.780366103805</v>
      </c>
      <c r="J96" s="2764">
        <f t="shared" si="41"/>
        <v>28486.07234999584</v>
      </c>
      <c r="K96" s="2765">
        <f t="shared" si="41"/>
        <v>23095.82112306339</v>
      </c>
      <c r="L96" s="77"/>
      <c r="M96" s="77"/>
      <c r="N96" s="3359"/>
      <c r="O96" s="3361"/>
      <c r="P96" s="77"/>
      <c r="Q96" s="77"/>
      <c r="R96" s="77"/>
      <c r="S96" s="77"/>
      <c r="T96" s="77"/>
      <c r="U96" s="77"/>
      <c r="V96" s="77"/>
      <c r="W96" s="77"/>
      <c r="X96" s="77"/>
      <c r="Y96" s="77"/>
      <c r="Z96" s="1292" t="s">
        <v>1414</v>
      </c>
      <c r="AA96" s="1294">
        <v>96</v>
      </c>
    </row>
    <row r="97" spans="1:27" ht="13.35" customHeight="1">
      <c r="A97" s="236" t="str">
        <f>$A66</f>
        <v>DCR Mortgage A</v>
      </c>
      <c r="B97" s="2774">
        <f t="shared" ref="B97:K97" si="42">IF(B90=0,"",-B89/B90)</f>
        <v>1.2829192519951935</v>
      </c>
      <c r="C97" s="2774">
        <f t="shared" si="42"/>
        <v>1.2719941692967067</v>
      </c>
      <c r="D97" s="2774">
        <f t="shared" si="42"/>
        <v>1.2597469846667009</v>
      </c>
      <c r="E97" s="2774">
        <f t="shared" si="42"/>
        <v>1.2461293936431646</v>
      </c>
      <c r="F97" s="2774">
        <f t="shared" si="42"/>
        <v>1.2310739994754729</v>
      </c>
      <c r="G97" s="2774">
        <f t="shared" si="42"/>
        <v>1.2145158096712003</v>
      </c>
      <c r="H97" s="2774">
        <f t="shared" si="42"/>
        <v>1.1963921707005185</v>
      </c>
      <c r="I97" s="2774">
        <f t="shared" si="42"/>
        <v>1.1766340766655916</v>
      </c>
      <c r="J97" s="2774">
        <f t="shared" si="42"/>
        <v>1.1551704116552284</v>
      </c>
      <c r="K97" s="2775">
        <f t="shared" si="42"/>
        <v>1.1319278778862354</v>
      </c>
      <c r="L97" s="77"/>
      <c r="M97" s="77"/>
      <c r="N97" s="3359"/>
      <c r="O97" s="3361"/>
      <c r="P97" s="77"/>
      <c r="Q97" s="77"/>
      <c r="R97" s="77"/>
      <c r="S97" s="77"/>
      <c r="T97" s="77"/>
      <c r="U97" s="77"/>
      <c r="V97" s="77"/>
      <c r="W97" s="77"/>
      <c r="X97" s="77"/>
      <c r="Y97" s="77"/>
      <c r="Z97" s="1292" t="s">
        <v>1414</v>
      </c>
      <c r="AA97" s="1294">
        <v>97</v>
      </c>
    </row>
    <row r="98" spans="1:27" ht="13.35" customHeight="1">
      <c r="A98" s="236" t="str">
        <f>$A67</f>
        <v>DCR Mortgage B</v>
      </c>
      <c r="B98" s="2774" t="str">
        <f t="shared" ref="B98:K98" si="43">IF(B91=0,"",-(B89+B90)/B91)</f>
        <v/>
      </c>
      <c r="C98" s="2774" t="str">
        <f t="shared" si="43"/>
        <v/>
      </c>
      <c r="D98" s="2774" t="str">
        <f t="shared" si="43"/>
        <v/>
      </c>
      <c r="E98" s="2774" t="str">
        <f t="shared" si="43"/>
        <v/>
      </c>
      <c r="F98" s="2774" t="str">
        <f t="shared" si="43"/>
        <v/>
      </c>
      <c r="G98" s="2774" t="str">
        <f t="shared" si="43"/>
        <v/>
      </c>
      <c r="H98" s="2774" t="str">
        <f t="shared" si="43"/>
        <v/>
      </c>
      <c r="I98" s="2774" t="str">
        <f t="shared" si="43"/>
        <v/>
      </c>
      <c r="J98" s="2774" t="str">
        <f t="shared" si="43"/>
        <v/>
      </c>
      <c r="K98" s="2775" t="str">
        <f t="shared" si="43"/>
        <v/>
      </c>
      <c r="L98" s="77"/>
      <c r="M98" s="77"/>
      <c r="N98" s="3359"/>
      <c r="O98" s="3361"/>
      <c r="P98" s="77"/>
      <c r="Q98" s="77"/>
      <c r="R98" s="77"/>
      <c r="S98" s="77"/>
      <c r="T98" s="77"/>
      <c r="U98" s="77"/>
      <c r="V98" s="77"/>
      <c r="W98" s="77"/>
      <c r="X98" s="77"/>
      <c r="Y98" s="77"/>
      <c r="Z98" s="1292" t="s">
        <v>1414</v>
      </c>
      <c r="AA98" s="1294">
        <v>98</v>
      </c>
    </row>
    <row r="99" spans="1:27" ht="13.35" customHeight="1">
      <c r="A99" s="236" t="str">
        <f>$A68</f>
        <v>DCR Mortgage C</v>
      </c>
      <c r="B99" s="2774" t="str">
        <f t="shared" ref="B99:K99" si="44">IF(B92=0,"",-(B89+B90+B91)/B92)</f>
        <v/>
      </c>
      <c r="C99" s="2774" t="str">
        <f t="shared" si="44"/>
        <v/>
      </c>
      <c r="D99" s="2774" t="str">
        <f t="shared" si="44"/>
        <v/>
      </c>
      <c r="E99" s="2774" t="str">
        <f t="shared" si="44"/>
        <v/>
      </c>
      <c r="F99" s="2774" t="str">
        <f t="shared" si="44"/>
        <v/>
      </c>
      <c r="G99" s="2774" t="str">
        <f t="shared" si="44"/>
        <v/>
      </c>
      <c r="H99" s="2774" t="str">
        <f t="shared" si="44"/>
        <v/>
      </c>
      <c r="I99" s="2774" t="str">
        <f t="shared" si="44"/>
        <v/>
      </c>
      <c r="J99" s="2774" t="str">
        <f t="shared" si="44"/>
        <v/>
      </c>
      <c r="K99" s="2775" t="str">
        <f t="shared" si="44"/>
        <v/>
      </c>
      <c r="L99" s="77"/>
      <c r="M99" s="77"/>
      <c r="N99" s="3359"/>
      <c r="O99" s="3361"/>
      <c r="P99" s="77"/>
      <c r="Q99" s="77"/>
      <c r="R99" s="77"/>
      <c r="S99" s="77"/>
      <c r="T99" s="77"/>
      <c r="U99" s="77"/>
      <c r="V99" s="77"/>
      <c r="W99" s="77"/>
      <c r="X99" s="77"/>
      <c r="Y99" s="77"/>
      <c r="Z99" s="1292" t="s">
        <v>1414</v>
      </c>
      <c r="AA99" s="1294">
        <v>99</v>
      </c>
    </row>
    <row r="100" spans="1:27" ht="13.35" customHeight="1">
      <c r="A100" s="236" t="str">
        <f>$A69</f>
        <v>DCR Other Source</v>
      </c>
      <c r="B100" s="2774" t="str">
        <f t="shared" ref="B100:K100" si="45">IF(B93=0,"",-(B89+B90+B91+B92)/B93)</f>
        <v/>
      </c>
      <c r="C100" s="2774" t="str">
        <f t="shared" si="45"/>
        <v/>
      </c>
      <c r="D100" s="2774" t="str">
        <f t="shared" si="45"/>
        <v/>
      </c>
      <c r="E100" s="2774" t="str">
        <f t="shared" si="45"/>
        <v/>
      </c>
      <c r="F100" s="2774" t="str">
        <f t="shared" si="45"/>
        <v/>
      </c>
      <c r="G100" s="2774" t="str">
        <f t="shared" si="45"/>
        <v/>
      </c>
      <c r="H100" s="2774" t="str">
        <f t="shared" si="45"/>
        <v/>
      </c>
      <c r="I100" s="2774" t="str">
        <f t="shared" si="45"/>
        <v/>
      </c>
      <c r="J100" s="2774" t="str">
        <f t="shared" si="45"/>
        <v/>
      </c>
      <c r="K100" s="2775" t="str">
        <f t="shared" si="45"/>
        <v/>
      </c>
      <c r="L100" s="77"/>
      <c r="M100" s="77"/>
      <c r="N100" s="3359"/>
      <c r="O100" s="3361"/>
      <c r="P100" s="77"/>
      <c r="Q100" s="77"/>
      <c r="R100" s="77"/>
      <c r="S100" s="77"/>
      <c r="T100" s="77"/>
      <c r="U100" s="77"/>
      <c r="V100" s="77"/>
      <c r="W100" s="77"/>
      <c r="X100" s="77"/>
      <c r="Y100" s="77"/>
      <c r="Z100" s="1292" t="s">
        <v>1414</v>
      </c>
      <c r="AA100" s="1294">
        <v>100</v>
      </c>
    </row>
    <row r="101" spans="1:27" ht="13.35" customHeight="1">
      <c r="A101" s="236" t="s">
        <v>1406</v>
      </c>
      <c r="B101" s="2774">
        <f t="shared" ref="B101:K101" si="46">IF(AND(B90=0,B91=0,B92=0,B93=0),"",-B89/(B90+B91+B92+B93))</f>
        <v>1.2829192519951935</v>
      </c>
      <c r="C101" s="2774">
        <f t="shared" si="46"/>
        <v>1.2719941692967067</v>
      </c>
      <c r="D101" s="2774">
        <f t="shared" si="46"/>
        <v>1.2597469846667009</v>
      </c>
      <c r="E101" s="2774">
        <f t="shared" si="46"/>
        <v>1.2461293936431646</v>
      </c>
      <c r="F101" s="2774">
        <f t="shared" si="46"/>
        <v>1.2310739994754729</v>
      </c>
      <c r="G101" s="2774">
        <f t="shared" si="46"/>
        <v>1.2145158096712003</v>
      </c>
      <c r="H101" s="2774">
        <f t="shared" si="46"/>
        <v>1.1963921707005185</v>
      </c>
      <c r="I101" s="2774">
        <f t="shared" si="46"/>
        <v>1.1766340766655916</v>
      </c>
      <c r="J101" s="2774">
        <f t="shared" si="46"/>
        <v>1.1551704116552284</v>
      </c>
      <c r="K101" s="2775">
        <f t="shared" si="46"/>
        <v>1.1319278778862354</v>
      </c>
      <c r="L101" s="77"/>
      <c r="M101" s="77"/>
      <c r="N101" s="3359"/>
      <c r="O101" s="3361"/>
      <c r="P101" s="77"/>
      <c r="Q101" s="77"/>
      <c r="R101" s="77"/>
      <c r="S101" s="77"/>
      <c r="T101" s="77"/>
      <c r="U101" s="77"/>
      <c r="V101" s="77"/>
      <c r="W101" s="77"/>
      <c r="X101" s="77"/>
      <c r="Y101" s="77"/>
      <c r="Z101" s="1292" t="s">
        <v>1414</v>
      </c>
      <c r="AA101" s="1294">
        <v>101</v>
      </c>
    </row>
    <row r="102" spans="1:27" ht="13.35" customHeight="1">
      <c r="A102" s="236" t="s">
        <v>1407</v>
      </c>
      <c r="B102" s="2776">
        <f>IF(OR(B86="Choose mgt fee",B86="Choose One!"),"",(B79+B80+B81+B82+B83) / -(B85+B86+B87))</f>
        <v>1.3506542716876286</v>
      </c>
      <c r="C102" s="2776">
        <f t="shared" ref="C102:K102" si="47">IF(OR(C86="Choose mgt fee",C86="Choose One!"),"",(C79+C80+C81+C82+C83) / -(C85+C86+C87))</f>
        <v>1.3375421794424251</v>
      </c>
      <c r="D102" s="2776">
        <f t="shared" si="47"/>
        <v>1.3245552882991449</v>
      </c>
      <c r="E102" s="2776">
        <f t="shared" si="47"/>
        <v>1.311696193145186</v>
      </c>
      <c r="F102" s="2776">
        <f t="shared" si="47"/>
        <v>1.2989615914940087</v>
      </c>
      <c r="G102" s="2776">
        <f t="shared" si="47"/>
        <v>1.2863499085015113</v>
      </c>
      <c r="H102" s="2776">
        <f t="shared" si="47"/>
        <v>1.2738609989979162</v>
      </c>
      <c r="I102" s="2776">
        <f t="shared" si="47"/>
        <v>1.2614934648380918</v>
      </c>
      <c r="J102" s="2776">
        <f t="shared" si="47"/>
        <v>1.2492460484518206</v>
      </c>
      <c r="K102" s="2777">
        <f t="shared" si="47"/>
        <v>1.2371176136580757</v>
      </c>
      <c r="L102" s="77"/>
      <c r="M102" s="77"/>
      <c r="N102" s="3359"/>
      <c r="O102" s="3361"/>
      <c r="P102" s="77"/>
      <c r="Q102" s="77"/>
      <c r="R102" s="77"/>
      <c r="S102" s="77"/>
      <c r="T102" s="77"/>
      <c r="U102" s="77"/>
      <c r="V102" s="77"/>
      <c r="W102" s="77"/>
      <c r="X102" s="77"/>
      <c r="Y102" s="77"/>
      <c r="Z102" s="1292" t="s">
        <v>1414</v>
      </c>
      <c r="AA102" s="1294">
        <v>102</v>
      </c>
    </row>
    <row r="103" spans="1:27" ht="13.35" customHeight="1">
      <c r="A103" s="236" t="s">
        <v>1408</v>
      </c>
      <c r="B103" s="2778">
        <f>IF('Part II-Sources of Funds'!$I$40="","",-FV('Part II-Sources of Funds'!$K$40/12,12,B90/12,K72))</f>
        <v>2096804.4807586602</v>
      </c>
      <c r="C103" s="2778">
        <f>IF('Part II-Sources of Funds'!$I$40="","",-FV('Part II-Sources of Funds'!$K$40/12,12,C90/12,B103))</f>
        <v>2003576.3522296578</v>
      </c>
      <c r="D103" s="2778">
        <f>IF('Part II-Sources of Funds'!$I$40="","",-FV('Part II-Sources of Funds'!$K$40/12,12,D90/12,C103))</f>
        <v>1903856.9414807295</v>
      </c>
      <c r="E103" s="2778">
        <f>IF('Part II-Sources of Funds'!$I$40="","",-FV('Part II-Sources of Funds'!$K$40/12,12,E90/12,D103))</f>
        <v>1797194.2739251966</v>
      </c>
      <c r="F103" s="2778">
        <f>IF('Part II-Sources of Funds'!$I$40="","",-FV('Part II-Sources of Funds'!$K$40/12,12,F90/12,E103))</f>
        <v>1683104.9049185272</v>
      </c>
      <c r="G103" s="2778">
        <f>IF('Part II-Sources of Funds'!$I$40="","",-FV('Part II-Sources of Funds'!$K$40/12,12,G90/12,F103))</f>
        <v>1561071.7285631439</v>
      </c>
      <c r="H103" s="2778">
        <f>IF('Part II-Sources of Funds'!$I$40="","",-FV('Part II-Sources of Funds'!$K$40/12,12,H90/12,G103))</f>
        <v>1430541.6339448316</v>
      </c>
      <c r="I103" s="2778">
        <f>IF('Part II-Sources of Funds'!$I$40="","",-FV('Part II-Sources of Funds'!$K$40/12,12,I90/12,H103))</f>
        <v>1290922.9981777233</v>
      </c>
      <c r="J103" s="2778">
        <f>IF('Part II-Sources of Funds'!$I$40="","",-FV('Part II-Sources of Funds'!$K$40/12,12,J90/12,I103))</f>
        <v>1141583.0048951802</v>
      </c>
      <c r="K103" s="2778">
        <f>IF('Part II-Sources of Funds'!$I$40="","",-FV('Part II-Sources of Funds'!$K$40/12,12,K90/12,J103))</f>
        <v>981844.77603272605</v>
      </c>
      <c r="L103" s="77"/>
      <c r="M103" s="77"/>
      <c r="N103" s="3359"/>
      <c r="O103" s="3361"/>
      <c r="P103" s="77"/>
      <c r="Q103" s="77"/>
      <c r="R103" s="77"/>
      <c r="S103" s="77"/>
      <c r="T103" s="77"/>
      <c r="U103" s="77"/>
      <c r="V103" s="77"/>
      <c r="W103" s="77"/>
      <c r="X103" s="77"/>
      <c r="Y103" s="77"/>
      <c r="Z103" s="1292" t="s">
        <v>1414</v>
      </c>
      <c r="AA103" s="1294">
        <v>103</v>
      </c>
    </row>
    <row r="104" spans="1:27" ht="13.35" customHeight="1">
      <c r="A104" s="236" t="s">
        <v>1409</v>
      </c>
      <c r="B104" s="2770">
        <f>IF('Part II-Sources of Funds'!$I$41="","",-FV('Part II-Sources of Funds'!$K$41/12,12,B91/12,K73))</f>
        <v>2812436.3854360753</v>
      </c>
      <c r="C104" s="2770">
        <f>IF('Part II-Sources of Funds'!$I$41="","",-FV('Part II-Sources of Funds'!$K$41/12,12,C91/12,B104))</f>
        <v>2840690.0113618495</v>
      </c>
      <c r="D104" s="2770">
        <f>IF('Part II-Sources of Funds'!$I$41="","",-FV('Part II-Sources of Funds'!$K$41/12,12,D91/12,C104))</f>
        <v>2869227.4721085951</v>
      </c>
      <c r="E104" s="2770">
        <f>IF('Part II-Sources of Funds'!$I$41="","",-FV('Part II-Sources of Funds'!$K$41/12,12,E91/12,D104))</f>
        <v>2898051.6190698221</v>
      </c>
      <c r="F104" s="2770">
        <f>IF('Part II-Sources of Funds'!$I$41="","",-FV('Part II-Sources of Funds'!$K$41/12,12,F91/12,E104))</f>
        <v>2927165.3322840277</v>
      </c>
      <c r="G104" s="2770">
        <f>IF('Part II-Sources of Funds'!$I$41="","",-FV('Part II-Sources of Funds'!$K$41/12,12,G91/12,F104))</f>
        <v>2956571.5207224642</v>
      </c>
      <c r="H104" s="2770">
        <f>IF('Part II-Sources of Funds'!$I$41="","",-FV('Part II-Sources of Funds'!$K$41/12,12,H91/12,G104))</f>
        <v>2986273.1225797939</v>
      </c>
      <c r="I104" s="2770">
        <f>IF('Part II-Sources of Funds'!$I$41="","",-FV('Part II-Sources of Funds'!$K$41/12,12,I91/12,H104))</f>
        <v>3016273.105567669</v>
      </c>
      <c r="J104" s="2770">
        <f>IF('Part II-Sources of Funds'!$I$41="","",-FV('Part II-Sources of Funds'!$K$41/12,12,J91/12,I104))</f>
        <v>3046574.4672112567</v>
      </c>
      <c r="K104" s="2770">
        <f>IF('Part II-Sources of Funds'!$I$41="","",-FV('Part II-Sources of Funds'!$K$41/12,12,K91/12,J104))</f>
        <v>3077180.2351487442</v>
      </c>
      <c r="L104" s="77"/>
      <c r="M104" s="77"/>
      <c r="N104" s="3359"/>
      <c r="O104" s="3361"/>
      <c r="P104" s="77"/>
      <c r="Q104" s="77"/>
      <c r="R104" s="77"/>
      <c r="S104" s="77"/>
      <c r="T104" s="77"/>
      <c r="U104" s="77"/>
      <c r="V104" s="77"/>
      <c r="W104" s="77"/>
      <c r="X104" s="77"/>
      <c r="Y104" s="77"/>
      <c r="Z104" s="1292" t="s">
        <v>1414</v>
      </c>
      <c r="AA104" s="1294">
        <v>104</v>
      </c>
    </row>
    <row r="105" spans="1:27" ht="13.35" customHeight="1">
      <c r="A105" s="236" t="s">
        <v>1410</v>
      </c>
      <c r="B105" s="2770" t="str">
        <f>IF('Part II-Sources of Funds'!$I$42="","",-FV('Part II-Sources of Funds'!$K$42/12,12,B92/12,K74))</f>
        <v/>
      </c>
      <c r="C105" s="2770" t="str">
        <f>IF('Part II-Sources of Funds'!$I$42="","",-FV('Part II-Sources of Funds'!$K$42/12,12,C92/12,B105))</f>
        <v/>
      </c>
      <c r="D105" s="2770" t="str">
        <f>IF('Part II-Sources of Funds'!$I$42="","",-FV('Part II-Sources of Funds'!$K$42/12,12,D92/12,C105))</f>
        <v/>
      </c>
      <c r="E105" s="2770" t="str">
        <f>IF('Part II-Sources of Funds'!$I$42="","",-FV('Part II-Sources of Funds'!$K$42/12,12,E92/12,D105))</f>
        <v/>
      </c>
      <c r="F105" s="2770" t="str">
        <f>IF('Part II-Sources of Funds'!$I$42="","",-FV('Part II-Sources of Funds'!$K$42/12,12,F92/12,E105))</f>
        <v/>
      </c>
      <c r="G105" s="2770" t="str">
        <f>IF('Part II-Sources of Funds'!$I$42="","",-FV('Part II-Sources of Funds'!$K$42/12,12,G92/12,F105))</f>
        <v/>
      </c>
      <c r="H105" s="2770" t="str">
        <f>IF('Part II-Sources of Funds'!$I$42="","",-FV('Part II-Sources of Funds'!$K$42/12,12,H92/12,G105))</f>
        <v/>
      </c>
      <c r="I105" s="2770" t="str">
        <f>IF('Part II-Sources of Funds'!$I$42="","",-FV('Part II-Sources of Funds'!$K$42/12,12,I92/12,H105))</f>
        <v/>
      </c>
      <c r="J105" s="2770" t="str">
        <f>IF('Part II-Sources of Funds'!$I$42="","",-FV('Part II-Sources of Funds'!$K$42/12,12,J92/12,I105))</f>
        <v/>
      </c>
      <c r="K105" s="2770" t="str">
        <f>IF('Part II-Sources of Funds'!$I$42="","",-FV('Part II-Sources of Funds'!$K$42/12,12,K92/12,J105))</f>
        <v/>
      </c>
      <c r="L105" s="77"/>
      <c r="M105" s="77"/>
      <c r="N105" s="3359"/>
      <c r="O105" s="3361"/>
      <c r="P105" s="77"/>
      <c r="Q105" s="77"/>
      <c r="R105" s="77"/>
      <c r="S105" s="77"/>
      <c r="T105" s="77"/>
      <c r="U105" s="77"/>
      <c r="V105" s="77"/>
      <c r="W105" s="77"/>
      <c r="X105" s="77"/>
      <c r="Y105" s="77"/>
      <c r="Z105" s="1292" t="s">
        <v>1414</v>
      </c>
      <c r="AA105" s="1294">
        <v>105</v>
      </c>
    </row>
    <row r="106" spans="1:27" ht="13.35" customHeight="1">
      <c r="A106" s="236" t="s">
        <v>1411</v>
      </c>
      <c r="B106" s="2773" t="str">
        <f>IF('Part II-Sources of Funds'!$I$43="","",-FV('Part II-Sources of Funds'!$K$43/12,12,B93/12,K75))</f>
        <v/>
      </c>
      <c r="C106" s="2773" t="str">
        <f>IF('Part II-Sources of Funds'!$I$43="","",-FV('Part II-Sources of Funds'!$K$43/12,12,C93/12,B106))</f>
        <v/>
      </c>
      <c r="D106" s="2773" t="str">
        <f>IF('Part II-Sources of Funds'!$I$43="","",-FV('Part II-Sources of Funds'!$K$43/12,12,D93/12,C106))</f>
        <v/>
      </c>
      <c r="E106" s="2773" t="str">
        <f>IF('Part II-Sources of Funds'!$I$43="","",-FV('Part II-Sources of Funds'!$K$43/12,12,E93/12,D106))</f>
        <v/>
      </c>
      <c r="F106" s="2773" t="str">
        <f>IF('Part II-Sources of Funds'!$I$43="","",-FV('Part II-Sources of Funds'!$K$43/12,12,F93/12,E106))</f>
        <v/>
      </c>
      <c r="G106" s="2773" t="str">
        <f>IF('Part II-Sources of Funds'!$I$43="","",-FV('Part II-Sources of Funds'!$K$43/12,12,G93/12,F106))</f>
        <v/>
      </c>
      <c r="H106" s="2773" t="str">
        <f>IF('Part II-Sources of Funds'!$I$43="","",-FV('Part II-Sources of Funds'!$K$43/12,12,H93/12,G106))</f>
        <v/>
      </c>
      <c r="I106" s="2773" t="str">
        <f>IF('Part II-Sources of Funds'!$I$43="","",-FV('Part II-Sources of Funds'!$K$43/12,12,I93/12,H106))</f>
        <v/>
      </c>
      <c r="J106" s="2773" t="str">
        <f>IF('Part II-Sources of Funds'!$I$43="","",-FV('Part II-Sources of Funds'!$K$43/12,12,J93/12,I106))</f>
        <v/>
      </c>
      <c r="K106" s="2773" t="str">
        <f>IF('Part II-Sources of Funds'!$I$43="","",-FV('Part II-Sources of Funds'!$K$43/12,12,K93/12,J106))</f>
        <v/>
      </c>
      <c r="L106" s="77"/>
      <c r="M106" s="77"/>
      <c r="N106" s="3371"/>
      <c r="O106" s="3373"/>
      <c r="P106" s="77"/>
      <c r="Q106" s="77"/>
      <c r="R106" s="77"/>
      <c r="S106" s="77"/>
      <c r="T106" s="77"/>
      <c r="U106" s="77"/>
      <c r="V106" s="77"/>
      <c r="W106" s="77"/>
      <c r="X106" s="77"/>
      <c r="Y106" s="77"/>
      <c r="Z106" s="1292" t="s">
        <v>1414</v>
      </c>
      <c r="AA106" s="1294">
        <v>106</v>
      </c>
    </row>
    <row r="107" spans="1:27" ht="4.3499999999999996" customHeight="1">
      <c r="A107" s="77"/>
      <c r="B107" s="2779"/>
      <c r="C107" s="2779"/>
      <c r="D107" s="2779"/>
      <c r="E107" s="2779"/>
      <c r="F107" s="2779"/>
      <c r="G107" s="2779"/>
      <c r="H107" s="2779"/>
      <c r="I107" s="2779"/>
      <c r="J107" s="2779"/>
      <c r="K107" s="2779"/>
      <c r="L107" s="77"/>
      <c r="M107" s="77"/>
      <c r="N107" s="77"/>
      <c r="O107" s="77"/>
      <c r="P107" s="77"/>
      <c r="Q107" s="77"/>
      <c r="R107" s="77"/>
      <c r="S107" s="77"/>
      <c r="T107" s="77"/>
      <c r="U107" s="77"/>
      <c r="V107" s="77"/>
      <c r="W107" s="77"/>
      <c r="X107" s="77"/>
      <c r="Y107" s="77"/>
      <c r="AA107" s="1294">
        <v>107</v>
      </c>
    </row>
    <row r="108" spans="1:27" ht="14.65" customHeight="1">
      <c r="A108" s="6" t="s">
        <v>495</v>
      </c>
      <c r="B108" s="8">
        <f>K78+1</f>
        <v>31</v>
      </c>
      <c r="C108" s="8">
        <f>B108+1</f>
        <v>32</v>
      </c>
      <c r="D108" s="8">
        <f>C108+1</f>
        <v>33</v>
      </c>
      <c r="E108" s="8">
        <f>D108+1</f>
        <v>34</v>
      </c>
      <c r="F108" s="8">
        <f>E108+1</f>
        <v>35</v>
      </c>
      <c r="G108" s="2779"/>
      <c r="H108" s="2779"/>
      <c r="I108" s="2779"/>
      <c r="J108" s="2779"/>
      <c r="K108" s="2779"/>
      <c r="L108" s="77"/>
      <c r="M108" s="77"/>
      <c r="N108" s="3021" t="s">
        <v>1415</v>
      </c>
      <c r="O108" s="3021"/>
      <c r="P108" s="77"/>
      <c r="Q108" s="77"/>
      <c r="R108" s="77"/>
      <c r="S108" s="77"/>
      <c r="T108" s="77"/>
      <c r="U108" s="77"/>
      <c r="V108" s="77"/>
      <c r="W108" s="77"/>
      <c r="X108" s="77"/>
      <c r="Y108" s="77"/>
      <c r="AA108" s="1294">
        <v>108</v>
      </c>
    </row>
    <row r="109" spans="1:27" ht="13.35" customHeight="1">
      <c r="A109" s="2762" t="s">
        <v>1387</v>
      </c>
      <c r="B109" s="2763">
        <f>$B$15*(1+$B$6)^(B108-1)</f>
        <v>1472680.4405540449</v>
      </c>
      <c r="C109" s="2763">
        <f>$B$15*(1+$B$6)^(C108-1)</f>
        <v>1502134.0493651254</v>
      </c>
      <c r="D109" s="2763">
        <f>$B$15*(1+$B$6)^(D108-1)</f>
        <v>1532176.7303524283</v>
      </c>
      <c r="E109" s="2763">
        <f>$B$15*(1+$B$6)^(E108-1)</f>
        <v>1562820.2649594769</v>
      </c>
      <c r="F109" s="4715">
        <f>$B$15*(1+$B$6)^(F108-1)</f>
        <v>1594076.6702586664</v>
      </c>
      <c r="G109" s="2779"/>
      <c r="H109" s="2779"/>
      <c r="I109" s="2779"/>
      <c r="J109" s="2779"/>
      <c r="K109" s="2779"/>
      <c r="L109" s="77"/>
      <c r="M109" s="77"/>
      <c r="N109" s="3365"/>
      <c r="O109" s="3367"/>
      <c r="P109" s="77"/>
      <c r="Q109" s="77"/>
      <c r="R109" s="77"/>
      <c r="S109" s="77"/>
      <c r="T109" s="77"/>
      <c r="U109" s="77"/>
      <c r="V109" s="77"/>
      <c r="W109" s="77"/>
      <c r="X109" s="77"/>
      <c r="Y109" s="77"/>
      <c r="Z109" s="1292" t="s">
        <v>1416</v>
      </c>
      <c r="AA109" s="1294">
        <v>109</v>
      </c>
    </row>
    <row r="110" spans="1:27" ht="13.35" customHeight="1">
      <c r="A110" s="236" t="s">
        <v>1272</v>
      </c>
      <c r="B110" s="2764">
        <f>$B$16*(1+$B$6)^(B108-1)</f>
        <v>29453.608811080896</v>
      </c>
      <c r="C110" s="2764">
        <f>$B$16*(1+$B$6)^(C108-1)</f>
        <v>30042.680987302509</v>
      </c>
      <c r="D110" s="2764">
        <f>$B$16*(1+$B$6)^(D108-1)</f>
        <v>30643.534607048565</v>
      </c>
      <c r="E110" s="2764">
        <f>$B$16*(1+$B$6)^(E108-1)</f>
        <v>31256.405299189537</v>
      </c>
      <c r="F110" s="2765">
        <f>$B$16*(1+$B$6)^(F108-1)</f>
        <v>31881.533405173326</v>
      </c>
      <c r="G110" s="2779"/>
      <c r="H110" s="2779"/>
      <c r="I110" s="2779"/>
      <c r="J110" s="2779"/>
      <c r="K110" s="2779"/>
      <c r="L110" s="77"/>
      <c r="M110" s="77"/>
      <c r="N110" s="3359"/>
      <c r="O110" s="3361"/>
      <c r="P110" s="77"/>
      <c r="Q110" s="77"/>
      <c r="R110" s="77"/>
      <c r="S110" s="77"/>
      <c r="T110" s="77"/>
      <c r="U110" s="77"/>
      <c r="V110" s="77"/>
      <c r="W110" s="77"/>
      <c r="X110" s="77"/>
      <c r="Y110" s="77"/>
      <c r="Z110" s="1292" t="s">
        <v>1416</v>
      </c>
      <c r="AA110" s="1294">
        <v>110</v>
      </c>
    </row>
    <row r="111" spans="1:27" ht="13.35" customHeight="1">
      <c r="A111" s="236" t="s">
        <v>1390</v>
      </c>
      <c r="B111" s="2764">
        <f>-(B109+B110)*$B$9</f>
        <v>-105149.38345555881</v>
      </c>
      <c r="C111" s="2764">
        <f>-(C109+C110)*$B$9</f>
        <v>-107252.37112466995</v>
      </c>
      <c r="D111" s="2764">
        <f>-(D109+D110)*$B$9</f>
        <v>-109397.4185471634</v>
      </c>
      <c r="E111" s="2764">
        <f>-(E109+E110)*$B$9</f>
        <v>-111585.36691810665</v>
      </c>
      <c r="F111" s="2765">
        <f>-(F109+F110)*$B$9</f>
        <v>-113817.0742564688</v>
      </c>
      <c r="G111" s="2779"/>
      <c r="H111" s="2779"/>
      <c r="I111" s="2779"/>
      <c r="J111" s="2779"/>
      <c r="K111" s="2779"/>
      <c r="L111" s="77"/>
      <c r="M111" s="77"/>
      <c r="N111" s="3359"/>
      <c r="O111" s="3361"/>
      <c r="P111" s="77"/>
      <c r="Q111" s="77"/>
      <c r="R111" s="77"/>
      <c r="S111" s="77"/>
      <c r="T111" s="77"/>
      <c r="U111" s="77"/>
      <c r="V111" s="77"/>
      <c r="W111" s="77"/>
      <c r="X111" s="77"/>
      <c r="Y111" s="77"/>
      <c r="Z111" s="1292" t="s">
        <v>1416</v>
      </c>
      <c r="AA111" s="1294">
        <v>111</v>
      </c>
    </row>
    <row r="112" spans="1:27" ht="13.35" customHeight="1">
      <c r="A112" s="236" t="s">
        <v>1393</v>
      </c>
      <c r="B112" s="2764">
        <f>'Part V-Revenues &amp; Expenses'!H216</f>
        <v>0</v>
      </c>
      <c r="C112" s="2764">
        <f>'Part V-Revenues &amp; Expenses'!I216</f>
        <v>0</v>
      </c>
      <c r="D112" s="2764">
        <f>'Part V-Revenues &amp; Expenses'!J216</f>
        <v>0</v>
      </c>
      <c r="E112" s="2764">
        <f>'Part V-Revenues &amp; Expenses'!K216</f>
        <v>0</v>
      </c>
      <c r="F112" s="2765">
        <f>'Part V-Revenues &amp; Expenses'!L216</f>
        <v>0</v>
      </c>
      <c r="G112" s="2779"/>
      <c r="H112" s="2779"/>
      <c r="I112" s="2779"/>
      <c r="J112" s="2779"/>
      <c r="K112" s="2779"/>
      <c r="L112" s="77"/>
      <c r="M112" s="77"/>
      <c r="N112" s="3359"/>
      <c r="O112" s="3361"/>
      <c r="P112" s="77"/>
      <c r="Q112" s="77"/>
      <c r="R112" s="77"/>
      <c r="S112" s="77"/>
      <c r="T112" s="77"/>
      <c r="U112" s="77"/>
      <c r="V112" s="77"/>
      <c r="W112" s="77"/>
      <c r="X112" s="77"/>
      <c r="Y112" s="77"/>
      <c r="Z112" s="1292" t="s">
        <v>1416</v>
      </c>
      <c r="AA112" s="1294">
        <v>112</v>
      </c>
    </row>
    <row r="113" spans="1:27" ht="13.35" customHeight="1">
      <c r="A113" s="236" t="s">
        <v>1394</v>
      </c>
      <c r="B113" s="2764">
        <f>'Part V-Revenues &amp; Expenses'!H220</f>
        <v>0</v>
      </c>
      <c r="C113" s="2764">
        <f>'Part V-Revenues &amp; Expenses'!I220</f>
        <v>0</v>
      </c>
      <c r="D113" s="2764">
        <f>'Part V-Revenues &amp; Expenses'!J220</f>
        <v>0</v>
      </c>
      <c r="E113" s="2764">
        <f>'Part V-Revenues &amp; Expenses'!K220</f>
        <v>0</v>
      </c>
      <c r="F113" s="2765">
        <f>'Part V-Revenues &amp; Expenses'!L220</f>
        <v>0</v>
      </c>
      <c r="G113" s="2779"/>
      <c r="H113" s="2779"/>
      <c r="I113" s="2779"/>
      <c r="J113" s="2779"/>
      <c r="K113" s="2779"/>
      <c r="L113" s="77"/>
      <c r="M113" s="77"/>
      <c r="N113" s="3359"/>
      <c r="O113" s="3361"/>
      <c r="P113" s="77"/>
      <c r="Q113" s="77"/>
      <c r="R113" s="77"/>
      <c r="S113" s="77"/>
      <c r="T113" s="77"/>
      <c r="U113" s="77"/>
      <c r="V113" s="77"/>
      <c r="W113" s="77"/>
      <c r="X113" s="77"/>
      <c r="Y113" s="77"/>
      <c r="Z113" s="1292" t="s">
        <v>1416</v>
      </c>
      <c r="AA113" s="1294">
        <v>113</v>
      </c>
    </row>
    <row r="114" spans="1:27" ht="13.35" customHeight="1">
      <c r="A114" s="236" t="s">
        <v>1395</v>
      </c>
      <c r="B114" s="2764">
        <f>SUM(B109:B113)</f>
        <v>1396984.6659095669</v>
      </c>
      <c r="C114" s="2764">
        <f>SUM(C109:C113)</f>
        <v>1424924.3592277579</v>
      </c>
      <c r="D114" s="2764">
        <f>SUM(D109:D113)</f>
        <v>1453422.8464123134</v>
      </c>
      <c r="E114" s="2764">
        <f>SUM(E109:E113)</f>
        <v>1482491.3033405598</v>
      </c>
      <c r="F114" s="2765">
        <f>SUM(F109:F113)</f>
        <v>1512141.1294073709</v>
      </c>
      <c r="G114" s="2779"/>
      <c r="H114" s="2779"/>
      <c r="I114" s="2779"/>
      <c r="J114" s="2779"/>
      <c r="K114" s="2779"/>
      <c r="L114" s="77"/>
      <c r="M114" s="77"/>
      <c r="N114" s="3359"/>
      <c r="O114" s="3361"/>
      <c r="P114" s="77"/>
      <c r="Q114" s="77"/>
      <c r="R114" s="77"/>
      <c r="S114" s="77"/>
      <c r="T114" s="77"/>
      <c r="U114" s="77"/>
      <c r="V114" s="77"/>
      <c r="W114" s="77"/>
      <c r="X114" s="77"/>
      <c r="Y114" s="77"/>
      <c r="Z114" s="1292" t="s">
        <v>1416</v>
      </c>
      <c r="AA114" s="1294">
        <v>114</v>
      </c>
    </row>
    <row r="115" spans="1:27" ht="13.35" customHeight="1">
      <c r="A115" s="236" t="s">
        <v>1396</v>
      </c>
      <c r="B115" s="2764">
        <f>$B$21*(1+$B$7)^(B108-1)</f>
        <v>-971703.55782888504</v>
      </c>
      <c r="C115" s="2764">
        <f>$B$21*(1+$B$7)^(C108-1)</f>
        <v>-1000854.6645637518</v>
      </c>
      <c r="D115" s="2764">
        <f>$B$21*(1+$B$7)^(D108-1)</f>
        <v>-1030880.3045006641</v>
      </c>
      <c r="E115" s="2764">
        <f>$B$21*(1+$B$7)^(E108-1)</f>
        <v>-1061806.713635684</v>
      </c>
      <c r="F115" s="2765">
        <f>$B$21*(1+$B$7)^(F108-1)</f>
        <v>-1093660.9150447545</v>
      </c>
      <c r="G115" s="2779"/>
      <c r="H115" s="2779"/>
      <c r="I115" s="2779"/>
      <c r="J115" s="2779"/>
      <c r="K115" s="2779"/>
      <c r="L115" s="77"/>
      <c r="M115" s="77"/>
      <c r="N115" s="3359"/>
      <c r="O115" s="3361"/>
      <c r="P115" s="77"/>
      <c r="Q115" s="77"/>
      <c r="R115" s="77"/>
      <c r="S115" s="77"/>
      <c r="T115" s="77"/>
      <c r="U115" s="77"/>
      <c r="V115" s="77"/>
      <c r="W115" s="77"/>
      <c r="X115" s="77"/>
      <c r="Y115" s="77"/>
      <c r="Z115" s="1292" t="s">
        <v>1416</v>
      </c>
      <c r="AA115" s="1294">
        <v>115</v>
      </c>
    </row>
    <row r="116" spans="1:27" ht="13.35" customHeight="1">
      <c r="A116" s="236" t="s">
        <v>1397</v>
      </c>
      <c r="B116" s="2764">
        <f>IF(AND('Part VI-Pro Forma'!$G$9="Yes",'Part VI-Pro Forma'!$G$10="Yes"),"Choose One!",IF('Part VI-Pro Forma'!$G$9="Yes",ROUND((-$K$9*(1+'Part VI-Pro Forma'!$B$7)^('Part VI-Pro Forma'!B108-1)),),IF('Part VI-Pro Forma'!$G$10="Yes",ROUND((-(SUM(B109:B112)*'Part VI-Pro Forma'!$K$10)),),"Choose mgt fee")))</f>
        <v>-126358</v>
      </c>
      <c r="C116" s="2764">
        <f>IF(AND('Part VI-Pro Forma'!$G$9="Yes",'Part VI-Pro Forma'!$G$10="Yes"),"Choose One!",IF('Part VI-Pro Forma'!$G$9="Yes",ROUND((-$K$9*(1+'Part VI-Pro Forma'!$B$7)^('Part VI-Pro Forma'!C108-1)),),IF('Part VI-Pro Forma'!$G$10="Yes",ROUND((-(SUM(C109:C112)*'Part VI-Pro Forma'!$K$10)),),"Choose mgt fee")))</f>
        <v>-130149</v>
      </c>
      <c r="D116" s="2764">
        <f>IF(AND('Part VI-Pro Forma'!$G$9="Yes",'Part VI-Pro Forma'!$G$10="Yes"),"Choose One!",IF('Part VI-Pro Forma'!$G$9="Yes",ROUND((-$K$9*(1+'Part VI-Pro Forma'!$B$7)^('Part VI-Pro Forma'!D108-1)),),IF('Part VI-Pro Forma'!$G$10="Yes",ROUND((-(SUM(D109:D112)*'Part VI-Pro Forma'!$K$10)),),"Choose mgt fee")))</f>
        <v>-134054</v>
      </c>
      <c r="E116" s="2764">
        <f>IF(AND('Part VI-Pro Forma'!$G$9="Yes",'Part VI-Pro Forma'!$G$10="Yes"),"Choose One!",IF('Part VI-Pro Forma'!$G$9="Yes",ROUND((-$K$9*(1+'Part VI-Pro Forma'!$B$7)^('Part VI-Pro Forma'!E108-1)),),IF('Part VI-Pro Forma'!$G$10="Yes",ROUND((-(SUM(E109:E112)*'Part VI-Pro Forma'!$K$10)),),"Choose mgt fee")))</f>
        <v>-138075</v>
      </c>
      <c r="F116" s="2765">
        <f>IF(AND('Part VI-Pro Forma'!$G$9="Yes",'Part VI-Pro Forma'!$G$10="Yes"),"Choose One!",IF('Part VI-Pro Forma'!$G$9="Yes",ROUND((-$K$9*(1+'Part VI-Pro Forma'!$B$7)^('Part VI-Pro Forma'!F108-1)),),IF('Part VI-Pro Forma'!$G$10="Yes",ROUND((-(SUM(F109:F112)*'Part VI-Pro Forma'!$K$10)),),"Choose mgt fee")))</f>
        <v>-142218</v>
      </c>
      <c r="G116" s="2779"/>
      <c r="H116" s="2779"/>
      <c r="I116" s="2779"/>
      <c r="J116" s="2779"/>
      <c r="K116" s="2779"/>
      <c r="L116" s="77"/>
      <c r="M116" s="77"/>
      <c r="N116" s="3359"/>
      <c r="O116" s="3361"/>
      <c r="P116" s="77"/>
      <c r="Q116" s="77"/>
      <c r="R116" s="77"/>
      <c r="S116" s="77"/>
      <c r="T116" s="77"/>
      <c r="U116" s="77"/>
      <c r="V116" s="77"/>
      <c r="W116" s="77"/>
      <c r="X116" s="77"/>
      <c r="Y116" s="77"/>
      <c r="Z116" s="1292" t="s">
        <v>1416</v>
      </c>
      <c r="AA116" s="1294">
        <v>116</v>
      </c>
    </row>
    <row r="117" spans="1:27" ht="13.35" customHeight="1">
      <c r="A117" s="236" t="s">
        <v>1398</v>
      </c>
      <c r="B117" s="2764">
        <f>$B$23*(1+$B$8)^(B108-1)</f>
        <v>-42234.366998700069</v>
      </c>
      <c r="C117" s="2764">
        <f>$B$23*(1+$B$8)^(C108-1)</f>
        <v>-43501.398008661075</v>
      </c>
      <c r="D117" s="2764">
        <f>$B$23*(1+$B$8)^(D108-1)</f>
        <v>-44806.439948920903</v>
      </c>
      <c r="E117" s="2764">
        <f>$B$23*(1+$B$8)^(E108-1)</f>
        <v>-46150.633147388529</v>
      </c>
      <c r="F117" s="2765">
        <f>$B$23*(1+$B$8)^(F108-1)</f>
        <v>-47535.152141810177</v>
      </c>
      <c r="G117" s="2779"/>
      <c r="H117" s="2779"/>
      <c r="I117" s="2779"/>
      <c r="J117" s="2779"/>
      <c r="K117" s="2779"/>
      <c r="L117" s="77"/>
      <c r="M117" s="77"/>
      <c r="N117" s="3359"/>
      <c r="O117" s="3361"/>
      <c r="P117" s="77"/>
      <c r="Q117" s="58">
        <v>10</v>
      </c>
      <c r="R117" s="2766">
        <f>-SUM(B123:K123)</f>
        <v>0</v>
      </c>
      <c r="S117" s="2766">
        <f>SUM(B124:K124)+R117</f>
        <v>0</v>
      </c>
      <c r="T117" s="77"/>
      <c r="U117" s="77"/>
      <c r="V117" s="77"/>
      <c r="W117" s="77"/>
      <c r="X117" s="77"/>
      <c r="Y117" s="77"/>
      <c r="Z117" s="1292" t="s">
        <v>1416</v>
      </c>
      <c r="AA117" s="1294">
        <v>117</v>
      </c>
    </row>
    <row r="118" spans="1:27" ht="13.35" customHeight="1">
      <c r="A118" s="236" t="s">
        <v>1399</v>
      </c>
      <c r="B118" s="2767">
        <f>IF(B108&lt;=+'Part V-Revenues &amp; Expenses'!$N$255,-'Part V-Revenues &amp; Expenses'!$K$255,0)</f>
        <v>0</v>
      </c>
      <c r="C118" s="2767">
        <f>IF(C108&lt;=+'Part V-Revenues &amp; Expenses'!$N$255,-'Part V-Revenues &amp; Expenses'!$K$255,0)</f>
        <v>0</v>
      </c>
      <c r="D118" s="2767">
        <f>IF(D108&lt;=+'Part V-Revenues &amp; Expenses'!$N$255,-'Part V-Revenues &amp; Expenses'!$K$255,0)</f>
        <v>0</v>
      </c>
      <c r="E118" s="2767">
        <f>IF(E108&lt;=+'Part V-Revenues &amp; Expenses'!$N$255,-'Part V-Revenues &amp; Expenses'!$K$255,0)</f>
        <v>0</v>
      </c>
      <c r="F118" s="2767">
        <f>IF(F108&lt;=+'Part V-Revenues &amp; Expenses'!$N$255,-'Part V-Revenues &amp; Expenses'!$K$255,0)</f>
        <v>0</v>
      </c>
      <c r="G118" s="2779"/>
      <c r="H118" s="2779"/>
      <c r="I118" s="2779"/>
      <c r="J118" s="2779"/>
      <c r="K118" s="2779"/>
      <c r="L118" s="77"/>
      <c r="M118" s="77"/>
      <c r="N118" s="3359"/>
      <c r="O118" s="3361"/>
      <c r="P118" s="77"/>
      <c r="Q118" s="77"/>
      <c r="R118" s="77"/>
      <c r="S118" s="77"/>
      <c r="T118" s="77"/>
      <c r="U118" s="77"/>
      <c r="V118" s="77"/>
      <c r="W118" s="77"/>
      <c r="X118" s="77"/>
      <c r="Y118" s="77"/>
      <c r="Z118" s="1292" t="s">
        <v>1416</v>
      </c>
      <c r="AA118" s="1294">
        <v>118</v>
      </c>
    </row>
    <row r="119" spans="1:27" ht="13.35" customHeight="1">
      <c r="A119" s="236" t="s">
        <v>1400</v>
      </c>
      <c r="B119" s="2764">
        <f>SUM(B114:B118)</f>
        <v>256688.7410819818</v>
      </c>
      <c r="C119" s="2764">
        <f>SUM(C114:C118)</f>
        <v>250419.29665534504</v>
      </c>
      <c r="D119" s="2764">
        <f>SUM(D114:D118)</f>
        <v>243682.10196272837</v>
      </c>
      <c r="E119" s="2764">
        <f>SUM(E114:E118)</f>
        <v>236458.95655748731</v>
      </c>
      <c r="F119" s="2768">
        <f>SUM(F114:F118)</f>
        <v>228727.06222080626</v>
      </c>
      <c r="G119" s="2779"/>
      <c r="H119" s="2779"/>
      <c r="I119" s="2779"/>
      <c r="J119" s="2779"/>
      <c r="K119" s="2779"/>
      <c r="L119" s="77"/>
      <c r="M119" s="77"/>
      <c r="N119" s="3359"/>
      <c r="O119" s="3361"/>
      <c r="P119" s="77"/>
      <c r="Q119" s="77"/>
      <c r="R119" s="77"/>
      <c r="S119" s="77"/>
      <c r="T119" s="77"/>
      <c r="U119" s="77"/>
      <c r="V119" s="77"/>
      <c r="W119" s="77"/>
      <c r="X119" s="77"/>
      <c r="Y119" s="77"/>
      <c r="Z119" s="1292" t="s">
        <v>1416</v>
      </c>
      <c r="AA119" s="1294">
        <v>119</v>
      </c>
    </row>
    <row r="120" spans="1:27" ht="13.35" customHeight="1">
      <c r="A120" s="236" t="str">
        <f>$A90</f>
        <v>Mortgage A</v>
      </c>
      <c r="B120" s="2769">
        <f>IF('Part II-Sources of Funds'!$P$40="", 0,-'Part II-Sources of Funds'!$P$40)</f>
        <v>-231913.23633240676</v>
      </c>
      <c r="C120" s="2769">
        <f>IF('Part II-Sources of Funds'!$P$40="", 0,-'Part II-Sources of Funds'!$P$40)</f>
        <v>-231913.23633240676</v>
      </c>
      <c r="D120" s="2769">
        <f>IF('Part II-Sources of Funds'!$P$40="", 0,-'Part II-Sources of Funds'!$P$40)</f>
        <v>-231913.23633240676</v>
      </c>
      <c r="E120" s="2769">
        <f>IF('Part II-Sources of Funds'!$P$40="", 0,-'Part II-Sources of Funds'!$P$40)</f>
        <v>-231913.23633240676</v>
      </c>
      <c r="F120" s="2769">
        <f>IF('Part II-Sources of Funds'!$P$40="", 0,-'Part II-Sources of Funds'!$P$40)</f>
        <v>-231913.23633240676</v>
      </c>
      <c r="G120" s="2779"/>
      <c r="H120" s="2779"/>
      <c r="I120" s="2779"/>
      <c r="J120" s="2779"/>
      <c r="K120" s="2779"/>
      <c r="L120" s="77"/>
      <c r="M120" s="77"/>
      <c r="N120" s="3359"/>
      <c r="O120" s="3361"/>
      <c r="P120" s="77"/>
      <c r="Q120" s="77"/>
      <c r="R120" s="77"/>
      <c r="S120" s="77"/>
      <c r="T120" s="77"/>
      <c r="U120" s="77"/>
      <c r="V120" s="77"/>
      <c r="W120" s="77"/>
      <c r="X120" s="77"/>
      <c r="Y120" s="77"/>
      <c r="Z120" s="1292" t="s">
        <v>1416</v>
      </c>
      <c r="AA120" s="1294">
        <v>120</v>
      </c>
    </row>
    <row r="121" spans="1:27" ht="13.35" customHeight="1">
      <c r="A121" s="236" t="str">
        <f>$A91</f>
        <v>Mortgage B</v>
      </c>
      <c r="B121" s="2770">
        <f>IF('Part II-Sources of Funds'!$P$41="", 0,-'Part II-Sources of Funds'!$P$41)</f>
        <v>0</v>
      </c>
      <c r="C121" s="2770">
        <f>IF('Part II-Sources of Funds'!$P$41="", 0,-'Part II-Sources of Funds'!$P$41)</f>
        <v>0</v>
      </c>
      <c r="D121" s="2770">
        <f>IF('Part II-Sources of Funds'!$P$41="", 0,-'Part II-Sources of Funds'!$P$41)</f>
        <v>0</v>
      </c>
      <c r="E121" s="2770">
        <f>IF('Part II-Sources of Funds'!$P$41="", 0,-'Part II-Sources of Funds'!$P$41)</f>
        <v>0</v>
      </c>
      <c r="F121" s="2770">
        <f>IF('Part II-Sources of Funds'!$P$41="", 0,-'Part II-Sources of Funds'!$P$41)</f>
        <v>0</v>
      </c>
      <c r="G121" s="2779"/>
      <c r="H121" s="2779"/>
      <c r="I121" s="2779"/>
      <c r="J121" s="2779"/>
      <c r="K121" s="2779"/>
      <c r="L121" s="77"/>
      <c r="M121" s="77"/>
      <c r="N121" s="3359"/>
      <c r="O121" s="3361"/>
      <c r="P121" s="77"/>
      <c r="Q121" s="77"/>
      <c r="R121" s="77"/>
      <c r="S121" s="77"/>
      <c r="T121" s="77"/>
      <c r="U121" s="77"/>
      <c r="V121" s="77"/>
      <c r="W121" s="77"/>
      <c r="X121" s="77"/>
      <c r="Y121" s="77"/>
      <c r="Z121" s="1292" t="s">
        <v>1416</v>
      </c>
      <c r="AA121" s="1294">
        <v>121</v>
      </c>
    </row>
    <row r="122" spans="1:27" ht="13.35" customHeight="1">
      <c r="A122" s="236" t="str">
        <f>$A92</f>
        <v>Mortgage C</v>
      </c>
      <c r="B122" s="2770">
        <f>IF('Part II-Sources of Funds'!$P$42="", 0,-'Part II-Sources of Funds'!$P$42)</f>
        <v>0</v>
      </c>
      <c r="C122" s="2770">
        <f>IF('Part II-Sources of Funds'!$P$42="", 0,-'Part II-Sources of Funds'!$P$42)</f>
        <v>0</v>
      </c>
      <c r="D122" s="2770">
        <f>IF('Part II-Sources of Funds'!$P$42="", 0,-'Part II-Sources of Funds'!$P$42)</f>
        <v>0</v>
      </c>
      <c r="E122" s="2770">
        <f>IF('Part II-Sources of Funds'!$P$42="", 0,-'Part II-Sources of Funds'!$P$42)</f>
        <v>0</v>
      </c>
      <c r="F122" s="2770">
        <f>IF('Part II-Sources of Funds'!$P$42="", 0,-'Part II-Sources of Funds'!$P$42)</f>
        <v>0</v>
      </c>
      <c r="G122" s="2779"/>
      <c r="H122" s="2779"/>
      <c r="I122" s="2779"/>
      <c r="J122" s="2779"/>
      <c r="K122" s="2779"/>
      <c r="L122" s="77"/>
      <c r="M122" s="77"/>
      <c r="N122" s="3359"/>
      <c r="O122" s="3361"/>
      <c r="P122" s="77"/>
      <c r="Q122" s="77"/>
      <c r="R122" s="77"/>
      <c r="S122" s="77"/>
      <c r="T122" s="77"/>
      <c r="U122" s="77"/>
      <c r="V122" s="77"/>
      <c r="W122" s="77"/>
      <c r="X122" s="77"/>
      <c r="Y122" s="77"/>
      <c r="Z122" s="1292" t="s">
        <v>1416</v>
      </c>
      <c r="AA122" s="1294">
        <v>122</v>
      </c>
    </row>
    <row r="123" spans="1:27" ht="13.35" customHeight="1">
      <c r="A123" s="236" t="str">
        <f>$A93</f>
        <v>D/S Other Source,not DDF</v>
      </c>
      <c r="B123" s="2770">
        <f>IF('Part II-Sources of Funds'!$P$43="", 0,-'Part II-Sources of Funds'!$P$43)</f>
        <v>0</v>
      </c>
      <c r="C123" s="2770">
        <f>IF('Part II-Sources of Funds'!$P$43="", 0,-'Part II-Sources of Funds'!$P$43)</f>
        <v>0</v>
      </c>
      <c r="D123" s="2770">
        <f>IF('Part II-Sources of Funds'!$P$43="", 0,-'Part II-Sources of Funds'!$P$43)</f>
        <v>0</v>
      </c>
      <c r="E123" s="2770">
        <f>IF('Part II-Sources of Funds'!$P$43="", 0,-'Part II-Sources of Funds'!$P$43)</f>
        <v>0</v>
      </c>
      <c r="F123" s="2770">
        <f>IF('Part II-Sources of Funds'!$P$43="", 0,-'Part II-Sources of Funds'!$P$43)</f>
        <v>0</v>
      </c>
      <c r="G123" s="2779"/>
      <c r="H123" s="2779"/>
      <c r="I123" s="2779"/>
      <c r="J123" s="2779"/>
      <c r="K123" s="2779"/>
      <c r="L123" s="77"/>
      <c r="M123" s="77"/>
      <c r="N123" s="3359"/>
      <c r="O123" s="3361"/>
      <c r="P123" s="77"/>
      <c r="Q123" s="77"/>
      <c r="R123" s="77"/>
      <c r="S123" s="77"/>
      <c r="T123" s="77"/>
      <c r="U123" s="77"/>
      <c r="V123" s="77"/>
      <c r="W123" s="77"/>
      <c r="X123" s="77"/>
      <c r="Y123" s="77"/>
      <c r="Z123" s="1292" t="s">
        <v>1416</v>
      </c>
      <c r="AA123" s="1294">
        <v>123</v>
      </c>
    </row>
    <row r="124" spans="1:27" ht="13.35" customHeight="1">
      <c r="A124" s="236" t="s">
        <v>1402</v>
      </c>
      <c r="B124" s="2771"/>
      <c r="C124" s="2771"/>
      <c r="D124" s="2771"/>
      <c r="E124" s="2771"/>
      <c r="F124" s="2771"/>
      <c r="G124" s="2779"/>
      <c r="H124" s="2779"/>
      <c r="I124" s="2779"/>
      <c r="J124" s="2779"/>
      <c r="K124" s="2779"/>
      <c r="L124" s="77"/>
      <c r="M124" s="77"/>
      <c r="N124" s="3359"/>
      <c r="O124" s="3361"/>
      <c r="P124" s="77"/>
      <c r="Q124" s="77"/>
      <c r="R124" s="77"/>
      <c r="S124" s="77"/>
      <c r="T124" s="77"/>
      <c r="U124" s="77"/>
      <c r="V124" s="77"/>
      <c r="W124" s="77"/>
      <c r="X124" s="77"/>
      <c r="Y124" s="77"/>
      <c r="Z124" s="1292" t="s">
        <v>1416</v>
      </c>
      <c r="AA124" s="1294">
        <v>124</v>
      </c>
    </row>
    <row r="125" spans="1:27" ht="13.35" customHeight="1">
      <c r="A125" s="236" t="s">
        <v>1403</v>
      </c>
      <c r="B125" s="2773">
        <f>+K95</f>
        <v>-7500</v>
      </c>
      <c r="C125" s="2773">
        <f>+B125</f>
        <v>-7500</v>
      </c>
      <c r="D125" s="2773">
        <f>+C125</f>
        <v>-7500</v>
      </c>
      <c r="E125" s="2773">
        <f>+D125</f>
        <v>-7500</v>
      </c>
      <c r="F125" s="2773">
        <f>+E125</f>
        <v>-7500</v>
      </c>
      <c r="G125" s="2779"/>
      <c r="H125" s="2779"/>
      <c r="I125" s="2779"/>
      <c r="J125" s="2779"/>
      <c r="K125" s="2779"/>
      <c r="L125" s="77"/>
      <c r="M125" s="77"/>
      <c r="N125" s="3359"/>
      <c r="O125" s="3361"/>
      <c r="P125" s="77"/>
      <c r="Q125" s="77"/>
      <c r="R125" s="77"/>
      <c r="S125" s="77"/>
      <c r="T125" s="77"/>
      <c r="U125" s="77"/>
      <c r="V125" s="77"/>
      <c r="W125" s="77"/>
      <c r="X125" s="77"/>
      <c r="Y125" s="77"/>
      <c r="Z125" s="1292" t="s">
        <v>1416</v>
      </c>
      <c r="AA125" s="1294">
        <v>125</v>
      </c>
    </row>
    <row r="126" spans="1:27" ht="13.35" customHeight="1">
      <c r="A126" s="236" t="s">
        <v>446</v>
      </c>
      <c r="B126" s="2764">
        <f>SUM(B119:B125)</f>
        <v>17275.504749575048</v>
      </c>
      <c r="C126" s="2764">
        <f>SUM(C119:C125)</f>
        <v>11006.060322938283</v>
      </c>
      <c r="D126" s="2764">
        <f>SUM(D119:D125)</f>
        <v>4268.8656303216121</v>
      </c>
      <c r="E126" s="2764">
        <f>SUM(E119:E125)</f>
        <v>-2954.2797749194433</v>
      </c>
      <c r="F126" s="2765">
        <f>SUM(F119:F125)</f>
        <v>-10686.1741116005</v>
      </c>
      <c r="G126" s="2779"/>
      <c r="H126" s="2779"/>
      <c r="I126" s="2779"/>
      <c r="J126" s="2779"/>
      <c r="K126" s="2779"/>
      <c r="L126" s="77"/>
      <c r="M126" s="77"/>
      <c r="N126" s="3359"/>
      <c r="O126" s="3361"/>
      <c r="P126" s="77"/>
      <c r="Q126" s="77"/>
      <c r="R126" s="77"/>
      <c r="S126" s="77"/>
      <c r="T126" s="77"/>
      <c r="U126" s="77"/>
      <c r="V126" s="77"/>
      <c r="W126" s="77"/>
      <c r="X126" s="77"/>
      <c r="Y126" s="77"/>
      <c r="Z126" s="1292" t="s">
        <v>1416</v>
      </c>
      <c r="AA126" s="1294">
        <v>126</v>
      </c>
    </row>
    <row r="127" spans="1:27" ht="13.35" customHeight="1">
      <c r="A127" s="236" t="str">
        <f>$A97</f>
        <v>DCR Mortgage A</v>
      </c>
      <c r="B127" s="2774">
        <f>IF(B120=0,"",-B119/B120)</f>
        <v>1.1068309215178376</v>
      </c>
      <c r="C127" s="2774">
        <f>IF(C120=0,"",-C119/C120)</f>
        <v>1.0797973441085229</v>
      </c>
      <c r="D127" s="2774">
        <f>IF(D120=0,"",-D119/D120)</f>
        <v>1.0507468474695123</v>
      </c>
      <c r="E127" s="2774">
        <f>IF(E120=0,"",-E119/E120)</f>
        <v>1.0196009520498652</v>
      </c>
      <c r="F127" s="2775">
        <f>IF(F120=0,"",-F119/F120)</f>
        <v>0.9862613529008164</v>
      </c>
      <c r="G127" s="2779"/>
      <c r="H127" s="2779"/>
      <c r="I127" s="2779"/>
      <c r="J127" s="2779"/>
      <c r="K127" s="2779"/>
      <c r="L127" s="77"/>
      <c r="M127" s="77"/>
      <c r="N127" s="3359"/>
      <c r="O127" s="3361"/>
      <c r="P127" s="77"/>
      <c r="Q127" s="77"/>
      <c r="R127" s="77"/>
      <c r="S127" s="77"/>
      <c r="T127" s="77"/>
      <c r="U127" s="77"/>
      <c r="V127" s="77"/>
      <c r="W127" s="77"/>
      <c r="X127" s="77"/>
      <c r="Y127" s="77"/>
      <c r="Z127" s="1292" t="s">
        <v>1416</v>
      </c>
      <c r="AA127" s="1294">
        <v>127</v>
      </c>
    </row>
    <row r="128" spans="1:27" ht="13.35" customHeight="1">
      <c r="A128" s="236" t="str">
        <f>$A98</f>
        <v>DCR Mortgage B</v>
      </c>
      <c r="B128" s="2774" t="str">
        <f>IF(B121=0,"",-(B119+B120)/B121)</f>
        <v/>
      </c>
      <c r="C128" s="2774" t="str">
        <f>IF(C121=0,"",-(C119+C120)/C121)</f>
        <v/>
      </c>
      <c r="D128" s="2774" t="str">
        <f>IF(D121=0,"",-(D119+D120)/D121)</f>
        <v/>
      </c>
      <c r="E128" s="2774" t="str">
        <f>IF(E121=0,"",-(E119+E120)/E121)</f>
        <v/>
      </c>
      <c r="F128" s="2775" t="str">
        <f>IF(F121=0,"",-(F119+F120)/F121)</f>
        <v/>
      </c>
      <c r="G128" s="2779"/>
      <c r="H128" s="2779"/>
      <c r="I128" s="2779"/>
      <c r="J128" s="2779"/>
      <c r="K128" s="2779"/>
      <c r="L128" s="77"/>
      <c r="M128" s="77"/>
      <c r="N128" s="3359"/>
      <c r="O128" s="3361"/>
      <c r="P128" s="77"/>
      <c r="Q128" s="77"/>
      <c r="R128" s="77"/>
      <c r="S128" s="77"/>
      <c r="T128" s="77"/>
      <c r="U128" s="77"/>
      <c r="V128" s="77"/>
      <c r="W128" s="77"/>
      <c r="X128" s="77"/>
      <c r="Y128" s="77"/>
      <c r="Z128" s="1292" t="s">
        <v>1416</v>
      </c>
      <c r="AA128" s="1294">
        <v>128</v>
      </c>
    </row>
    <row r="129" spans="1:27" ht="13.35" customHeight="1">
      <c r="A129" s="236" t="str">
        <f>$A99</f>
        <v>DCR Mortgage C</v>
      </c>
      <c r="B129" s="2774" t="str">
        <f>IF(B122=0,"",-(B119+B120+B121)/B122)</f>
        <v/>
      </c>
      <c r="C129" s="2774" t="str">
        <f>IF(C122=0,"",-(C119+C120+C121)/C122)</f>
        <v/>
      </c>
      <c r="D129" s="2774" t="str">
        <f>IF(D122=0,"",-(D119+D120+D121)/D122)</f>
        <v/>
      </c>
      <c r="E129" s="2774" t="str">
        <f>IF(E122=0,"",-(E119+E120+E121)/E122)</f>
        <v/>
      </c>
      <c r="F129" s="2775" t="str">
        <f>IF(F122=0,"",-(F119+F120+F121)/F122)</f>
        <v/>
      </c>
      <c r="G129" s="2779"/>
      <c r="H129" s="2779"/>
      <c r="I129" s="2779"/>
      <c r="J129" s="2779"/>
      <c r="K129" s="2779"/>
      <c r="L129" s="77"/>
      <c r="M129" s="77"/>
      <c r="N129" s="3359"/>
      <c r="O129" s="3361"/>
      <c r="P129" s="77"/>
      <c r="Q129" s="77"/>
      <c r="R129" s="77"/>
      <c r="S129" s="77"/>
      <c r="T129" s="77"/>
      <c r="U129" s="77"/>
      <c r="V129" s="77"/>
      <c r="W129" s="77"/>
      <c r="X129" s="77"/>
      <c r="Y129" s="77"/>
      <c r="Z129" s="1292" t="s">
        <v>1416</v>
      </c>
      <c r="AA129" s="1294">
        <v>129</v>
      </c>
    </row>
    <row r="130" spans="1:27" ht="13.35" customHeight="1">
      <c r="A130" s="236" t="str">
        <f>$A100</f>
        <v>DCR Other Source</v>
      </c>
      <c r="B130" s="2774" t="str">
        <f>IF(B123=0,"",-(B119+B120+B121+B122)/B123)</f>
        <v/>
      </c>
      <c r="C130" s="2774" t="str">
        <f>IF(C123=0,"",-(C119+C120+C121+C122)/C123)</f>
        <v/>
      </c>
      <c r="D130" s="2774" t="str">
        <f>IF(D123=0,"",-(D119+D120+D121+D122)/D123)</f>
        <v/>
      </c>
      <c r="E130" s="2774" t="str">
        <f>IF(E123=0,"",-(E119+E120+E121+E122)/E123)</f>
        <v/>
      </c>
      <c r="F130" s="2775" t="str">
        <f>IF(F123=0,"",-(F119+F120+F121+F122)/F123)</f>
        <v/>
      </c>
      <c r="G130" s="2779"/>
      <c r="H130" s="2779"/>
      <c r="I130" s="2779"/>
      <c r="J130" s="2779"/>
      <c r="K130" s="2779"/>
      <c r="L130" s="77"/>
      <c r="M130" s="77"/>
      <c r="N130" s="3359"/>
      <c r="O130" s="3361"/>
      <c r="P130" s="77"/>
      <c r="Q130" s="77"/>
      <c r="R130" s="77"/>
      <c r="S130" s="77"/>
      <c r="T130" s="77"/>
      <c r="U130" s="77"/>
      <c r="V130" s="77"/>
      <c r="W130" s="77"/>
      <c r="X130" s="77"/>
      <c r="Y130" s="77"/>
      <c r="Z130" s="1292" t="s">
        <v>1416</v>
      </c>
      <c r="AA130" s="1294">
        <v>130</v>
      </c>
    </row>
    <row r="131" spans="1:27" ht="13.35" customHeight="1">
      <c r="A131" s="236" t="s">
        <v>1406</v>
      </c>
      <c r="B131" s="2774">
        <f>IF(AND(B120=0,B121=0,B122=0,B123=0),"",-B119/(B120+B121+B122+B123))</f>
        <v>1.1068309215178376</v>
      </c>
      <c r="C131" s="2774">
        <f>IF(AND(C120=0,C121=0,C122=0,C123=0),"",-C119/(C120+C121+C122+C123))</f>
        <v>1.0797973441085229</v>
      </c>
      <c r="D131" s="2774">
        <f>IF(AND(D120=0,D121=0,D122=0,D123=0),"",-D119/(D120+D121+D122+D123))</f>
        <v>1.0507468474695123</v>
      </c>
      <c r="E131" s="2774">
        <f>IF(AND(E120=0,E121=0,E122=0,E123=0),"",-E119/(E120+E121+E122+E123))</f>
        <v>1.0196009520498652</v>
      </c>
      <c r="F131" s="2775">
        <f>IF(AND(F120=0,F121=0,F122=0,F123=0),"",-F119/(F120+F121+F122+F123))</f>
        <v>0.9862613529008164</v>
      </c>
      <c r="G131" s="2779"/>
      <c r="H131" s="2779"/>
      <c r="I131" s="2779"/>
      <c r="J131" s="2779"/>
      <c r="K131" s="2779"/>
      <c r="L131" s="77"/>
      <c r="M131" s="77"/>
      <c r="N131" s="3359"/>
      <c r="O131" s="3361"/>
      <c r="P131" s="77"/>
      <c r="Q131" s="77"/>
      <c r="R131" s="77"/>
      <c r="S131" s="77"/>
      <c r="T131" s="77"/>
      <c r="U131" s="77"/>
      <c r="V131" s="77"/>
      <c r="W131" s="77"/>
      <c r="X131" s="77"/>
      <c r="Y131" s="77"/>
      <c r="Z131" s="1292" t="s">
        <v>1416</v>
      </c>
      <c r="AA131" s="1294">
        <v>131</v>
      </c>
    </row>
    <row r="132" spans="1:27" ht="13.35" customHeight="1">
      <c r="A132" s="236" t="s">
        <v>1407</v>
      </c>
      <c r="B132" s="2776">
        <f>IF(OR(B116="Choose mgt fee",B116="Choose One!"),"",(B109+B110+B111+B112+B113) / -(B115+B116+B117))</f>
        <v>1.2251071283279327</v>
      </c>
      <c r="C132" s="2776">
        <f>IF(OR(C116="Choose mgt fee",C116="Choose One!"),"",(C109+C110+C111+C112+C113) / -(C115+C116+C117))</f>
        <v>1.2132126157948389</v>
      </c>
      <c r="D132" s="2776">
        <f>IF(OR(D116="Choose mgt fee",D116="Choose One!"),"",(D109+D110+D111+D112+D113) / -(D115+D116+D117))</f>
        <v>1.2014333261740311</v>
      </c>
      <c r="E132" s="2776">
        <f>IF(OR(E116="Choose mgt fee",E116="Choose One!"),"",(E109+E110+E111+E112+E113) / -(E115+E116+E117))</f>
        <v>1.1897695169535223</v>
      </c>
      <c r="F132" s="2780">
        <f>IF(OR(F116="Choose mgt fee",F116="Choose One!"),"",(F109+F110+F111+F112+F113) / -(F115+F116+F117))</f>
        <v>1.1782176680688954</v>
      </c>
      <c r="G132" s="2779"/>
      <c r="H132" s="2779"/>
      <c r="I132" s="2779"/>
      <c r="J132" s="2779"/>
      <c r="K132" s="2779"/>
      <c r="L132" s="77"/>
      <c r="M132" s="77"/>
      <c r="N132" s="3359"/>
      <c r="O132" s="3361"/>
      <c r="P132" s="77"/>
      <c r="Q132" s="77"/>
      <c r="R132" s="77"/>
      <c r="S132" s="77"/>
      <c r="T132" s="77"/>
      <c r="U132" s="77"/>
      <c r="V132" s="77"/>
      <c r="W132" s="77"/>
      <c r="X132" s="77"/>
      <c r="Y132" s="77"/>
      <c r="Z132" s="1292" t="s">
        <v>1416</v>
      </c>
      <c r="AA132" s="1294">
        <v>132</v>
      </c>
    </row>
    <row r="133" spans="1:27" ht="13.35" customHeight="1">
      <c r="A133" s="236" t="s">
        <v>1408</v>
      </c>
      <c r="B133" s="2778">
        <f>IF('Part II-Sources of Funds'!$I$40="","",-FV('Part II-Sources of Funds'!$K$40/12,12,B120/12,K103))</f>
        <v>810984.30390294385</v>
      </c>
      <c r="C133" s="2778">
        <f>IF('Part II-Sources of Funds'!$I$40="","",-FV('Part II-Sources of Funds'!$K$40/12,12,C120/12,B133))</f>
        <v>628227.1696570802</v>
      </c>
      <c r="D133" s="2778">
        <f>IF('Part II-Sources of Funds'!$I$40="","",-FV('Part II-Sources of Funds'!$K$40/12,12,D120/12,C133))</f>
        <v>432745.0332599</v>
      </c>
      <c r="E133" s="2778">
        <f>IF('Part II-Sources of Funds'!$I$40="","",-FV('Part II-Sources of Funds'!$K$40/12,12,E120/12,D133))</f>
        <v>223651.87906873529</v>
      </c>
      <c r="F133" s="2778">
        <f>IF('Part II-Sources of Funds'!$I$40="","",-FV('Part II-Sources of Funds'!$K$40/12,12,F120/12,E133))</f>
        <v>-5.1193637773394585E-8</v>
      </c>
      <c r="G133" s="2779"/>
      <c r="H133" s="2779"/>
      <c r="I133" s="2779"/>
      <c r="J133" s="2779"/>
      <c r="K133" s="2779"/>
      <c r="L133" s="77"/>
      <c r="M133" s="77"/>
      <c r="N133" s="3359"/>
      <c r="O133" s="3361"/>
      <c r="P133" s="77"/>
      <c r="Q133" s="77"/>
      <c r="R133" s="77"/>
      <c r="S133" s="77"/>
      <c r="T133" s="77"/>
      <c r="U133" s="77"/>
      <c r="V133" s="77"/>
      <c r="W133" s="77"/>
      <c r="X133" s="77"/>
      <c r="Y133" s="77"/>
      <c r="Z133" s="1292" t="s">
        <v>1416</v>
      </c>
      <c r="AA133" s="1294">
        <v>133</v>
      </c>
    </row>
    <row r="134" spans="1:27" ht="13.35" customHeight="1">
      <c r="A134" s="236" t="s">
        <v>1409</v>
      </c>
      <c r="B134" s="2770">
        <f>IF('Part II-Sources of Funds'!$I$41="","",-FV('Part II-Sources of Funds'!$K$41/12,12,B121/12,K104))</f>
        <v>3108093.4674338535</v>
      </c>
      <c r="C134" s="2770">
        <f>IF('Part II-Sources of Funds'!$I$41="","",-FV('Part II-Sources of Funds'!$K$41/12,12,C121/12,B134))</f>
        <v>3139317.2528413953</v>
      </c>
      <c r="D134" s="2770">
        <f>IF('Part II-Sources of Funds'!$I$41="","",-FV('Part II-Sources of Funds'!$K$41/12,12,D121/12,C134))</f>
        <v>3170854.7111758911</v>
      </c>
      <c r="E134" s="2770">
        <f>IF('Part II-Sources of Funds'!$I$41="","",-FV('Part II-Sources of Funds'!$K$41/12,12,E121/12,D134))</f>
        <v>3202708.9935832964</v>
      </c>
      <c r="F134" s="2770">
        <f>IF('Part II-Sources of Funds'!$I$41="","",-FV('Part II-Sources of Funds'!$K$41/12,12,F121/12,E134))</f>
        <v>3234883.2828658558</v>
      </c>
      <c r="G134" s="2779"/>
      <c r="H134" s="2779"/>
      <c r="I134" s="2779"/>
      <c r="J134" s="2779"/>
      <c r="K134" s="2779"/>
      <c r="L134" s="77"/>
      <c r="M134" s="77"/>
      <c r="N134" s="3359"/>
      <c r="O134" s="3361"/>
      <c r="P134" s="77"/>
      <c r="Q134" s="77"/>
      <c r="R134" s="77"/>
      <c r="S134" s="77"/>
      <c r="T134" s="77"/>
      <c r="U134" s="77"/>
      <c r="V134" s="77"/>
      <c r="W134" s="77"/>
      <c r="X134" s="77"/>
      <c r="Y134" s="77"/>
      <c r="Z134" s="1292" t="s">
        <v>1416</v>
      </c>
      <c r="AA134" s="1294">
        <v>134</v>
      </c>
    </row>
    <row r="135" spans="1:27" ht="13.35" customHeight="1">
      <c r="A135" s="236" t="s">
        <v>1410</v>
      </c>
      <c r="B135" s="2770" t="str">
        <f>IF('Part II-Sources of Funds'!$I$42="","",-FV('Part II-Sources of Funds'!$K$42/12,12,B122/12,K105))</f>
        <v/>
      </c>
      <c r="C135" s="2770" t="str">
        <f>IF('Part II-Sources of Funds'!$I$42="","",-FV('Part II-Sources of Funds'!$K$42/12,12,C122/12,B135))</f>
        <v/>
      </c>
      <c r="D135" s="2770" t="str">
        <f>IF('Part II-Sources of Funds'!$I$42="","",-FV('Part II-Sources of Funds'!$K$42/12,12,D122/12,C135))</f>
        <v/>
      </c>
      <c r="E135" s="2770" t="str">
        <f>IF('Part II-Sources of Funds'!$I$42="","",-FV('Part II-Sources of Funds'!$K$42/12,12,E122/12,D135))</f>
        <v/>
      </c>
      <c r="F135" s="2770" t="str">
        <f>IF('Part II-Sources of Funds'!$I$42="","",-FV('Part II-Sources of Funds'!$K$42/12,12,F122/12,E135))</f>
        <v/>
      </c>
      <c r="G135" s="2779"/>
      <c r="H135" s="2779"/>
      <c r="I135" s="2779"/>
      <c r="J135" s="2779"/>
      <c r="K135" s="2779"/>
      <c r="L135" s="77"/>
      <c r="M135" s="77"/>
      <c r="N135" s="3359"/>
      <c r="O135" s="3361"/>
      <c r="P135" s="77"/>
      <c r="Q135" s="77"/>
      <c r="R135" s="77"/>
      <c r="S135" s="77"/>
      <c r="T135" s="77"/>
      <c r="U135" s="77"/>
      <c r="V135" s="77"/>
      <c r="W135" s="77"/>
      <c r="X135" s="77"/>
      <c r="Y135" s="77"/>
      <c r="Z135" s="1292" t="s">
        <v>1416</v>
      </c>
      <c r="AA135" s="1294">
        <v>135</v>
      </c>
    </row>
    <row r="136" spans="1:27" ht="13.35" customHeight="1">
      <c r="A136" s="2781" t="s">
        <v>1411</v>
      </c>
      <c r="B136" s="2773" t="str">
        <f>IF('Part II-Sources of Funds'!$I$43="","",-FV('Part II-Sources of Funds'!$K$43/12,12,B123/12,K106))</f>
        <v/>
      </c>
      <c r="C136" s="2773" t="str">
        <f>IF('Part II-Sources of Funds'!$I$43="","",-FV('Part II-Sources of Funds'!$K$43/12,12,C123/12,B136))</f>
        <v/>
      </c>
      <c r="D136" s="2773" t="str">
        <f>IF('Part II-Sources of Funds'!$I$43="","",-FV('Part II-Sources of Funds'!$K$43/12,12,D123/12,C136))</f>
        <v/>
      </c>
      <c r="E136" s="2773" t="str">
        <f>IF('Part II-Sources of Funds'!$I$43="","",-FV('Part II-Sources of Funds'!$K$43/12,12,E123/12,D136))</f>
        <v/>
      </c>
      <c r="F136" s="2773" t="str">
        <f>IF('Part II-Sources of Funds'!$I$43="","",-FV('Part II-Sources of Funds'!$K$43/12,12,F123/12,E136))</f>
        <v/>
      </c>
      <c r="G136" s="2779"/>
      <c r="H136" s="2779"/>
      <c r="I136" s="2779"/>
      <c r="J136" s="2779"/>
      <c r="K136" s="2779"/>
      <c r="L136" s="77"/>
      <c r="M136" s="77"/>
      <c r="N136" s="3371"/>
      <c r="O136" s="3373"/>
      <c r="P136" s="77"/>
      <c r="Q136" s="77"/>
      <c r="R136" s="77"/>
      <c r="S136" s="77"/>
      <c r="T136" s="77"/>
      <c r="U136" s="77"/>
      <c r="V136" s="77"/>
      <c r="W136" s="77"/>
      <c r="X136" s="77"/>
      <c r="Y136" s="77"/>
      <c r="Z136" s="1292" t="s">
        <v>1416</v>
      </c>
      <c r="AA136" s="1294">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294">
        <v>137</v>
      </c>
    </row>
    <row r="138" spans="1:27" ht="12" customHeight="1">
      <c r="A138" s="6" t="s">
        <v>1417</v>
      </c>
      <c r="B138" s="6"/>
      <c r="C138" s="77"/>
      <c r="D138" s="77"/>
      <c r="E138" s="77"/>
      <c r="F138" s="77"/>
      <c r="G138" s="6" t="s">
        <v>1418</v>
      </c>
      <c r="H138" s="77"/>
      <c r="I138" s="77"/>
      <c r="J138" s="77"/>
      <c r="K138" s="77"/>
      <c r="L138" s="77"/>
      <c r="M138" s="77"/>
      <c r="N138" s="77"/>
      <c r="O138" s="77"/>
      <c r="P138" s="77"/>
      <c r="Q138" s="77"/>
      <c r="R138" s="77"/>
      <c r="S138" s="77"/>
      <c r="T138" s="77"/>
      <c r="U138" s="77"/>
      <c r="V138" s="77"/>
      <c r="W138" s="77"/>
      <c r="X138" s="77"/>
      <c r="Y138" s="77"/>
      <c r="AA138" s="1294">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294">
        <v>139</v>
      </c>
    </row>
    <row r="140" spans="1:27" ht="409.5" customHeight="1">
      <c r="A140" s="2894" t="s">
        <v>1419</v>
      </c>
      <c r="B140" s="3476"/>
      <c r="C140" s="3476"/>
      <c r="D140" s="3476"/>
      <c r="E140" s="3476"/>
      <c r="F140" s="3477"/>
      <c r="G140" s="3478"/>
      <c r="H140" s="3479"/>
      <c r="I140" s="3479"/>
      <c r="J140" s="3479"/>
      <c r="K140" s="3480"/>
      <c r="L140" s="77"/>
      <c r="M140" s="77"/>
      <c r="N140" s="3122" t="s">
        <v>300</v>
      </c>
      <c r="O140" s="3122"/>
      <c r="P140" s="77"/>
      <c r="Q140" s="77"/>
      <c r="R140" s="77"/>
      <c r="S140" s="77"/>
      <c r="T140" s="77"/>
      <c r="U140" s="77"/>
      <c r="V140" s="77"/>
      <c r="W140" s="77"/>
      <c r="X140" s="77"/>
      <c r="Y140" s="77"/>
      <c r="AA140" s="1294">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294">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93"/>
      <c r="AA145" s="1295"/>
    </row>
    <row r="146" spans="12:27" s="1" customFormat="1" ht="12" customHeight="1">
      <c r="L146" s="77"/>
      <c r="M146" s="77"/>
      <c r="N146" s="77"/>
      <c r="O146" s="77"/>
      <c r="P146" s="43"/>
      <c r="Q146" s="43"/>
      <c r="R146" s="43"/>
      <c r="S146" s="43"/>
      <c r="T146" s="43"/>
      <c r="U146" s="43"/>
      <c r="V146" s="43"/>
      <c r="W146" s="43"/>
      <c r="X146" s="43"/>
      <c r="Y146" s="43"/>
      <c r="Z146" s="1293"/>
      <c r="AA146" s="1295"/>
    </row>
    <row r="147" spans="12:27" s="1" customFormat="1" ht="12" customHeight="1">
      <c r="L147" s="77"/>
      <c r="M147" s="77"/>
      <c r="N147" s="77"/>
      <c r="O147" s="77"/>
      <c r="P147" s="43"/>
      <c r="Q147" s="77"/>
      <c r="R147" s="77"/>
      <c r="S147" s="43"/>
      <c r="T147" s="43"/>
      <c r="U147" s="43"/>
      <c r="V147" s="43"/>
      <c r="W147" s="43"/>
      <c r="X147" s="43"/>
      <c r="Y147" s="43"/>
      <c r="Z147" s="1293"/>
      <c r="AA147" s="1295"/>
    </row>
    <row r="148" spans="12:27" s="1" customFormat="1" ht="12" customHeight="1">
      <c r="L148" s="77"/>
      <c r="M148" s="77"/>
      <c r="N148" s="77"/>
      <c r="O148" s="77"/>
      <c r="P148" s="43"/>
      <c r="Q148" s="43"/>
      <c r="R148" s="43"/>
      <c r="S148" s="77"/>
      <c r="T148" s="43"/>
      <c r="U148" s="43"/>
      <c r="V148" s="43"/>
      <c r="W148" s="43"/>
      <c r="X148" s="43"/>
      <c r="Y148" s="43"/>
      <c r="Z148" s="1293"/>
      <c r="AA148" s="129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93"/>
      <c r="AA150" s="1295"/>
    </row>
    <row r="151" spans="12:27" s="1" customFormat="1" ht="12" customHeight="1">
      <c r="L151" s="77"/>
      <c r="M151" s="77"/>
      <c r="N151" s="77"/>
      <c r="O151" s="77"/>
      <c r="P151" s="43"/>
      <c r="Q151" s="43"/>
      <c r="R151" s="43"/>
      <c r="S151" s="77"/>
      <c r="T151" s="43"/>
      <c r="U151" s="43"/>
      <c r="V151" s="43"/>
      <c r="W151" s="43"/>
      <c r="X151" s="43"/>
      <c r="Y151" s="43"/>
      <c r="Z151" s="1293"/>
      <c r="AA151" s="129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93"/>
      <c r="AA153" s="1295"/>
    </row>
    <row r="154" spans="12:27" s="1" customFormat="1" ht="12" customHeight="1">
      <c r="L154" s="77"/>
      <c r="M154" s="77"/>
      <c r="N154" s="77"/>
      <c r="O154" s="77"/>
      <c r="P154" s="43"/>
      <c r="Q154" s="43"/>
      <c r="R154" s="43"/>
      <c r="S154" s="43"/>
      <c r="T154" s="43"/>
      <c r="U154" s="43"/>
      <c r="V154" s="43"/>
      <c r="W154" s="43"/>
      <c r="X154" s="43"/>
      <c r="Y154" s="43"/>
      <c r="Z154" s="1293"/>
      <c r="AA154" s="1295"/>
    </row>
    <row r="155" spans="12:27" s="1" customFormat="1" ht="12" customHeight="1">
      <c r="L155" s="77"/>
      <c r="M155" s="77"/>
      <c r="N155" s="77"/>
      <c r="O155" s="77"/>
      <c r="P155" s="43"/>
      <c r="Q155" s="43"/>
      <c r="R155" s="43"/>
      <c r="S155" s="43"/>
      <c r="T155" s="43"/>
      <c r="U155" s="43"/>
      <c r="V155" s="43"/>
      <c r="W155" s="43"/>
      <c r="X155" s="43"/>
      <c r="Y155" s="43"/>
      <c r="Z155" s="1293"/>
      <c r="AA155" s="1295"/>
    </row>
    <row r="156" spans="12:27" s="1" customFormat="1" ht="12" customHeight="1">
      <c r="L156" s="77"/>
      <c r="M156" s="77"/>
      <c r="N156" s="77"/>
      <c r="O156" s="77"/>
      <c r="P156" s="43"/>
      <c r="Q156" s="43"/>
      <c r="R156" s="43"/>
      <c r="S156" s="43"/>
      <c r="T156" s="43"/>
      <c r="U156" s="43"/>
      <c r="V156" s="43"/>
      <c r="W156" s="43"/>
      <c r="X156" s="43"/>
      <c r="Y156" s="43"/>
      <c r="Z156" s="1293"/>
      <c r="AA156" s="1295"/>
    </row>
    <row r="157" spans="12:27" s="1" customFormat="1" ht="12" customHeight="1">
      <c r="L157" s="77"/>
      <c r="M157" s="77"/>
      <c r="N157" s="77"/>
      <c r="O157" s="77"/>
      <c r="P157" s="43"/>
      <c r="Q157" s="43"/>
      <c r="R157" s="43"/>
      <c r="S157" s="43"/>
      <c r="T157" s="43"/>
      <c r="U157" s="43"/>
      <c r="V157" s="43"/>
      <c r="W157" s="43"/>
      <c r="X157" s="43"/>
      <c r="Y157" s="43"/>
      <c r="Z157" s="1293"/>
      <c r="AA157" s="1295"/>
    </row>
    <row r="158" spans="12:27" s="1" customFormat="1" ht="12" customHeight="1">
      <c r="L158" s="77"/>
      <c r="M158" s="77"/>
      <c r="N158" s="77"/>
      <c r="O158" s="77"/>
      <c r="P158" s="43"/>
      <c r="Q158" s="77"/>
      <c r="R158" s="77"/>
      <c r="S158" s="43"/>
      <c r="T158" s="43"/>
      <c r="U158" s="43"/>
      <c r="V158" s="43"/>
      <c r="W158" s="43"/>
      <c r="X158" s="43"/>
      <c r="Y158" s="43"/>
      <c r="Z158" s="1293"/>
      <c r="AA158" s="1295"/>
    </row>
    <row r="159" spans="12:27" s="1" customFormat="1" ht="12" customHeight="1">
      <c r="L159" s="77"/>
      <c r="M159" s="77"/>
      <c r="N159" s="77"/>
      <c r="O159" s="77"/>
      <c r="P159" s="43"/>
      <c r="Q159" s="43"/>
      <c r="R159" s="43"/>
      <c r="S159" s="77"/>
      <c r="T159" s="43"/>
      <c r="U159" s="43"/>
      <c r="V159" s="43"/>
      <c r="W159" s="43"/>
      <c r="X159" s="43"/>
      <c r="Y159" s="43"/>
      <c r="Z159" s="1293"/>
      <c r="AA159" s="129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93"/>
      <c r="AA161" s="1295"/>
    </row>
    <row r="162" spans="12:27" s="1" customFormat="1" ht="12" customHeight="1">
      <c r="L162" s="77"/>
      <c r="M162" s="77"/>
      <c r="N162" s="77"/>
      <c r="O162" s="77"/>
      <c r="P162" s="43"/>
      <c r="Q162" s="43"/>
      <c r="R162" s="43"/>
      <c r="S162" s="43"/>
      <c r="T162" s="43"/>
      <c r="U162" s="43"/>
      <c r="V162" s="43"/>
      <c r="W162" s="43"/>
      <c r="X162" s="43"/>
      <c r="Y162" s="43"/>
      <c r="Z162" s="1293"/>
      <c r="AA162" s="1295"/>
    </row>
    <row r="163" spans="12:27" s="1" customFormat="1" ht="12" customHeight="1">
      <c r="L163" s="77"/>
      <c r="M163" s="77"/>
      <c r="N163" s="77"/>
      <c r="O163" s="77"/>
      <c r="P163" s="43"/>
      <c r="Q163" s="43"/>
      <c r="R163" s="43"/>
      <c r="S163" s="43"/>
      <c r="T163" s="43"/>
      <c r="U163" s="43"/>
      <c r="V163" s="43"/>
      <c r="W163" s="43"/>
      <c r="X163" s="43"/>
      <c r="Y163" s="43"/>
      <c r="Z163" s="1293"/>
      <c r="AA163" s="1295"/>
    </row>
    <row r="164" spans="12:27" s="1" customFormat="1" ht="12" customHeight="1">
      <c r="L164" s="77"/>
      <c r="M164" s="77"/>
      <c r="N164" s="77"/>
      <c r="O164" s="77"/>
      <c r="P164" s="43"/>
      <c r="Q164" s="43"/>
      <c r="R164" s="43"/>
      <c r="S164" s="43"/>
      <c r="T164" s="43"/>
      <c r="U164" s="43"/>
      <c r="V164" s="43"/>
      <c r="W164" s="43"/>
      <c r="X164" s="43"/>
      <c r="Y164" s="43"/>
      <c r="Z164" s="1293"/>
      <c r="AA164" s="1295"/>
    </row>
    <row r="165" spans="12:27" s="1" customFormat="1" ht="12" customHeight="1">
      <c r="L165" s="77"/>
      <c r="M165" s="77"/>
      <c r="N165" s="77"/>
      <c r="O165" s="77"/>
      <c r="P165" s="43"/>
      <c r="Q165" s="43"/>
      <c r="R165" s="43"/>
      <c r="S165" s="43"/>
      <c r="T165" s="43"/>
      <c r="U165" s="43"/>
      <c r="V165" s="43"/>
      <c r="W165" s="43"/>
      <c r="X165" s="43"/>
      <c r="Y165" s="43"/>
      <c r="Z165" s="1293"/>
      <c r="AA165" s="1295"/>
    </row>
    <row r="166" spans="12:27" s="1" customFormat="1" ht="12" customHeight="1">
      <c r="L166" s="77"/>
      <c r="M166" s="77"/>
      <c r="N166" s="77"/>
      <c r="O166" s="77"/>
      <c r="P166" s="43"/>
      <c r="Q166" s="43"/>
      <c r="R166" s="43"/>
      <c r="S166" s="43"/>
      <c r="T166" s="43"/>
      <c r="U166" s="43"/>
      <c r="V166" s="43"/>
      <c r="W166" s="43"/>
      <c r="X166" s="43"/>
      <c r="Y166" s="43"/>
      <c r="Z166" s="1293"/>
      <c r="AA166" s="1295"/>
    </row>
    <row r="167" spans="12:27" s="1" customFormat="1" ht="12" customHeight="1">
      <c r="L167" s="77"/>
      <c r="M167" s="77"/>
      <c r="N167" s="77"/>
      <c r="O167" s="77"/>
      <c r="P167" s="43"/>
      <c r="Q167" s="43"/>
      <c r="R167" s="43"/>
      <c r="S167" s="43"/>
      <c r="T167" s="43"/>
      <c r="U167" s="43"/>
      <c r="V167" s="43"/>
      <c r="W167" s="43"/>
      <c r="X167" s="43"/>
      <c r="Y167" s="43"/>
      <c r="Z167" s="1293"/>
      <c r="AA167" s="1295"/>
    </row>
    <row r="168" spans="12:27" s="1" customFormat="1" ht="12" customHeight="1">
      <c r="L168" s="77"/>
      <c r="M168" s="77"/>
      <c r="N168" s="77"/>
      <c r="O168" s="77"/>
      <c r="P168" s="43"/>
      <c r="Q168" s="43"/>
      <c r="R168" s="43"/>
      <c r="S168" s="43"/>
      <c r="T168" s="43"/>
      <c r="U168" s="43"/>
      <c r="V168" s="43"/>
      <c r="W168" s="43"/>
      <c r="X168" s="43"/>
      <c r="Y168" s="43"/>
      <c r="Z168" s="1293"/>
      <c r="AA168" s="1295"/>
    </row>
    <row r="169" spans="12:27" s="1" customFormat="1" ht="12" customHeight="1">
      <c r="L169" s="77"/>
      <c r="M169" s="77"/>
      <c r="N169" s="77"/>
      <c r="O169" s="77"/>
      <c r="P169" s="43"/>
      <c r="Q169" s="43"/>
      <c r="R169" s="43"/>
      <c r="S169" s="43"/>
      <c r="T169" s="43"/>
      <c r="U169" s="43"/>
      <c r="V169" s="43"/>
      <c r="W169" s="43"/>
      <c r="X169" s="43"/>
      <c r="Y169" s="43"/>
      <c r="Z169" s="1293"/>
      <c r="AA169" s="1295"/>
    </row>
    <row r="170" spans="12:27" s="1" customFormat="1" ht="12" customHeight="1">
      <c r="L170" s="77"/>
      <c r="M170" s="77"/>
      <c r="N170" s="77"/>
      <c r="O170" s="77"/>
      <c r="P170" s="43"/>
      <c r="Q170" s="77"/>
      <c r="R170" s="77"/>
      <c r="S170" s="43"/>
      <c r="T170" s="43"/>
      <c r="U170" s="43"/>
      <c r="V170" s="43"/>
      <c r="W170" s="43"/>
      <c r="X170" s="43"/>
      <c r="Y170" s="43"/>
      <c r="Z170" s="1293"/>
      <c r="AA170" s="1295"/>
    </row>
    <row r="171" spans="12:27" s="1" customFormat="1" ht="12" customHeight="1">
      <c r="L171" s="77"/>
      <c r="M171" s="77"/>
      <c r="N171" s="77"/>
      <c r="O171" s="77"/>
      <c r="P171" s="43"/>
      <c r="Q171" s="77"/>
      <c r="R171" s="77"/>
      <c r="S171" s="77"/>
      <c r="T171" s="43"/>
      <c r="U171" s="43"/>
      <c r="V171" s="43"/>
      <c r="W171" s="43"/>
      <c r="X171" s="43"/>
      <c r="Y171" s="43"/>
      <c r="Z171" s="1293"/>
      <c r="AA171" s="129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G/+SESL9DoQr86NMK5nOK/W/dHNwlsjx58o8k4nDIpI8gCHL5cxYpjyy8Mi5XKoyDvuXtK+14KxJPat0mqiXvQ==" saltValue="32+5c7S2sy7aTTNYisyHKA==" spinCount="100000" sheet="1" objects="1" scenario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233" priority="5">
      <formula>"or(B28&lt;$G$6,C28&lt;$G$6,D28&lt;$G$6,E28&lt;$G$6,F28&lt;$G$6,G28&lt;$G$6,H28&lt;$G$6,I28&lt;$G$6,J28&lt;$G$6,K28&lt;$G$6,)"</formula>
    </cfRule>
  </conditionalFormatting>
  <conditionalFormatting sqref="A31">
    <cfRule type="expression" dxfId="232" priority="8">
      <formula>"or(B28&lt;$G$6,C28&lt;$G$6,D28&lt;$G$6,E28&lt;$G$6,F28&lt;$G$6,G28&lt;$G$6,H28&lt;$G$6,I28&lt;$G$6,J28&lt;$G$6,K28&lt;$G$6,)"</formula>
    </cfRule>
  </conditionalFormatting>
  <conditionalFormatting sqref="A56">
    <cfRule type="expression" dxfId="231" priority="4">
      <formula>"or(B28&lt;$G$6,C28&lt;$G$6,D28&lt;$G$6,E28&lt;$G$6,F28&lt;$G$6,G28&lt;$G$6,H28&lt;$G$6,I28&lt;$G$6,J28&lt;$G$6,K28&lt;$G$6,)"</formula>
    </cfRule>
  </conditionalFormatting>
  <conditionalFormatting sqref="A63">
    <cfRule type="expression" dxfId="230" priority="7">
      <formula>"or(B28&lt;$G$6,C28&lt;$G$6,D28&lt;$G$6,E28&lt;$G$6,F28&lt;$G$6,G28&lt;$G$6,H28&lt;$G$6,I28&lt;$G$6,J28&lt;$G$6,K28&lt;$G$6,)"</formula>
    </cfRule>
  </conditionalFormatting>
  <conditionalFormatting sqref="A88">
    <cfRule type="expression" dxfId="229" priority="3">
      <formula>"or(B28&lt;$G$6,C28&lt;$G$6,D28&lt;$G$6,E28&lt;$G$6,F28&lt;$G$6,G28&lt;$G$6,H28&lt;$G$6,I28&lt;$G$6,J28&lt;$G$6,K28&lt;$G$6,)"</formula>
    </cfRule>
  </conditionalFormatting>
  <conditionalFormatting sqref="A95">
    <cfRule type="expression" dxfId="228" priority="6">
      <formula>"or(B28&lt;$G$6,C28&lt;$G$6,D28&lt;$G$6,E28&lt;$G$6,F28&lt;$G$6,G28&lt;$G$6,H28&lt;$G$6,I28&lt;$G$6,J28&lt;$G$6,K28&lt;$G$6,)"</formula>
    </cfRule>
  </conditionalFormatting>
  <conditionalFormatting sqref="A118">
    <cfRule type="expression" dxfId="227" priority="2">
      <formula>"or(B28&lt;$G$6,C28&lt;$G$6,D28&lt;$G$6,E28&lt;$G$6,F28&lt;$G$6,G28&lt;$G$6,H28&lt;$G$6,I28&lt;$G$6,J28&lt;$G$6,K28&lt;$G$6,)"</formula>
    </cfRule>
  </conditionalFormatting>
  <conditionalFormatting sqref="C9">
    <cfRule type="containsText" dxfId="226" priority="1" operator="containsText" text="Must be &gt;= 7%!">
      <formula>NOT(ISERROR(SEARCH("Must be &gt;= 7%!",C9)))</formula>
    </cfRule>
  </conditionalFormatting>
  <conditionalFormatting sqref="G7">
    <cfRule type="expression" dxfId="22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304" workbookViewId="0">
      <selection activeCell="S14" sqref="S14"/>
    </sheetView>
  </sheetViews>
  <sheetFormatPr defaultColWidth="9.140625" defaultRowHeight="14.25"/>
  <cols>
    <col min="1" max="1" width="5.85546875" style="1572" customWidth="1"/>
    <col min="2" max="2" width="3.7109375" style="1572" customWidth="1"/>
    <col min="3" max="3" width="2.140625" style="1572" customWidth="1"/>
    <col min="4" max="10" width="8.85546875" style="1572" customWidth="1"/>
    <col min="11" max="11" width="7.5703125" style="1572" customWidth="1"/>
    <col min="12" max="14" width="9.140625" style="1572"/>
    <col min="15" max="16" width="9.42578125" style="1572" customWidth="1"/>
    <col min="17" max="17" width="9.140625" style="1572"/>
    <col min="18" max="26" width="9.140625" style="1683"/>
    <col min="27" max="27" width="9.140625" style="2090"/>
    <col min="28" max="28" width="9.140625" style="1683"/>
    <col min="29" max="16384" width="9.140625" style="1575"/>
  </cols>
  <sheetData>
    <row r="1" spans="1:28" s="1555" customFormat="1" ht="12.75">
      <c r="A1" s="3481" t="str">
        <f>CONCATENATE("PART SEVEN - THRESHOLD CRITERIA","  -  ",'Part I-Project Identification'!$O$7," ",'Part I-Project Identification'!$F$26,", ",'Part I-Project Identification'!F27,", ",'Part I-Project Identification'!J27," County")</f>
        <v>PART SEVEN - THRESHOLD CRITERIA  -  2024-0 Finley Place, Austell, Cobb County</v>
      </c>
      <c r="B1" s="3481"/>
      <c r="C1" s="3481"/>
      <c r="D1" s="3481"/>
      <c r="E1" s="3481"/>
      <c r="F1" s="3481"/>
      <c r="G1" s="3481"/>
      <c r="H1" s="3481"/>
      <c r="I1" s="3481"/>
      <c r="J1" s="3481"/>
      <c r="K1" s="3481"/>
      <c r="L1" s="3481"/>
      <c r="M1" s="3481"/>
      <c r="N1" s="3481"/>
      <c r="O1" s="3481"/>
      <c r="P1" s="3481"/>
      <c r="Q1" s="3481"/>
      <c r="R1" s="1681"/>
      <c r="S1" s="1681"/>
      <c r="T1" s="1681"/>
      <c r="U1" s="1681"/>
      <c r="V1" s="1681"/>
      <c r="W1" s="1681"/>
      <c r="X1" s="1681"/>
      <c r="Y1" s="1681"/>
      <c r="Z1" s="1681"/>
      <c r="AA1" s="2092">
        <v>1</v>
      </c>
      <c r="AB1" s="1681"/>
    </row>
    <row r="2" spans="1:28" s="1555" customFormat="1" ht="12.75">
      <c r="R2" s="1681"/>
      <c r="S2" s="1681"/>
      <c r="T2" s="1681"/>
      <c r="U2" s="1681"/>
      <c r="V2" s="1681"/>
      <c r="W2" s="1681"/>
      <c r="X2" s="1681"/>
      <c r="Y2" s="1681"/>
      <c r="Z2" s="1681"/>
      <c r="AA2" s="2092">
        <v>2</v>
      </c>
      <c r="AB2" s="1681"/>
    </row>
    <row r="3" spans="1:28" s="1555" customFormat="1" ht="12.75">
      <c r="A3" s="3482"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482"/>
      <c r="C3" s="3482"/>
      <c r="D3" s="3482"/>
      <c r="E3" s="3482"/>
      <c r="F3" s="3482"/>
      <c r="G3" s="3482"/>
      <c r="H3" s="3482"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482"/>
      <c r="J3" s="3482"/>
      <c r="K3" s="3482"/>
      <c r="L3" s="3482"/>
      <c r="M3" s="3482"/>
      <c r="N3" s="3482"/>
      <c r="O3" s="1556"/>
      <c r="P3" s="3483" t="s">
        <v>1420</v>
      </c>
      <c r="Q3" s="3485" t="s">
        <v>1421</v>
      </c>
      <c r="R3" s="1681"/>
      <c r="S3" s="1681"/>
      <c r="T3" s="1681"/>
      <c r="U3" s="1681"/>
      <c r="V3" s="1681"/>
      <c r="W3" s="1681"/>
      <c r="X3" s="1681"/>
      <c r="Y3" s="1681"/>
      <c r="Z3" s="1681"/>
      <c r="AA3" s="2092">
        <v>3</v>
      </c>
      <c r="AB3" s="1681"/>
    </row>
    <row r="4" spans="1:28" s="1555" customFormat="1" ht="12.75">
      <c r="A4" s="1557"/>
      <c r="B4" s="3487"/>
      <c r="C4" s="3487"/>
      <c r="D4" s="3487"/>
      <c r="E4" s="1557"/>
      <c r="F4" s="1557"/>
      <c r="G4" s="1557"/>
      <c r="H4" s="1557"/>
      <c r="I4" s="1556"/>
      <c r="J4" s="1558"/>
      <c r="K4" s="1557"/>
      <c r="L4" s="1557"/>
      <c r="M4" s="1557"/>
      <c r="N4" s="1557"/>
      <c r="O4" s="1556"/>
      <c r="P4" s="3483"/>
      <c r="Q4" s="3485"/>
      <c r="R4" s="1681"/>
      <c r="S4" s="1681"/>
      <c r="T4" s="1681"/>
      <c r="U4" s="1681"/>
      <c r="V4" s="1681"/>
      <c r="W4" s="1681"/>
      <c r="X4" s="1681"/>
      <c r="Y4" s="1681"/>
      <c r="Z4" s="1681"/>
      <c r="AA4" s="2092">
        <v>4</v>
      </c>
      <c r="AB4" s="1681"/>
    </row>
    <row r="5" spans="1:28" s="1555" customFormat="1" ht="12.75">
      <c r="A5" s="1556"/>
      <c r="B5" s="1556"/>
      <c r="C5" s="1556"/>
      <c r="D5" s="1556"/>
      <c r="E5" s="3488" t="str">
        <f>'Part I-Project Identification'!$A$6</f>
        <v>2024 May 7</v>
      </c>
      <c r="F5" s="3488"/>
      <c r="G5" s="3488"/>
      <c r="H5" s="3488"/>
      <c r="I5" s="3488"/>
      <c r="J5" s="1558"/>
      <c r="K5" s="1557"/>
      <c r="L5" s="1557"/>
      <c r="M5" s="1557"/>
      <c r="N5" s="1557"/>
      <c r="O5" s="1556"/>
      <c r="P5" s="3484"/>
      <c r="Q5" s="3486"/>
      <c r="R5" s="1681"/>
      <c r="S5" s="1681"/>
      <c r="T5" s="1681"/>
      <c r="U5" s="1681"/>
      <c r="V5" s="1681"/>
      <c r="W5" s="1681"/>
      <c r="X5" s="1681"/>
      <c r="Y5" s="1681"/>
      <c r="Z5" s="1681"/>
      <c r="AA5" s="2092">
        <v>5</v>
      </c>
      <c r="AB5" s="1681"/>
    </row>
    <row r="6" spans="1:28" s="1555" customFormat="1" ht="12.75">
      <c r="A6" s="1556"/>
      <c r="B6" s="1556"/>
      <c r="C6" s="1556"/>
      <c r="D6" s="1556"/>
      <c r="E6" s="1559"/>
      <c r="F6" s="1559"/>
      <c r="G6" s="1559"/>
      <c r="H6" s="1559"/>
      <c r="I6" s="1559"/>
      <c r="J6" s="1558"/>
      <c r="K6" s="1556"/>
      <c r="L6" s="1560"/>
      <c r="M6" s="1558"/>
      <c r="N6" s="1557"/>
      <c r="O6" s="1556"/>
      <c r="P6" s="1561"/>
      <c r="Q6" s="1561"/>
      <c r="R6" s="1681"/>
      <c r="S6" s="1681"/>
      <c r="T6" s="1681"/>
      <c r="U6" s="1681"/>
      <c r="V6" s="1681"/>
      <c r="W6" s="1681"/>
      <c r="X6" s="1681"/>
      <c r="Y6" s="1681"/>
      <c r="Z6" s="1681"/>
      <c r="AA6" s="2092">
        <v>6</v>
      </c>
      <c r="AB6" s="1681"/>
    </row>
    <row r="7" spans="1:28" s="1555" customFormat="1" ht="37.5" customHeight="1">
      <c r="A7" s="3492" t="s">
        <v>1422</v>
      </c>
      <c r="B7" s="3492"/>
      <c r="C7" s="3492"/>
      <c r="D7" s="3492"/>
      <c r="E7" s="3492"/>
      <c r="F7" s="3492"/>
      <c r="G7" s="3492"/>
      <c r="H7" s="3492"/>
      <c r="I7" s="3492"/>
      <c r="J7" s="3492"/>
      <c r="K7" s="3492"/>
      <c r="L7" s="3492"/>
      <c r="M7" s="3492"/>
      <c r="N7" s="3492"/>
      <c r="O7" s="3492"/>
      <c r="P7" s="3492"/>
      <c r="Q7" s="3492"/>
      <c r="R7" s="1681"/>
      <c r="S7" s="1681"/>
      <c r="T7" s="1681"/>
      <c r="U7" s="1681"/>
      <c r="V7" s="1681"/>
      <c r="W7" s="1681"/>
      <c r="X7" s="1681"/>
      <c r="Y7" s="1681"/>
      <c r="Z7" s="1681"/>
      <c r="AA7" s="2092">
        <v>7</v>
      </c>
      <c r="AB7" s="1681"/>
    </row>
    <row r="8" spans="1:28" s="1555" customFormat="1" ht="12.75">
      <c r="A8" s="1556"/>
      <c r="B8" s="1556"/>
      <c r="C8" s="1556"/>
      <c r="D8" s="1556"/>
      <c r="E8" s="1559"/>
      <c r="F8" s="1559"/>
      <c r="G8" s="1559"/>
      <c r="H8" s="1559"/>
      <c r="I8" s="1559"/>
      <c r="J8" s="1558"/>
      <c r="K8" s="1556"/>
      <c r="L8" s="1560"/>
      <c r="M8" s="1558"/>
      <c r="N8" s="1557"/>
      <c r="O8" s="1556"/>
      <c r="P8" s="1561"/>
      <c r="Q8" s="1561"/>
      <c r="R8" s="1681"/>
      <c r="S8" s="1681"/>
      <c r="T8" s="1681"/>
      <c r="U8" s="1681"/>
      <c r="V8" s="1681"/>
      <c r="W8" s="1681"/>
      <c r="X8" s="1681"/>
      <c r="Y8" s="1681"/>
      <c r="Z8" s="1681"/>
      <c r="AA8" s="2092">
        <v>8</v>
      </c>
      <c r="AB8" s="1681"/>
    </row>
    <row r="9" spans="1:28" s="1566" customFormat="1" ht="18" customHeight="1">
      <c r="A9" s="1562" t="s">
        <v>1423</v>
      </c>
      <c r="B9" s="1563"/>
      <c r="C9" s="1563"/>
      <c r="D9" s="1563"/>
      <c r="E9" s="1563"/>
      <c r="F9" s="1563"/>
      <c r="G9" s="1563"/>
      <c r="H9" s="1563"/>
      <c r="I9" s="1564"/>
      <c r="J9" s="1564"/>
      <c r="K9" s="1565"/>
      <c r="L9" s="1565"/>
      <c r="M9" s="1565"/>
      <c r="N9" s="1565"/>
      <c r="O9" s="1565"/>
      <c r="P9" s="3493"/>
      <c r="Q9" s="3494"/>
      <c r="R9" s="1682"/>
      <c r="S9" s="1682"/>
      <c r="T9" s="1682"/>
      <c r="U9" s="1682"/>
      <c r="V9" s="1682"/>
      <c r="W9" s="1682"/>
      <c r="X9" s="1682"/>
      <c r="Y9" s="1682"/>
      <c r="Z9" s="1682"/>
      <c r="AA9" s="2093">
        <v>9</v>
      </c>
      <c r="AB9" s="1682"/>
    </row>
    <row r="10" spans="1:28" s="1566" customFormat="1" ht="15">
      <c r="A10" s="1567" t="s">
        <v>1424</v>
      </c>
      <c r="B10" s="1563"/>
      <c r="C10" s="1563"/>
      <c r="D10" s="1563"/>
      <c r="E10" s="1563"/>
      <c r="F10" s="1563"/>
      <c r="G10" s="1563"/>
      <c r="H10" s="1568"/>
      <c r="I10" s="1569"/>
      <c r="J10" s="1569"/>
      <c r="K10" s="1568"/>
      <c r="L10" s="1568"/>
      <c r="M10" s="1570"/>
      <c r="N10" s="1570"/>
      <c r="O10" s="1563"/>
      <c r="P10" s="1563"/>
      <c r="Q10" s="1563"/>
      <c r="R10" s="1682"/>
      <c r="S10" s="1682"/>
      <c r="T10" s="1682"/>
      <c r="U10" s="1682"/>
      <c r="V10" s="1682"/>
      <c r="W10" s="1682"/>
      <c r="X10" s="1682"/>
      <c r="Y10" s="1682"/>
      <c r="Z10" s="1682"/>
      <c r="AA10" s="2092">
        <v>10</v>
      </c>
      <c r="AB10" s="1682"/>
    </row>
    <row r="11" spans="1:28" s="1566" customFormat="1">
      <c r="A11" s="3495" t="s">
        <v>1425</v>
      </c>
      <c r="B11" s="3496"/>
      <c r="C11" s="3496"/>
      <c r="D11" s="3496"/>
      <c r="E11" s="3496"/>
      <c r="F11" s="3496"/>
      <c r="G11" s="3496"/>
      <c r="H11" s="3496"/>
      <c r="I11" s="3496"/>
      <c r="J11" s="3496"/>
      <c r="K11" s="3496"/>
      <c r="L11" s="3496"/>
      <c r="M11" s="3496"/>
      <c r="N11" s="3496"/>
      <c r="O11" s="3496"/>
      <c r="P11" s="3496"/>
      <c r="Q11" s="3497"/>
      <c r="R11" s="1682"/>
      <c r="S11" s="1682"/>
      <c r="T11" s="1682"/>
      <c r="U11" s="1682"/>
      <c r="V11" s="1682"/>
      <c r="W11" s="1682"/>
      <c r="X11" s="1682"/>
      <c r="Y11" s="1682"/>
      <c r="Z11" s="1682"/>
      <c r="AA11" s="2092">
        <v>11</v>
      </c>
      <c r="AB11" s="1682"/>
    </row>
    <row r="12" spans="1:28" s="1566" customFormat="1">
      <c r="A12" s="3489" t="s">
        <v>1426</v>
      </c>
      <c r="B12" s="3490"/>
      <c r="C12" s="3490"/>
      <c r="D12" s="3490"/>
      <c r="E12" s="3490"/>
      <c r="F12" s="3490"/>
      <c r="G12" s="3490"/>
      <c r="H12" s="3490"/>
      <c r="I12" s="3490"/>
      <c r="J12" s="3490"/>
      <c r="K12" s="3490"/>
      <c r="L12" s="3490"/>
      <c r="M12" s="3490"/>
      <c r="N12" s="3490"/>
      <c r="O12" s="3490"/>
      <c r="P12" s="3490"/>
      <c r="Q12" s="3491"/>
      <c r="R12" s="1682"/>
      <c r="S12" s="1682"/>
      <c r="T12" s="1682"/>
      <c r="U12" s="1682"/>
      <c r="V12" s="1682"/>
      <c r="W12" s="1682"/>
      <c r="X12" s="1682"/>
      <c r="Y12" s="1682"/>
      <c r="Z12" s="1682"/>
      <c r="AA12" s="2092">
        <v>12</v>
      </c>
      <c r="AB12" s="1682"/>
    </row>
    <row r="13" spans="1:28" s="1566" customFormat="1">
      <c r="A13" s="3489" t="s">
        <v>1427</v>
      </c>
      <c r="B13" s="3490"/>
      <c r="C13" s="3490"/>
      <c r="D13" s="3490"/>
      <c r="E13" s="3490"/>
      <c r="F13" s="3490"/>
      <c r="G13" s="3490"/>
      <c r="H13" s="3490"/>
      <c r="I13" s="3490"/>
      <c r="J13" s="3490"/>
      <c r="K13" s="3490"/>
      <c r="L13" s="3490"/>
      <c r="M13" s="3490"/>
      <c r="N13" s="3490"/>
      <c r="O13" s="3490"/>
      <c r="P13" s="3490"/>
      <c r="Q13" s="3491"/>
      <c r="R13" s="1682"/>
      <c r="S13" s="1682"/>
      <c r="T13" s="1682"/>
      <c r="U13" s="1682"/>
      <c r="V13" s="1682"/>
      <c r="W13" s="1682"/>
      <c r="X13" s="1682"/>
      <c r="Y13" s="1682"/>
      <c r="Z13" s="1682"/>
      <c r="AA13" s="2092">
        <v>13</v>
      </c>
      <c r="AB13" s="1682"/>
    </row>
    <row r="14" spans="1:28" s="1566" customFormat="1">
      <c r="A14" s="3489" t="s">
        <v>1428</v>
      </c>
      <c r="B14" s="3490"/>
      <c r="C14" s="3490"/>
      <c r="D14" s="3490"/>
      <c r="E14" s="3490"/>
      <c r="F14" s="3490"/>
      <c r="G14" s="3490"/>
      <c r="H14" s="3490"/>
      <c r="I14" s="3490"/>
      <c r="J14" s="3490"/>
      <c r="K14" s="3490"/>
      <c r="L14" s="3490"/>
      <c r="M14" s="3490"/>
      <c r="N14" s="3490"/>
      <c r="O14" s="3490"/>
      <c r="P14" s="3490"/>
      <c r="Q14" s="3491"/>
      <c r="R14" s="1682"/>
      <c r="S14" s="1682"/>
      <c r="T14" s="1682"/>
      <c r="U14" s="1682"/>
      <c r="V14" s="1682"/>
      <c r="W14" s="1682"/>
      <c r="X14" s="1682"/>
      <c r="Y14" s="1682"/>
      <c r="Z14" s="1682"/>
      <c r="AA14" s="2092">
        <v>14</v>
      </c>
      <c r="AB14" s="1682"/>
    </row>
    <row r="15" spans="1:28" s="1566" customFormat="1">
      <c r="A15" s="3489" t="s">
        <v>1429</v>
      </c>
      <c r="B15" s="3490"/>
      <c r="C15" s="3490"/>
      <c r="D15" s="3490"/>
      <c r="E15" s="3490"/>
      <c r="F15" s="3490"/>
      <c r="G15" s="3490"/>
      <c r="H15" s="3490"/>
      <c r="I15" s="3490"/>
      <c r="J15" s="3490"/>
      <c r="K15" s="3490"/>
      <c r="L15" s="3490"/>
      <c r="M15" s="3490"/>
      <c r="N15" s="3490"/>
      <c r="O15" s="3490"/>
      <c r="P15" s="3490"/>
      <c r="Q15" s="3491"/>
      <c r="R15" s="1682"/>
      <c r="S15" s="1682"/>
      <c r="T15" s="1682"/>
      <c r="U15" s="1682"/>
      <c r="V15" s="1682"/>
      <c r="W15" s="1682"/>
      <c r="X15" s="1682"/>
      <c r="Y15" s="1682"/>
      <c r="Z15" s="1682"/>
      <c r="AA15" s="2092">
        <v>15</v>
      </c>
      <c r="AB15" s="1682"/>
    </row>
    <row r="16" spans="1:28" s="1566" customFormat="1">
      <c r="A16" s="3489" t="s">
        <v>1430</v>
      </c>
      <c r="B16" s="3490"/>
      <c r="C16" s="3490"/>
      <c r="D16" s="3490"/>
      <c r="E16" s="3490"/>
      <c r="F16" s="3490"/>
      <c r="G16" s="3490"/>
      <c r="H16" s="3490"/>
      <c r="I16" s="3490"/>
      <c r="J16" s="3490"/>
      <c r="K16" s="3490"/>
      <c r="L16" s="3490"/>
      <c r="M16" s="3490"/>
      <c r="N16" s="3490"/>
      <c r="O16" s="3490"/>
      <c r="P16" s="3490"/>
      <c r="Q16" s="3491"/>
      <c r="R16" s="1682"/>
      <c r="S16" s="1682"/>
      <c r="T16" s="1682"/>
      <c r="U16" s="1682"/>
      <c r="V16" s="1682"/>
      <c r="W16" s="1682"/>
      <c r="X16" s="1682"/>
      <c r="Y16" s="1682"/>
      <c r="Z16" s="1682"/>
      <c r="AA16" s="2092">
        <v>16</v>
      </c>
      <c r="AB16" s="1682"/>
    </row>
    <row r="17" spans="1:28" s="1566" customFormat="1">
      <c r="A17" s="3489" t="s">
        <v>1431</v>
      </c>
      <c r="B17" s="3490"/>
      <c r="C17" s="3490"/>
      <c r="D17" s="3490"/>
      <c r="E17" s="3490"/>
      <c r="F17" s="3490"/>
      <c r="G17" s="3490"/>
      <c r="H17" s="3490"/>
      <c r="I17" s="3490"/>
      <c r="J17" s="3490"/>
      <c r="K17" s="3490"/>
      <c r="L17" s="3490"/>
      <c r="M17" s="3490"/>
      <c r="N17" s="3490"/>
      <c r="O17" s="3490"/>
      <c r="P17" s="3490"/>
      <c r="Q17" s="3491"/>
      <c r="R17" s="1682"/>
      <c r="S17" s="1682"/>
      <c r="T17" s="1682"/>
      <c r="U17" s="1682"/>
      <c r="V17" s="1682"/>
      <c r="W17" s="1682"/>
      <c r="X17" s="1682"/>
      <c r="Y17" s="1682"/>
      <c r="Z17" s="1682"/>
      <c r="AA17" s="2092">
        <v>17</v>
      </c>
      <c r="AB17" s="1682"/>
    </row>
    <row r="18" spans="1:28" s="1566" customFormat="1">
      <c r="A18" s="3489" t="s">
        <v>1432</v>
      </c>
      <c r="B18" s="3490"/>
      <c r="C18" s="3490"/>
      <c r="D18" s="3490"/>
      <c r="E18" s="3490"/>
      <c r="F18" s="3490"/>
      <c r="G18" s="3490"/>
      <c r="H18" s="3490"/>
      <c r="I18" s="3490"/>
      <c r="J18" s="3490"/>
      <c r="K18" s="3490"/>
      <c r="L18" s="3490"/>
      <c r="M18" s="3490"/>
      <c r="N18" s="3490"/>
      <c r="O18" s="3490"/>
      <c r="P18" s="3490"/>
      <c r="Q18" s="3491"/>
      <c r="R18" s="1682"/>
      <c r="S18" s="1682"/>
      <c r="T18" s="1682"/>
      <c r="U18" s="1682"/>
      <c r="V18" s="1682"/>
      <c r="W18" s="1682"/>
      <c r="X18" s="1682"/>
      <c r="Y18" s="1682"/>
      <c r="Z18" s="1682"/>
      <c r="AA18" s="2093">
        <v>18</v>
      </c>
      <c r="AB18" s="1682"/>
    </row>
    <row r="19" spans="1:28" s="1566" customFormat="1">
      <c r="A19" s="3489" t="s">
        <v>1433</v>
      </c>
      <c r="B19" s="3490"/>
      <c r="C19" s="3490"/>
      <c r="D19" s="3490"/>
      <c r="E19" s="3490"/>
      <c r="F19" s="3490"/>
      <c r="G19" s="3490"/>
      <c r="H19" s="3490"/>
      <c r="I19" s="3490"/>
      <c r="J19" s="3490"/>
      <c r="K19" s="3490"/>
      <c r="L19" s="3490"/>
      <c r="M19" s="3490"/>
      <c r="N19" s="3490"/>
      <c r="O19" s="3490"/>
      <c r="P19" s="3490"/>
      <c r="Q19" s="3491"/>
      <c r="R19" s="1682"/>
      <c r="S19" s="1682"/>
      <c r="T19" s="1682"/>
      <c r="U19" s="1682"/>
      <c r="V19" s="1682"/>
      <c r="W19" s="1682"/>
      <c r="X19" s="1682"/>
      <c r="Y19" s="1682"/>
      <c r="Z19" s="1682"/>
      <c r="AA19" s="2092">
        <v>19</v>
      </c>
      <c r="AB19" s="1682"/>
    </row>
    <row r="20" spans="1:28" s="1566" customFormat="1">
      <c r="A20" s="3489" t="s">
        <v>1434</v>
      </c>
      <c r="B20" s="3490"/>
      <c r="C20" s="3490"/>
      <c r="D20" s="3490"/>
      <c r="E20" s="3490"/>
      <c r="F20" s="3490"/>
      <c r="G20" s="3490"/>
      <c r="H20" s="3490"/>
      <c r="I20" s="3490"/>
      <c r="J20" s="3490"/>
      <c r="K20" s="3490"/>
      <c r="L20" s="3490"/>
      <c r="M20" s="3490"/>
      <c r="N20" s="3490"/>
      <c r="O20" s="3490"/>
      <c r="P20" s="3490"/>
      <c r="Q20" s="3491"/>
      <c r="R20" s="1682"/>
      <c r="S20" s="1682"/>
      <c r="T20" s="1682"/>
      <c r="U20" s="1682"/>
      <c r="V20" s="1682"/>
      <c r="W20" s="1682"/>
      <c r="X20" s="1682"/>
      <c r="Y20" s="1682"/>
      <c r="Z20" s="1682"/>
      <c r="AA20" s="2092">
        <v>20</v>
      </c>
      <c r="AB20" s="1682"/>
    </row>
    <row r="21" spans="1:28" s="1566" customFormat="1">
      <c r="A21" s="3489" t="s">
        <v>1435</v>
      </c>
      <c r="B21" s="3490"/>
      <c r="C21" s="3490"/>
      <c r="D21" s="3490"/>
      <c r="E21" s="3490"/>
      <c r="F21" s="3490"/>
      <c r="G21" s="3490"/>
      <c r="H21" s="3490"/>
      <c r="I21" s="3490"/>
      <c r="J21" s="3490"/>
      <c r="K21" s="3490"/>
      <c r="L21" s="3490"/>
      <c r="M21" s="3490"/>
      <c r="N21" s="3490"/>
      <c r="O21" s="3490"/>
      <c r="P21" s="3490"/>
      <c r="Q21" s="3491"/>
      <c r="R21" s="1682"/>
      <c r="S21" s="1682"/>
      <c r="T21" s="1682"/>
      <c r="U21" s="1682"/>
      <c r="V21" s="1682"/>
      <c r="W21" s="1682"/>
      <c r="X21" s="1682"/>
      <c r="Y21" s="1682"/>
      <c r="Z21" s="1682"/>
      <c r="AA21" s="2092">
        <v>21</v>
      </c>
      <c r="AB21" s="1682"/>
    </row>
    <row r="22" spans="1:28" s="1566" customFormat="1">
      <c r="A22" s="3489" t="s">
        <v>1436</v>
      </c>
      <c r="B22" s="3490"/>
      <c r="C22" s="3490"/>
      <c r="D22" s="3490"/>
      <c r="E22" s="3490"/>
      <c r="F22" s="3490"/>
      <c r="G22" s="3490"/>
      <c r="H22" s="3490"/>
      <c r="I22" s="3490"/>
      <c r="J22" s="3490"/>
      <c r="K22" s="3490"/>
      <c r="L22" s="3490"/>
      <c r="M22" s="3490"/>
      <c r="N22" s="3490"/>
      <c r="O22" s="3490"/>
      <c r="P22" s="3490"/>
      <c r="Q22" s="3491"/>
      <c r="R22" s="1682"/>
      <c r="S22" s="1682"/>
      <c r="T22" s="1682"/>
      <c r="U22" s="1682"/>
      <c r="V22" s="1682"/>
      <c r="W22" s="1682"/>
      <c r="X22" s="1682"/>
      <c r="Y22" s="1682"/>
      <c r="Z22" s="1682"/>
      <c r="AA22" s="2092">
        <v>22</v>
      </c>
      <c r="AB22" s="1682"/>
    </row>
    <row r="23" spans="1:28" s="1566" customFormat="1">
      <c r="A23" s="3489" t="s">
        <v>1437</v>
      </c>
      <c r="B23" s="3490"/>
      <c r="C23" s="3490"/>
      <c r="D23" s="3490"/>
      <c r="E23" s="3490"/>
      <c r="F23" s="3490"/>
      <c r="G23" s="3490"/>
      <c r="H23" s="3490"/>
      <c r="I23" s="3490"/>
      <c r="J23" s="3490"/>
      <c r="K23" s="3490"/>
      <c r="L23" s="3490"/>
      <c r="M23" s="3490"/>
      <c r="N23" s="3490"/>
      <c r="O23" s="3490"/>
      <c r="P23" s="3490"/>
      <c r="Q23" s="3491"/>
      <c r="R23" s="1682"/>
      <c r="S23" s="1682"/>
      <c r="T23" s="1682"/>
      <c r="U23" s="1682"/>
      <c r="V23" s="1682"/>
      <c r="W23" s="1682"/>
      <c r="X23" s="1682"/>
      <c r="Y23" s="1682"/>
      <c r="Z23" s="1682"/>
      <c r="AA23" s="2092">
        <v>23</v>
      </c>
      <c r="AB23" s="1682"/>
    </row>
    <row r="24" spans="1:28" s="1566" customFormat="1">
      <c r="A24" s="3489" t="s">
        <v>1438</v>
      </c>
      <c r="B24" s="3490"/>
      <c r="C24" s="3490"/>
      <c r="D24" s="3490"/>
      <c r="E24" s="3490"/>
      <c r="F24" s="3490"/>
      <c r="G24" s="3490"/>
      <c r="H24" s="3490"/>
      <c r="I24" s="3490"/>
      <c r="J24" s="3490"/>
      <c r="K24" s="3490"/>
      <c r="L24" s="3490"/>
      <c r="M24" s="3490"/>
      <c r="N24" s="3490"/>
      <c r="O24" s="3490"/>
      <c r="P24" s="3490"/>
      <c r="Q24" s="3491"/>
      <c r="R24" s="1682"/>
      <c r="S24" s="1682"/>
      <c r="T24" s="1682"/>
      <c r="U24" s="1682"/>
      <c r="V24" s="1682"/>
      <c r="W24" s="1682"/>
      <c r="X24" s="1682"/>
      <c r="Y24" s="1682"/>
      <c r="Z24" s="1682"/>
      <c r="AA24" s="2092">
        <v>24</v>
      </c>
      <c r="AB24" s="1682"/>
    </row>
    <row r="25" spans="1:28" s="1566" customFormat="1">
      <c r="A25" s="3489" t="s">
        <v>1439</v>
      </c>
      <c r="B25" s="3490"/>
      <c r="C25" s="3490"/>
      <c r="D25" s="3490"/>
      <c r="E25" s="3490"/>
      <c r="F25" s="3490"/>
      <c r="G25" s="3490"/>
      <c r="H25" s="3490"/>
      <c r="I25" s="3490"/>
      <c r="J25" s="3490"/>
      <c r="K25" s="3490"/>
      <c r="L25" s="3490"/>
      <c r="M25" s="3490"/>
      <c r="N25" s="3490"/>
      <c r="O25" s="3490"/>
      <c r="P25" s="3490"/>
      <c r="Q25" s="3491"/>
      <c r="R25" s="1682"/>
      <c r="S25" s="1682"/>
      <c r="T25" s="1682"/>
      <c r="U25" s="1682"/>
      <c r="V25" s="1682"/>
      <c r="W25" s="1682"/>
      <c r="X25" s="1682"/>
      <c r="Y25" s="1682"/>
      <c r="Z25" s="1682"/>
      <c r="AA25" s="2092">
        <v>25</v>
      </c>
      <c r="AB25" s="1682"/>
    </row>
    <row r="26" spans="1:28" s="1566" customFormat="1">
      <c r="A26" s="3489" t="s">
        <v>1440</v>
      </c>
      <c r="B26" s="3490"/>
      <c r="C26" s="3490"/>
      <c r="D26" s="3490"/>
      <c r="E26" s="3490"/>
      <c r="F26" s="3490"/>
      <c r="G26" s="3490"/>
      <c r="H26" s="3490"/>
      <c r="I26" s="3490"/>
      <c r="J26" s="3490"/>
      <c r="K26" s="3490"/>
      <c r="L26" s="3490"/>
      <c r="M26" s="3490"/>
      <c r="N26" s="3490"/>
      <c r="O26" s="3490"/>
      <c r="P26" s="3490"/>
      <c r="Q26" s="3491"/>
      <c r="R26" s="1682"/>
      <c r="S26" s="1682"/>
      <c r="T26" s="1682"/>
      <c r="U26" s="1682"/>
      <c r="V26" s="1682"/>
      <c r="W26" s="1682"/>
      <c r="X26" s="1682"/>
      <c r="Y26" s="1682"/>
      <c r="Z26" s="1682"/>
      <c r="AA26" s="2092">
        <v>26</v>
      </c>
      <c r="AB26" s="1682"/>
    </row>
    <row r="27" spans="1:28" s="1566" customFormat="1">
      <c r="A27" s="3489" t="s">
        <v>1441</v>
      </c>
      <c r="B27" s="3490"/>
      <c r="C27" s="3490"/>
      <c r="D27" s="3490"/>
      <c r="E27" s="3490"/>
      <c r="F27" s="3490"/>
      <c r="G27" s="3490"/>
      <c r="H27" s="3490"/>
      <c r="I27" s="3490"/>
      <c r="J27" s="3490"/>
      <c r="K27" s="3490"/>
      <c r="L27" s="3490"/>
      <c r="M27" s="3490"/>
      <c r="N27" s="3490"/>
      <c r="O27" s="3490"/>
      <c r="P27" s="3490"/>
      <c r="Q27" s="3491"/>
      <c r="R27" s="1682"/>
      <c r="S27" s="1682"/>
      <c r="T27" s="1682"/>
      <c r="U27" s="1682"/>
      <c r="V27" s="1682"/>
      <c r="W27" s="1682"/>
      <c r="X27" s="1682"/>
      <c r="Y27" s="1682"/>
      <c r="Z27" s="1682"/>
      <c r="AA27" s="2093">
        <v>27</v>
      </c>
      <c r="AB27" s="1682"/>
    </row>
    <row r="28" spans="1:28" s="1566" customFormat="1">
      <c r="A28" s="3498" t="s">
        <v>1442</v>
      </c>
      <c r="B28" s="3499"/>
      <c r="C28" s="3499"/>
      <c r="D28" s="3499"/>
      <c r="E28" s="3499"/>
      <c r="F28" s="3499"/>
      <c r="G28" s="3499"/>
      <c r="H28" s="3499"/>
      <c r="I28" s="3499"/>
      <c r="J28" s="3499"/>
      <c r="K28" s="3499"/>
      <c r="L28" s="3499"/>
      <c r="M28" s="3499"/>
      <c r="N28" s="3499"/>
      <c r="O28" s="3499"/>
      <c r="P28" s="3499"/>
      <c r="Q28" s="3500"/>
      <c r="R28" s="1682"/>
      <c r="S28" s="1682"/>
      <c r="T28" s="1682"/>
      <c r="U28" s="1682"/>
      <c r="V28" s="1682"/>
      <c r="W28" s="1682"/>
      <c r="X28" s="1682"/>
      <c r="Y28" s="1682"/>
      <c r="Z28" s="1682"/>
      <c r="AA28" s="2092">
        <v>28</v>
      </c>
      <c r="AB28" s="1682"/>
    </row>
    <row r="29" spans="1:28" s="1566" customFormat="1">
      <c r="A29" s="1563"/>
      <c r="B29" s="1563"/>
      <c r="C29" s="1563"/>
      <c r="D29" s="1563"/>
      <c r="E29" s="1563"/>
      <c r="F29" s="1563"/>
      <c r="G29" s="1563"/>
      <c r="H29" s="1563"/>
      <c r="I29" s="1563"/>
      <c r="J29" s="1563"/>
      <c r="K29" s="1563"/>
      <c r="L29" s="1563"/>
      <c r="M29" s="1563"/>
      <c r="N29" s="1563"/>
      <c r="O29" s="1563"/>
      <c r="P29" s="1563"/>
      <c r="Q29" s="1563"/>
      <c r="R29" s="1682"/>
      <c r="S29" s="1682"/>
      <c r="T29" s="1682"/>
      <c r="U29" s="1682"/>
      <c r="V29" s="1682"/>
      <c r="W29" s="1682"/>
      <c r="X29" s="1682"/>
      <c r="Y29" s="1682"/>
      <c r="Z29" s="1682"/>
      <c r="AA29" s="2092">
        <v>29</v>
      </c>
      <c r="AB29" s="1682"/>
    </row>
    <row r="30" spans="1:28" s="1566" customFormat="1" ht="18" customHeight="1">
      <c r="A30" s="1563"/>
      <c r="B30" s="1563"/>
      <c r="C30" s="1563"/>
      <c r="D30" s="1563"/>
      <c r="E30" s="1563"/>
      <c r="F30" s="1563"/>
      <c r="G30" s="1563"/>
      <c r="H30" s="1563"/>
      <c r="I30" s="1563"/>
      <c r="J30" s="1563"/>
      <c r="K30" s="1563"/>
      <c r="L30" s="1563"/>
      <c r="M30" s="1563"/>
      <c r="N30" s="1563"/>
      <c r="O30" s="1563"/>
      <c r="P30" s="1563"/>
      <c r="Q30" s="1563"/>
      <c r="R30" s="1682"/>
      <c r="S30" s="1682"/>
      <c r="T30" s="1682"/>
      <c r="U30" s="1682"/>
      <c r="V30" s="1682"/>
      <c r="W30" s="1682"/>
      <c r="X30" s="1682"/>
      <c r="Y30" s="1682"/>
      <c r="Z30" s="1682"/>
      <c r="AA30" s="2092">
        <v>30</v>
      </c>
      <c r="AB30" s="1682"/>
    </row>
    <row r="31" spans="1:28" ht="20.25" customHeight="1">
      <c r="A31" s="2552" t="s">
        <v>21</v>
      </c>
      <c r="B31" s="1571" t="s">
        <v>1443</v>
      </c>
      <c r="C31" s="1571"/>
      <c r="D31" s="1571"/>
      <c r="E31" s="1571"/>
      <c r="F31" s="1571"/>
      <c r="G31" s="1571"/>
      <c r="H31" s="2548"/>
      <c r="I31" s="1573"/>
      <c r="J31" s="1573"/>
      <c r="K31" s="1573"/>
      <c r="L31" s="1570"/>
      <c r="M31" s="1570"/>
      <c r="N31" s="2548"/>
      <c r="O31" s="1574" t="s">
        <v>1444</v>
      </c>
      <c r="P31" s="3501"/>
      <c r="Q31" s="3502"/>
      <c r="AA31" s="2092">
        <v>31</v>
      </c>
    </row>
    <row r="32" spans="1:28" ht="12.75" customHeight="1">
      <c r="A32" s="2548"/>
      <c r="B32" s="1576" t="s">
        <v>1445</v>
      </c>
      <c r="C32" s="1576"/>
      <c r="D32" s="1576"/>
      <c r="E32" s="1576"/>
      <c r="F32" s="1576"/>
      <c r="G32" s="1573"/>
      <c r="H32" s="1573"/>
      <c r="I32" s="1573"/>
      <c r="J32" s="1573"/>
      <c r="K32" s="1570"/>
      <c r="L32" s="1570"/>
      <c r="M32" s="1570"/>
      <c r="N32" s="1570"/>
      <c r="O32" s="1570"/>
      <c r="P32" s="1570"/>
      <c r="Q32" s="2548"/>
      <c r="AA32" s="2092">
        <v>32</v>
      </c>
    </row>
    <row r="33" spans="1:27" ht="52.5" customHeight="1">
      <c r="A33" s="3503" t="s">
        <v>1446</v>
      </c>
      <c r="B33" s="3503"/>
      <c r="C33" s="3503"/>
      <c r="D33" s="3503"/>
      <c r="E33" s="3503"/>
      <c r="F33" s="3503"/>
      <c r="G33" s="3503"/>
      <c r="H33" s="3503"/>
      <c r="I33" s="3503"/>
      <c r="J33" s="3503"/>
      <c r="K33" s="3503"/>
      <c r="L33" s="3503"/>
      <c r="M33" s="3503"/>
      <c r="N33" s="3503"/>
      <c r="O33" s="3503"/>
      <c r="P33" s="3503"/>
      <c r="Q33" s="3504"/>
      <c r="AA33" s="2092">
        <v>33</v>
      </c>
    </row>
    <row r="34" spans="1:27" ht="15" customHeight="1">
      <c r="A34" s="2548"/>
      <c r="B34" s="1576" t="s">
        <v>1447</v>
      </c>
      <c r="C34" s="1577"/>
      <c r="D34" s="2544"/>
      <c r="E34" s="2544"/>
      <c r="F34" s="2544"/>
      <c r="G34" s="2544"/>
      <c r="H34" s="2544"/>
      <c r="I34" s="2544"/>
      <c r="J34" s="2544"/>
      <c r="K34" s="2544"/>
      <c r="L34" s="2544"/>
      <c r="M34" s="2544"/>
      <c r="N34" s="2544"/>
      <c r="O34" s="2544"/>
      <c r="P34" s="2544"/>
      <c r="Q34" s="2548"/>
      <c r="AA34" s="2092">
        <v>34</v>
      </c>
    </row>
    <row r="35" spans="1:27" ht="20.25" customHeight="1">
      <c r="A35" s="3505"/>
      <c r="B35" s="3505"/>
      <c r="C35" s="3505"/>
      <c r="D35" s="3505"/>
      <c r="E35" s="3505"/>
      <c r="F35" s="3505"/>
      <c r="G35" s="3505"/>
      <c r="H35" s="3505"/>
      <c r="I35" s="3505"/>
      <c r="J35" s="3505"/>
      <c r="K35" s="3505"/>
      <c r="L35" s="3505"/>
      <c r="M35" s="3505"/>
      <c r="N35" s="3505"/>
      <c r="O35" s="3505"/>
      <c r="P35" s="3505"/>
      <c r="Q35" s="3505"/>
      <c r="AA35" s="2092">
        <v>35</v>
      </c>
    </row>
    <row r="36" spans="1:27" ht="11.25" customHeight="1">
      <c r="A36" s="2548"/>
      <c r="B36" s="1573"/>
      <c r="C36" s="2544"/>
      <c r="D36" s="2544"/>
      <c r="E36" s="2544"/>
      <c r="F36" s="2544"/>
      <c r="G36" s="2544"/>
      <c r="H36" s="2544"/>
      <c r="I36" s="2544"/>
      <c r="J36" s="2544"/>
      <c r="K36" s="2544"/>
      <c r="L36" s="2544"/>
      <c r="M36" s="2544"/>
      <c r="N36" s="2544"/>
      <c r="O36" s="2544"/>
      <c r="P36" s="2544"/>
      <c r="Q36" s="1570"/>
      <c r="AA36" s="2093">
        <v>36</v>
      </c>
    </row>
    <row r="37" spans="1:27" ht="11.25" customHeight="1">
      <c r="A37" s="2548"/>
      <c r="B37" s="1573"/>
      <c r="C37" s="2544"/>
      <c r="D37" s="2544"/>
      <c r="E37" s="2544"/>
      <c r="F37" s="2544"/>
      <c r="G37" s="2544"/>
      <c r="H37" s="2544"/>
      <c r="I37" s="2544"/>
      <c r="J37" s="2544"/>
      <c r="K37" s="2544"/>
      <c r="L37" s="2544"/>
      <c r="M37" s="2544"/>
      <c r="N37" s="2544"/>
      <c r="O37" s="2544"/>
      <c r="P37" s="2544"/>
      <c r="Q37" s="1570"/>
      <c r="AA37" s="2092">
        <v>37</v>
      </c>
    </row>
    <row r="38" spans="1:27" ht="20.25" customHeight="1">
      <c r="A38" s="2552" t="s">
        <v>25</v>
      </c>
      <c r="B38" s="1571" t="s">
        <v>1448</v>
      </c>
      <c r="C38" s="1571"/>
      <c r="D38" s="1571"/>
      <c r="E38" s="2544"/>
      <c r="F38" s="2544"/>
      <c r="G38" s="2550"/>
      <c r="H38" s="2548"/>
      <c r="I38" s="2548"/>
      <c r="J38" s="2548"/>
      <c r="K38" s="2548"/>
      <c r="L38" s="2548"/>
      <c r="M38" s="2548"/>
      <c r="N38" s="2548"/>
      <c r="O38" s="1574" t="s">
        <v>1444</v>
      </c>
      <c r="P38" s="3506"/>
      <c r="Q38" s="3507"/>
      <c r="AA38" s="2092">
        <v>38</v>
      </c>
    </row>
    <row r="39" spans="1:27" ht="18.75" customHeight="1">
      <c r="A39" s="2552"/>
      <c r="B39" s="3519" t="s">
        <v>1449</v>
      </c>
      <c r="C39" s="3519"/>
      <c r="D39" s="3519"/>
      <c r="E39" s="3519"/>
      <c r="F39" s="3519"/>
      <c r="G39" s="3519"/>
      <c r="H39" s="3519"/>
      <c r="I39" s="3519"/>
      <c r="J39" s="3519"/>
      <c r="K39" s="3519"/>
      <c r="L39" s="3519"/>
      <c r="M39" s="3519"/>
      <c r="N39" s="3519"/>
      <c r="O39" s="3519"/>
      <c r="P39" s="3520" t="s">
        <v>362</v>
      </c>
      <c r="Q39" s="3521"/>
      <c r="AA39" s="2092">
        <v>39</v>
      </c>
    </row>
    <row r="40" spans="1:27" ht="15" customHeight="1">
      <c r="A40" s="2548"/>
      <c r="B40" s="1578" t="s">
        <v>1450</v>
      </c>
      <c r="C40" s="2548"/>
      <c r="D40" s="1578"/>
      <c r="E40" s="1578"/>
      <c r="F40" s="1578"/>
      <c r="G40" s="1578"/>
      <c r="H40" s="2550"/>
      <c r="I40" s="1573"/>
      <c r="J40" s="1573"/>
      <c r="K40" s="2548"/>
      <c r="L40" s="2548"/>
      <c r="M40" s="2548"/>
      <c r="N40" s="2548"/>
      <c r="O40" s="2548"/>
      <c r="P40" s="2548"/>
      <c r="Q40" s="2548"/>
      <c r="AA40" s="2092">
        <v>40</v>
      </c>
    </row>
    <row r="41" spans="1:27" ht="20.25" customHeight="1">
      <c r="A41" s="3522" t="s">
        <v>1451</v>
      </c>
      <c r="B41" s="3523"/>
      <c r="C41" s="3523"/>
      <c r="D41" s="3523"/>
      <c r="E41" s="3523"/>
      <c r="F41" s="3523"/>
      <c r="G41" s="3523"/>
      <c r="H41" s="3523"/>
      <c r="I41" s="3523"/>
      <c r="J41" s="3523"/>
      <c r="K41" s="3523"/>
      <c r="L41" s="3523"/>
      <c r="M41" s="3523"/>
      <c r="N41" s="3523"/>
      <c r="O41" s="3523"/>
      <c r="P41" s="3523"/>
      <c r="Q41" s="3524"/>
      <c r="AA41" s="2092">
        <v>41</v>
      </c>
    </row>
    <row r="42" spans="1:27" ht="15" customHeight="1">
      <c r="A42" s="1570"/>
      <c r="B42" s="1576" t="s">
        <v>1447</v>
      </c>
      <c r="C42" s="1570"/>
      <c r="D42" s="1570"/>
      <c r="E42" s="1570"/>
      <c r="F42" s="1570"/>
      <c r="G42" s="1570"/>
      <c r="H42" s="1570"/>
      <c r="I42" s="2544"/>
      <c r="J42" s="2544"/>
      <c r="K42" s="2544"/>
      <c r="L42" s="2544"/>
      <c r="M42" s="2544"/>
      <c r="N42" s="2544"/>
      <c r="O42" s="2544"/>
      <c r="P42" s="2544"/>
      <c r="Q42" s="1570"/>
      <c r="AA42" s="2092">
        <v>42</v>
      </c>
    </row>
    <row r="43" spans="1:27" ht="20.25" customHeight="1">
      <c r="A43" s="3505"/>
      <c r="B43" s="3505"/>
      <c r="C43" s="3505"/>
      <c r="D43" s="3505"/>
      <c r="E43" s="3505"/>
      <c r="F43" s="3505"/>
      <c r="G43" s="3505"/>
      <c r="H43" s="3505"/>
      <c r="I43" s="3505"/>
      <c r="J43" s="3505"/>
      <c r="K43" s="3505"/>
      <c r="L43" s="3505"/>
      <c r="M43" s="3505"/>
      <c r="N43" s="3505"/>
      <c r="O43" s="3505"/>
      <c r="P43" s="3505"/>
      <c r="Q43" s="3505"/>
      <c r="AA43" s="2092">
        <v>43</v>
      </c>
    </row>
    <row r="44" spans="1:27" ht="11.25" customHeight="1">
      <c r="A44" s="1570"/>
      <c r="B44" s="2544"/>
      <c r="C44" s="2544"/>
      <c r="D44" s="2544"/>
      <c r="E44" s="2544"/>
      <c r="F44" s="2544"/>
      <c r="G44" s="2544"/>
      <c r="H44" s="2544"/>
      <c r="I44" s="2544"/>
      <c r="J44" s="2544"/>
      <c r="K44" s="2544"/>
      <c r="L44" s="2544"/>
      <c r="M44" s="2544"/>
      <c r="N44" s="2544"/>
      <c r="O44" s="2544"/>
      <c r="P44" s="2544"/>
      <c r="Q44" s="1570"/>
      <c r="AA44" s="2092">
        <v>44</v>
      </c>
    </row>
    <row r="45" spans="1:27" ht="11.25" customHeight="1">
      <c r="A45" s="1575"/>
      <c r="B45" s="1573"/>
      <c r="C45" s="2544"/>
      <c r="D45" s="2544"/>
      <c r="E45" s="2544"/>
      <c r="F45" s="2544"/>
      <c r="G45" s="2544"/>
      <c r="H45" s="2544"/>
      <c r="I45" s="2544"/>
      <c r="J45" s="2544"/>
      <c r="K45" s="2544"/>
      <c r="L45" s="2544"/>
      <c r="M45" s="2544"/>
      <c r="N45" s="2544"/>
      <c r="O45" s="2544"/>
      <c r="P45" s="2544"/>
      <c r="Q45" s="1570"/>
      <c r="AA45" s="2093">
        <v>45</v>
      </c>
    </row>
    <row r="46" spans="1:27" ht="20.25" customHeight="1">
      <c r="A46" s="2552" t="s">
        <v>32</v>
      </c>
      <c r="B46" s="2552" t="s">
        <v>1452</v>
      </c>
      <c r="C46" s="2552"/>
      <c r="D46" s="2544"/>
      <c r="E46" s="2544"/>
      <c r="F46" s="2544"/>
      <c r="G46" s="2544"/>
      <c r="H46" s="2544"/>
      <c r="I46" s="2544"/>
      <c r="J46" s="2544"/>
      <c r="K46" s="2548"/>
      <c r="L46" s="1579"/>
      <c r="M46" s="1580"/>
      <c r="N46" s="2548"/>
      <c r="O46" s="1574" t="s">
        <v>1444</v>
      </c>
      <c r="P46" s="3506"/>
      <c r="Q46" s="3510"/>
      <c r="AA46" s="2092">
        <v>46</v>
      </c>
    </row>
    <row r="47" spans="1:27" ht="20.25" customHeight="1">
      <c r="A47" s="1581"/>
      <c r="B47" s="2550" t="s">
        <v>1453</v>
      </c>
      <c r="C47" s="2552"/>
      <c r="D47" s="2544"/>
      <c r="E47" s="2544"/>
      <c r="F47" s="2544"/>
      <c r="G47" s="2544"/>
      <c r="H47" s="2544"/>
      <c r="I47" s="2544"/>
      <c r="J47" s="2544"/>
      <c r="K47" s="2548"/>
      <c r="L47" s="1579"/>
      <c r="M47" s="1580"/>
      <c r="N47" s="2548"/>
      <c r="O47" s="1574"/>
      <c r="P47" s="3520" t="s">
        <v>362</v>
      </c>
      <c r="Q47" s="3521"/>
      <c r="AA47" s="2092">
        <v>47</v>
      </c>
    </row>
    <row r="48" spans="1:27" ht="18.75" customHeight="1">
      <c r="A48" s="2548"/>
      <c r="B48" s="1578" t="s">
        <v>1450</v>
      </c>
      <c r="C48" s="2548"/>
      <c r="D48" s="1578"/>
      <c r="E48" s="1578"/>
      <c r="F48" s="1578"/>
      <c r="G48" s="1578"/>
      <c r="H48" s="2550"/>
      <c r="I48" s="1573"/>
      <c r="J48" s="1573"/>
      <c r="K48" s="1576" t="s">
        <v>1447</v>
      </c>
      <c r="L48" s="1570"/>
      <c r="M48" s="1570"/>
      <c r="N48" s="1570"/>
      <c r="O48" s="1570"/>
      <c r="P48" s="1570"/>
      <c r="Q48" s="1570"/>
      <c r="AA48" s="2092">
        <v>48</v>
      </c>
    </row>
    <row r="49" spans="1:27" ht="29.25" customHeight="1">
      <c r="A49" s="3503" t="s">
        <v>1454</v>
      </c>
      <c r="B49" s="3503"/>
      <c r="C49" s="3503"/>
      <c r="D49" s="3503"/>
      <c r="E49" s="3503"/>
      <c r="F49" s="3503"/>
      <c r="G49" s="3503"/>
      <c r="H49" s="3503"/>
      <c r="I49" s="3503"/>
      <c r="J49" s="3503"/>
      <c r="K49" s="3508"/>
      <c r="L49" s="3508"/>
      <c r="M49" s="3508"/>
      <c r="N49" s="3508"/>
      <c r="O49" s="3508"/>
      <c r="P49" s="3508"/>
      <c r="Q49" s="3509"/>
      <c r="AA49" s="2092">
        <v>49</v>
      </c>
    </row>
    <row r="50" spans="1:27" ht="11.25" customHeight="1">
      <c r="A50" s="1570"/>
      <c r="B50" s="1573"/>
      <c r="C50" s="2544"/>
      <c r="D50" s="2544"/>
      <c r="E50" s="2544"/>
      <c r="F50" s="2544"/>
      <c r="G50" s="2544"/>
      <c r="H50" s="2544"/>
      <c r="I50" s="2544"/>
      <c r="J50" s="2544"/>
      <c r="K50" s="2544"/>
      <c r="L50" s="2544"/>
      <c r="M50" s="2544"/>
      <c r="N50" s="2544"/>
      <c r="O50" s="2544"/>
      <c r="P50" s="2544"/>
      <c r="Q50" s="1570"/>
      <c r="AA50" s="2092">
        <v>50</v>
      </c>
    </row>
    <row r="51" spans="1:27" ht="11.25" customHeight="1">
      <c r="A51" s="2552"/>
      <c r="B51" s="1573"/>
      <c r="C51" s="2544"/>
      <c r="D51" s="2544"/>
      <c r="E51" s="2544"/>
      <c r="F51" s="2544"/>
      <c r="G51" s="2544"/>
      <c r="H51" s="2544"/>
      <c r="I51" s="2544"/>
      <c r="J51" s="2544"/>
      <c r="K51" s="2544"/>
      <c r="L51" s="2544"/>
      <c r="M51" s="2544"/>
      <c r="N51" s="2544"/>
      <c r="O51" s="2544"/>
      <c r="P51" s="2544"/>
      <c r="Q51" s="1570"/>
      <c r="AA51" s="2092">
        <v>51</v>
      </c>
    </row>
    <row r="52" spans="1:27" ht="20.25" customHeight="1">
      <c r="A52" s="2552" t="s">
        <v>51</v>
      </c>
      <c r="B52" s="2552" t="s">
        <v>1455</v>
      </c>
      <c r="C52" s="2552"/>
      <c r="D52" s="2544"/>
      <c r="E52" s="2544"/>
      <c r="F52" s="2544"/>
      <c r="G52" s="2544"/>
      <c r="H52" s="1582"/>
      <c r="I52" s="2548"/>
      <c r="J52" s="1581"/>
      <c r="K52" s="1564"/>
      <c r="L52" s="1581"/>
      <c r="M52" s="1583"/>
      <c r="N52" s="2548"/>
      <c r="O52" s="1574" t="s">
        <v>1444</v>
      </c>
      <c r="P52" s="3506"/>
      <c r="Q52" s="3510"/>
      <c r="AA52" s="2092">
        <v>52</v>
      </c>
    </row>
    <row r="53" spans="1:27" ht="27.95" customHeight="1">
      <c r="A53" s="1581"/>
      <c r="B53" s="3511" t="s">
        <v>1456</v>
      </c>
      <c r="C53" s="3511"/>
      <c r="D53" s="3511"/>
      <c r="E53" s="3511"/>
      <c r="F53" s="3511"/>
      <c r="G53" s="3511"/>
      <c r="H53" s="3512"/>
      <c r="I53" s="3513" t="s">
        <v>1457</v>
      </c>
      <c r="J53" s="3514"/>
      <c r="K53" s="3514"/>
      <c r="L53" s="3514"/>
      <c r="M53" s="3514"/>
      <c r="N53" s="3514"/>
      <c r="O53" s="3514"/>
      <c r="P53" s="3514"/>
      <c r="Q53" s="3515"/>
      <c r="AA53" s="2092">
        <v>53</v>
      </c>
    </row>
    <row r="54" spans="1:27" ht="15.95" customHeight="1">
      <c r="A54" s="1581"/>
      <c r="B54" s="2548" t="s">
        <v>1458</v>
      </c>
      <c r="C54" s="2548"/>
      <c r="D54" s="2549"/>
      <c r="E54" s="2549"/>
      <c r="F54" s="2549"/>
      <c r="G54" s="2548"/>
      <c r="H54" s="2548"/>
      <c r="I54" s="3516">
        <v>0.97599999999999998</v>
      </c>
      <c r="J54" s="3517"/>
      <c r="K54" s="3518"/>
      <c r="L54" s="2554"/>
      <c r="M54" s="1584"/>
      <c r="N54" s="1584"/>
      <c r="O54" s="1584"/>
      <c r="P54" s="1584"/>
      <c r="Q54" s="1570"/>
      <c r="AA54" s="2093">
        <v>54</v>
      </c>
    </row>
    <row r="55" spans="1:27" ht="15.95" customHeight="1">
      <c r="A55" s="1581"/>
      <c r="B55" s="2548" t="s">
        <v>1459</v>
      </c>
      <c r="C55" s="2548"/>
      <c r="D55" s="2549"/>
      <c r="E55" s="2549"/>
      <c r="F55" s="2549"/>
      <c r="G55" s="2548"/>
      <c r="H55" s="2554" t="s">
        <v>1460</v>
      </c>
      <c r="I55" s="3516">
        <v>2.5999999999999999E-2</v>
      </c>
      <c r="J55" s="3517"/>
      <c r="K55" s="3518"/>
      <c r="L55" s="1585"/>
      <c r="M55" s="1586" t="s">
        <v>1461</v>
      </c>
      <c r="N55" s="3516">
        <v>2E-3</v>
      </c>
      <c r="O55" s="3518"/>
      <c r="P55" s="1575"/>
      <c r="Q55" s="1575"/>
      <c r="AA55" s="2092">
        <v>55</v>
      </c>
    </row>
    <row r="56" spans="1:27" ht="15" customHeight="1">
      <c r="A56" s="2548"/>
      <c r="B56" s="1587" t="s">
        <v>1450</v>
      </c>
      <c r="C56" s="2548"/>
      <c r="D56" s="1587"/>
      <c r="E56" s="1587"/>
      <c r="F56" s="1587"/>
      <c r="G56" s="1587"/>
      <c r="H56" s="2550"/>
      <c r="I56" s="1573"/>
      <c r="J56" s="1573"/>
      <c r="K56" s="1573"/>
      <c r="L56" s="1570"/>
      <c r="M56" s="1570"/>
      <c r="N56" s="1570"/>
      <c r="O56" s="1570"/>
      <c r="P56" s="1570"/>
      <c r="Q56" s="1570"/>
      <c r="AA56" s="2092">
        <v>56</v>
      </c>
    </row>
    <row r="57" spans="1:27" ht="20.25" customHeight="1">
      <c r="A57" s="3503" t="s">
        <v>1462</v>
      </c>
      <c r="B57" s="3503"/>
      <c r="C57" s="3503"/>
      <c r="D57" s="3503"/>
      <c r="E57" s="3503"/>
      <c r="F57" s="3503"/>
      <c r="G57" s="3503"/>
      <c r="H57" s="3503"/>
      <c r="I57" s="3503"/>
      <c r="J57" s="3503"/>
      <c r="K57" s="3503"/>
      <c r="L57" s="3503"/>
      <c r="M57" s="3503"/>
      <c r="N57" s="3503"/>
      <c r="O57" s="3503"/>
      <c r="P57" s="3503"/>
      <c r="Q57" s="3504"/>
      <c r="AA57" s="2092">
        <v>57</v>
      </c>
    </row>
    <row r="58" spans="1:27" ht="15" customHeight="1">
      <c r="A58" s="2548"/>
      <c r="B58" s="1576" t="s">
        <v>1447</v>
      </c>
      <c r="C58" s="1577"/>
      <c r="D58" s="2544"/>
      <c r="E58" s="2544"/>
      <c r="F58" s="2544"/>
      <c r="G58" s="2544"/>
      <c r="H58" s="2544"/>
      <c r="I58" s="2544"/>
      <c r="J58" s="2544"/>
      <c r="K58" s="2544"/>
      <c r="L58" s="2544"/>
      <c r="M58" s="2544"/>
      <c r="N58" s="2544"/>
      <c r="O58" s="2544"/>
      <c r="P58" s="2544"/>
      <c r="Q58" s="2544"/>
      <c r="AA58" s="2092">
        <v>58</v>
      </c>
    </row>
    <row r="59" spans="1:27" ht="20.25" customHeight="1">
      <c r="A59" s="3508"/>
      <c r="B59" s="3508"/>
      <c r="C59" s="3508"/>
      <c r="D59" s="3508"/>
      <c r="E59" s="3508"/>
      <c r="F59" s="3508"/>
      <c r="G59" s="3508"/>
      <c r="H59" s="3508"/>
      <c r="I59" s="3508"/>
      <c r="J59" s="3508"/>
      <c r="K59" s="3508"/>
      <c r="L59" s="3508"/>
      <c r="M59" s="3508"/>
      <c r="N59" s="3508"/>
      <c r="O59" s="3508"/>
      <c r="P59" s="3508"/>
      <c r="Q59" s="3509"/>
      <c r="AA59" s="2092">
        <v>59</v>
      </c>
    </row>
    <row r="60" spans="1:27" ht="11.25" customHeight="1">
      <c r="A60" s="2544"/>
      <c r="B60" s="2544"/>
      <c r="C60" s="2544"/>
      <c r="D60" s="2544"/>
      <c r="E60" s="2544"/>
      <c r="F60" s="2544"/>
      <c r="G60" s="2544"/>
      <c r="H60" s="2544"/>
      <c r="I60" s="2544"/>
      <c r="J60" s="2544"/>
      <c r="K60" s="2544"/>
      <c r="L60" s="2544"/>
      <c r="M60" s="2544"/>
      <c r="N60" s="2544"/>
      <c r="O60" s="2544"/>
      <c r="P60" s="2544"/>
      <c r="Q60" s="2544"/>
      <c r="AA60" s="2092">
        <v>60</v>
      </c>
    </row>
    <row r="61" spans="1:27" ht="11.25" customHeight="1">
      <c r="A61" s="2552"/>
      <c r="B61" s="2544"/>
      <c r="C61" s="2544"/>
      <c r="D61" s="2544"/>
      <c r="E61" s="2544"/>
      <c r="F61" s="2544"/>
      <c r="G61" s="2544"/>
      <c r="H61" s="2544"/>
      <c r="I61" s="2544"/>
      <c r="J61" s="2544"/>
      <c r="K61" s="2544"/>
      <c r="L61" s="2544"/>
      <c r="M61" s="2544"/>
      <c r="N61" s="2544"/>
      <c r="O61" s="2544"/>
      <c r="P61" s="2544"/>
      <c r="Q61" s="2544"/>
      <c r="AA61" s="2092">
        <v>61</v>
      </c>
    </row>
    <row r="62" spans="1:27" ht="20.25" customHeight="1">
      <c r="A62" s="2552" t="s">
        <v>68</v>
      </c>
      <c r="B62" s="2552" t="s">
        <v>1463</v>
      </c>
      <c r="C62" s="2552"/>
      <c r="D62" s="2544"/>
      <c r="E62" s="2544"/>
      <c r="F62" s="2544"/>
      <c r="G62" s="2544"/>
      <c r="H62" s="2544"/>
      <c r="I62" s="2544"/>
      <c r="J62" s="2544"/>
      <c r="K62" s="2544"/>
      <c r="L62" s="2544"/>
      <c r="M62" s="2544"/>
      <c r="N62" s="2548"/>
      <c r="O62" s="1574" t="s">
        <v>1444</v>
      </c>
      <c r="P62" s="3533"/>
      <c r="Q62" s="3534"/>
      <c r="AA62" s="2092">
        <v>62</v>
      </c>
    </row>
    <row r="63" spans="1:27" ht="15.95" customHeight="1">
      <c r="A63" s="1581"/>
      <c r="B63" s="2548" t="s">
        <v>1464</v>
      </c>
      <c r="C63" s="2548"/>
      <c r="D63" s="2548"/>
      <c r="E63" s="2548"/>
      <c r="F63" s="2548"/>
      <c r="G63" s="2548"/>
      <c r="H63" s="2548"/>
      <c r="I63" s="1589"/>
      <c r="J63" s="3535" t="s">
        <v>1465</v>
      </c>
      <c r="K63" s="3535"/>
      <c r="L63" s="3535"/>
      <c r="M63" s="3535"/>
      <c r="N63" s="3535"/>
      <c r="O63" s="3535"/>
      <c r="P63" s="3535"/>
      <c r="Q63" s="3536"/>
      <c r="AA63" s="2093">
        <v>63</v>
      </c>
    </row>
    <row r="64" spans="1:27" ht="15.95" customHeight="1">
      <c r="A64" s="1581"/>
      <c r="B64" s="2548" t="s">
        <v>1466</v>
      </c>
      <c r="C64" s="2548"/>
      <c r="D64" s="2548"/>
      <c r="E64" s="2548"/>
      <c r="F64" s="2548"/>
      <c r="G64" s="2548"/>
      <c r="H64" s="2548"/>
      <c r="I64" s="2548"/>
      <c r="J64" s="2548"/>
      <c r="K64" s="2548"/>
      <c r="L64" s="2548"/>
      <c r="M64" s="2548"/>
      <c r="N64" s="2548"/>
      <c r="O64" s="2554"/>
      <c r="P64" s="1595" t="s">
        <v>362</v>
      </c>
      <c r="Q64" s="1588"/>
      <c r="AA64" s="2092">
        <v>64</v>
      </c>
    </row>
    <row r="65" spans="1:28" ht="31.5" customHeight="1">
      <c r="A65" s="2548"/>
      <c r="B65" s="2552"/>
      <c r="C65" s="3511" t="s">
        <v>1467</v>
      </c>
      <c r="D65" s="3511"/>
      <c r="E65" s="3511"/>
      <c r="F65" s="3511"/>
      <c r="G65" s="3511"/>
      <c r="H65" s="3511"/>
      <c r="I65" s="3511"/>
      <c r="J65" s="3511"/>
      <c r="K65" s="3511"/>
      <c r="L65" s="3511"/>
      <c r="M65" s="3511"/>
      <c r="N65" s="3511"/>
      <c r="O65" s="3511"/>
      <c r="P65" s="2551" t="s">
        <v>362</v>
      </c>
      <c r="Q65" s="1702"/>
      <c r="AA65" s="2092">
        <v>65</v>
      </c>
    </row>
    <row r="66" spans="1:28" ht="15" customHeight="1">
      <c r="A66" s="2548"/>
      <c r="B66" s="1587" t="s">
        <v>1445</v>
      </c>
      <c r="C66" s="2548"/>
      <c r="D66" s="1587"/>
      <c r="E66" s="1587"/>
      <c r="F66" s="1587"/>
      <c r="G66" s="1587"/>
      <c r="H66" s="2550"/>
      <c r="I66" s="1573"/>
      <c r="J66" s="1573"/>
      <c r="K66" s="1573"/>
      <c r="L66" s="1570"/>
      <c r="M66" s="1570"/>
      <c r="N66" s="1570"/>
      <c r="O66" s="1570"/>
      <c r="P66" s="1570"/>
      <c r="Q66" s="1570"/>
      <c r="AA66" s="2092">
        <v>66</v>
      </c>
    </row>
    <row r="67" spans="1:28" ht="48.75" customHeight="1">
      <c r="A67" s="3522" t="s">
        <v>1468</v>
      </c>
      <c r="B67" s="3525"/>
      <c r="C67" s="3525"/>
      <c r="D67" s="3525"/>
      <c r="E67" s="3525"/>
      <c r="F67" s="3525"/>
      <c r="G67" s="3525"/>
      <c r="H67" s="3525"/>
      <c r="I67" s="3525"/>
      <c r="J67" s="3525"/>
      <c r="K67" s="3525"/>
      <c r="L67" s="3525"/>
      <c r="M67" s="3525"/>
      <c r="N67" s="3525"/>
      <c r="O67" s="3525"/>
      <c r="P67" s="3525"/>
      <c r="Q67" s="3526"/>
      <c r="AA67" s="2092">
        <v>67</v>
      </c>
    </row>
    <row r="68" spans="1:28" ht="15" customHeight="1">
      <c r="A68" s="2548"/>
      <c r="B68" s="1576" t="s">
        <v>1447</v>
      </c>
      <c r="C68" s="1577"/>
      <c r="D68" s="2544"/>
      <c r="E68" s="2544"/>
      <c r="F68" s="2544"/>
      <c r="G68" s="2544"/>
      <c r="H68" s="2544"/>
      <c r="I68" s="2544"/>
      <c r="J68" s="2544"/>
      <c r="K68" s="2544"/>
      <c r="L68" s="2544"/>
      <c r="M68" s="2544"/>
      <c r="N68" s="2544"/>
      <c r="O68" s="2544"/>
      <c r="P68" s="2544"/>
      <c r="Q68" s="2544"/>
      <c r="AA68" s="2092">
        <v>68</v>
      </c>
    </row>
    <row r="69" spans="1:28" ht="20.25" customHeight="1">
      <c r="A69" s="3527"/>
      <c r="B69" s="3528"/>
      <c r="C69" s="3528"/>
      <c r="D69" s="3528"/>
      <c r="E69" s="3528"/>
      <c r="F69" s="3528"/>
      <c r="G69" s="3528"/>
      <c r="H69" s="3528"/>
      <c r="I69" s="3528"/>
      <c r="J69" s="3528"/>
      <c r="K69" s="3528"/>
      <c r="L69" s="3528"/>
      <c r="M69" s="3528"/>
      <c r="N69" s="3528"/>
      <c r="O69" s="3528"/>
      <c r="P69" s="3528"/>
      <c r="Q69" s="3529"/>
      <c r="AA69" s="2092">
        <v>69</v>
      </c>
    </row>
    <row r="70" spans="1:28" ht="11.25" customHeight="1">
      <c r="A70" s="2548"/>
      <c r="B70" s="2548"/>
      <c r="C70" s="2548"/>
      <c r="D70" s="2548"/>
      <c r="E70" s="2548"/>
      <c r="F70" s="2548"/>
      <c r="G70" s="2548"/>
      <c r="H70" s="2548"/>
      <c r="I70" s="2548"/>
      <c r="J70" s="2548"/>
      <c r="K70" s="2548"/>
      <c r="L70" s="2548"/>
      <c r="M70" s="2548"/>
      <c r="N70" s="2548"/>
      <c r="O70" s="2548"/>
      <c r="P70" s="2548"/>
      <c r="Q70" s="2548"/>
      <c r="AA70" s="2092">
        <v>70</v>
      </c>
    </row>
    <row r="71" spans="1:28" ht="11.25" customHeight="1">
      <c r="A71" s="1575"/>
      <c r="B71" s="2548"/>
      <c r="C71" s="2548"/>
      <c r="D71" s="2548"/>
      <c r="E71" s="2548"/>
      <c r="F71" s="2548"/>
      <c r="G71" s="2548"/>
      <c r="H71" s="2548"/>
      <c r="I71" s="2548"/>
      <c r="J71" s="2548"/>
      <c r="K71" s="2548"/>
      <c r="L71" s="2548"/>
      <c r="M71" s="2548"/>
      <c r="N71" s="2548"/>
      <c r="O71" s="2548"/>
      <c r="P71" s="2548"/>
      <c r="Q71" s="2548"/>
      <c r="AA71" s="2092">
        <v>71</v>
      </c>
    </row>
    <row r="72" spans="1:28" ht="20.25" customHeight="1">
      <c r="A72" s="2552" t="s">
        <v>77</v>
      </c>
      <c r="B72" s="2552" t="s">
        <v>1469</v>
      </c>
      <c r="C72" s="2550"/>
      <c r="D72" s="2544"/>
      <c r="E72" s="2544"/>
      <c r="F72" s="2544"/>
      <c r="G72" s="2544"/>
      <c r="H72" s="2544"/>
      <c r="I72" s="2544"/>
      <c r="J72" s="2544"/>
      <c r="K72" s="2544"/>
      <c r="L72" s="2544"/>
      <c r="M72" s="2544"/>
      <c r="N72" s="1594"/>
      <c r="O72" s="1574" t="s">
        <v>1444</v>
      </c>
      <c r="P72" s="3506"/>
      <c r="Q72" s="3510"/>
      <c r="AA72" s="2093">
        <v>72</v>
      </c>
    </row>
    <row r="73" spans="1:28" ht="32.25" customHeight="1">
      <c r="A73" s="1581"/>
      <c r="B73" s="3511" t="s">
        <v>1470</v>
      </c>
      <c r="C73" s="3511"/>
      <c r="D73" s="3511"/>
      <c r="E73" s="3511"/>
      <c r="F73" s="3511"/>
      <c r="G73" s="3511"/>
      <c r="H73" s="3511"/>
      <c r="I73" s="3511"/>
      <c r="J73" s="3511"/>
      <c r="K73" s="3512"/>
      <c r="L73" s="3530" t="s">
        <v>1471</v>
      </c>
      <c r="M73" s="3531"/>
      <c r="N73" s="3531"/>
      <c r="O73" s="3531"/>
      <c r="P73" s="3532"/>
      <c r="Q73" s="4716"/>
      <c r="AA73" s="2092">
        <v>73</v>
      </c>
    </row>
    <row r="74" spans="1:28" ht="16.5" customHeight="1">
      <c r="A74" s="2548"/>
      <c r="B74" s="2548" t="s">
        <v>1472</v>
      </c>
      <c r="C74" s="1575"/>
      <c r="D74" s="2548"/>
      <c r="E74" s="2548"/>
      <c r="F74" s="2548"/>
      <c r="G74" s="2548"/>
      <c r="H74" s="2548"/>
      <c r="I74" s="2548"/>
      <c r="J74" s="2548"/>
      <c r="K74" s="2548"/>
      <c r="L74" s="2548"/>
      <c r="M74" s="2548"/>
      <c r="N74" s="2548"/>
      <c r="O74" s="2554"/>
      <c r="P74" s="1595" t="s">
        <v>56</v>
      </c>
      <c r="Q74" s="1588"/>
      <c r="AA74" s="2092">
        <v>74</v>
      </c>
    </row>
    <row r="75" spans="1:28" ht="16.5" customHeight="1">
      <c r="A75" s="1581"/>
      <c r="B75" s="2548" t="s">
        <v>1473</v>
      </c>
      <c r="C75" s="2548"/>
      <c r="D75" s="2549"/>
      <c r="E75" s="2549"/>
      <c r="F75" s="2549"/>
      <c r="G75" s="2549"/>
      <c r="H75" s="2549"/>
      <c r="I75" s="2548"/>
      <c r="J75" s="2548"/>
      <c r="K75" s="2549"/>
      <c r="L75" s="2544"/>
      <c r="M75" s="2548"/>
      <c r="N75" s="2548"/>
      <c r="O75" s="2554"/>
      <c r="P75" s="1592" t="s">
        <v>362</v>
      </c>
      <c r="Q75" s="1593"/>
      <c r="AA75" s="2092">
        <v>75</v>
      </c>
    </row>
    <row r="76" spans="1:28" ht="15" customHeight="1">
      <c r="A76" s="1581"/>
      <c r="B76" s="2548" t="s">
        <v>1474</v>
      </c>
      <c r="C76" s="2548"/>
      <c r="D76" s="2549"/>
      <c r="E76" s="2549"/>
      <c r="F76" s="2549"/>
      <c r="G76" s="2549"/>
      <c r="H76" s="2549"/>
      <c r="I76" s="2548"/>
      <c r="J76" s="2548"/>
      <c r="K76" s="2549"/>
      <c r="L76" s="2544"/>
      <c r="M76" s="2544"/>
      <c r="N76" s="2544"/>
      <c r="O76" s="2554"/>
      <c r="P76" s="2548"/>
      <c r="Q76" s="2548"/>
      <c r="AA76" s="2092">
        <v>76</v>
      </c>
    </row>
    <row r="77" spans="1:28" ht="16.5" customHeight="1">
      <c r="A77" s="1581"/>
      <c r="B77" s="2552"/>
      <c r="C77" s="2548" t="s">
        <v>1475</v>
      </c>
      <c r="D77" s="2548"/>
      <c r="E77" s="2549"/>
      <c r="F77" s="2549"/>
      <c r="G77" s="2549"/>
      <c r="H77" s="2549"/>
      <c r="I77" s="2548"/>
      <c r="J77" s="2548"/>
      <c r="K77" s="2549"/>
      <c r="L77" s="2544"/>
      <c r="M77" s="2544"/>
      <c r="N77" s="2548"/>
      <c r="O77" s="2554"/>
      <c r="P77" s="1595" t="s">
        <v>56</v>
      </c>
      <c r="Q77" s="1588"/>
      <c r="AA77" s="2092">
        <v>77</v>
      </c>
    </row>
    <row r="78" spans="1:28" ht="16.5" customHeight="1">
      <c r="A78" s="1581"/>
      <c r="B78" s="2552"/>
      <c r="C78" s="2548" t="s">
        <v>1476</v>
      </c>
      <c r="D78" s="2548"/>
      <c r="E78" s="2549"/>
      <c r="F78" s="2549"/>
      <c r="G78" s="2549"/>
      <c r="H78" s="2548"/>
      <c r="I78" s="2548"/>
      <c r="J78" s="2548"/>
      <c r="K78" s="2549"/>
      <c r="L78" s="2544"/>
      <c r="M78" s="2544"/>
      <c r="N78" s="2548"/>
      <c r="O78" s="2554"/>
      <c r="P78" s="1590" t="s">
        <v>56</v>
      </c>
      <c r="Q78" s="1591"/>
      <c r="AA78" s="2092">
        <v>78</v>
      </c>
    </row>
    <row r="79" spans="1:28" s="1605" customFormat="1" ht="16.5" customHeight="1">
      <c r="A79" s="1596"/>
      <c r="B79" s="1597"/>
      <c r="C79" s="1597"/>
      <c r="D79" s="1567" t="s">
        <v>1477</v>
      </c>
      <c r="E79" s="1598"/>
      <c r="F79" s="1598"/>
      <c r="G79" s="1567"/>
      <c r="H79" s="1567"/>
      <c r="I79" s="1599"/>
      <c r="J79" s="1600"/>
      <c r="K79" s="1601"/>
      <c r="L79" s="2546"/>
      <c r="M79" s="2546"/>
      <c r="N79" s="1600"/>
      <c r="O79" s="1602"/>
      <c r="P79" s="1603"/>
      <c r="Q79" s="1604"/>
      <c r="R79" s="1684"/>
      <c r="S79" s="1684"/>
      <c r="T79" s="1684"/>
      <c r="U79" s="1684"/>
      <c r="V79" s="1684"/>
      <c r="W79" s="1684"/>
      <c r="X79" s="1684"/>
      <c r="Y79" s="1684"/>
      <c r="Z79" s="1684"/>
      <c r="AA79" s="2092">
        <v>79</v>
      </c>
      <c r="AB79" s="1684"/>
    </row>
    <row r="80" spans="1:28" ht="16.5" customHeight="1">
      <c r="A80" s="1581"/>
      <c r="B80" s="2552"/>
      <c r="C80" s="2548" t="s">
        <v>1478</v>
      </c>
      <c r="D80" s="2548"/>
      <c r="E80" s="2549"/>
      <c r="F80" s="2549"/>
      <c r="G80" s="2549"/>
      <c r="H80" s="2548"/>
      <c r="I80" s="2548"/>
      <c r="J80" s="2548"/>
      <c r="K80" s="2549"/>
      <c r="L80" s="2544"/>
      <c r="M80" s="2544"/>
      <c r="N80" s="2548"/>
      <c r="O80" s="2554"/>
      <c r="P80" s="1592" t="s">
        <v>56</v>
      </c>
      <c r="Q80" s="1593"/>
      <c r="AA80" s="2092">
        <v>80</v>
      </c>
    </row>
    <row r="81" spans="1:27" ht="32.25" customHeight="1">
      <c r="A81" s="1581"/>
      <c r="B81" s="3538" t="s">
        <v>1479</v>
      </c>
      <c r="C81" s="3538"/>
      <c r="D81" s="3538"/>
      <c r="E81" s="3538"/>
      <c r="F81" s="3538"/>
      <c r="G81" s="3538"/>
      <c r="H81" s="3538"/>
      <c r="I81" s="3538"/>
      <c r="J81" s="3538"/>
      <c r="K81" s="3538"/>
      <c r="L81" s="3538"/>
      <c r="M81" s="3538"/>
      <c r="N81" s="3538"/>
      <c r="O81" s="3538"/>
      <c r="P81" s="3538"/>
      <c r="Q81" s="3538"/>
      <c r="AA81" s="2093">
        <v>81</v>
      </c>
    </row>
    <row r="82" spans="1:27" ht="153" customHeight="1">
      <c r="A82" s="2548"/>
      <c r="B82" s="3535" t="s">
        <v>1480</v>
      </c>
      <c r="C82" s="3535"/>
      <c r="D82" s="3535"/>
      <c r="E82" s="3535"/>
      <c r="F82" s="3535"/>
      <c r="G82" s="3535"/>
      <c r="H82" s="3535"/>
      <c r="I82" s="3535"/>
      <c r="J82" s="3535"/>
      <c r="K82" s="3535"/>
      <c r="L82" s="3535"/>
      <c r="M82" s="3535"/>
      <c r="N82" s="3535"/>
      <c r="O82" s="3535"/>
      <c r="P82" s="3535"/>
      <c r="Q82" s="3536"/>
      <c r="AA82" s="2092">
        <v>82</v>
      </c>
    </row>
    <row r="83" spans="1:27" ht="15" customHeight="1">
      <c r="A83" s="2548"/>
      <c r="B83" s="1587" t="s">
        <v>1450</v>
      </c>
      <c r="C83" s="2548"/>
      <c r="D83" s="1587"/>
      <c r="E83" s="1587"/>
      <c r="F83" s="1587"/>
      <c r="G83" s="1587"/>
      <c r="H83" s="2550"/>
      <c r="I83" s="1573"/>
      <c r="J83" s="1573"/>
      <c r="K83" s="1573"/>
      <c r="L83" s="1570"/>
      <c r="M83" s="1570"/>
      <c r="N83" s="1570"/>
      <c r="O83" s="1570"/>
      <c r="P83" s="1570"/>
      <c r="Q83" s="1570"/>
      <c r="AA83" s="2092">
        <v>83</v>
      </c>
    </row>
    <row r="84" spans="1:27" ht="34.5" customHeight="1">
      <c r="A84" s="3503" t="s">
        <v>1481</v>
      </c>
      <c r="B84" s="3503"/>
      <c r="C84" s="3503"/>
      <c r="D84" s="3503"/>
      <c r="E84" s="3503"/>
      <c r="F84" s="3503"/>
      <c r="G84" s="3503"/>
      <c r="H84" s="3503"/>
      <c r="I84" s="3503"/>
      <c r="J84" s="3503"/>
      <c r="K84" s="3503"/>
      <c r="L84" s="3503"/>
      <c r="M84" s="3503"/>
      <c r="N84" s="3503"/>
      <c r="O84" s="3503"/>
      <c r="P84" s="3503"/>
      <c r="Q84" s="3504"/>
      <c r="AA84" s="2092">
        <v>84</v>
      </c>
    </row>
    <row r="85" spans="1:27" ht="15" customHeight="1">
      <c r="A85" s="2548"/>
      <c r="B85" s="1576" t="s">
        <v>1447</v>
      </c>
      <c r="C85" s="1577"/>
      <c r="D85" s="2544"/>
      <c r="E85" s="2544"/>
      <c r="F85" s="2544"/>
      <c r="G85" s="2544"/>
      <c r="H85" s="2544"/>
      <c r="I85" s="2544"/>
      <c r="J85" s="2544"/>
      <c r="K85" s="2544"/>
      <c r="L85" s="2544"/>
      <c r="M85" s="2544"/>
      <c r="N85" s="2544"/>
      <c r="O85" s="2544"/>
      <c r="P85" s="2544"/>
      <c r="Q85" s="2544"/>
      <c r="AA85" s="2092">
        <v>85</v>
      </c>
    </row>
    <row r="86" spans="1:27" ht="20.25" customHeight="1">
      <c r="A86" s="3508"/>
      <c r="B86" s="3508"/>
      <c r="C86" s="3508"/>
      <c r="D86" s="3508"/>
      <c r="E86" s="3508"/>
      <c r="F86" s="3508"/>
      <c r="G86" s="3508"/>
      <c r="H86" s="3508"/>
      <c r="I86" s="3508"/>
      <c r="J86" s="3508"/>
      <c r="K86" s="3508"/>
      <c r="L86" s="3508"/>
      <c r="M86" s="3508"/>
      <c r="N86" s="3508"/>
      <c r="O86" s="3508"/>
      <c r="P86" s="3508"/>
      <c r="Q86" s="3509"/>
      <c r="AA86" s="2092">
        <v>86</v>
      </c>
    </row>
    <row r="87" spans="1:27" ht="11.25" customHeight="1">
      <c r="A87" s="1570"/>
      <c r="B87" s="1573"/>
      <c r="C87" s="2544"/>
      <c r="D87" s="2544"/>
      <c r="E87" s="2544"/>
      <c r="F87" s="2544"/>
      <c r="G87" s="2544"/>
      <c r="H87" s="2544"/>
      <c r="I87" s="2544"/>
      <c r="J87" s="2544"/>
      <c r="K87" s="2544"/>
      <c r="L87" s="2544"/>
      <c r="M87" s="2544"/>
      <c r="N87" s="2544"/>
      <c r="O87" s="2544"/>
      <c r="P87" s="2544"/>
      <c r="Q87" s="1570"/>
      <c r="AA87" s="2092">
        <v>87</v>
      </c>
    </row>
    <row r="88" spans="1:27" ht="11.25" customHeight="1">
      <c r="A88" s="1575"/>
      <c r="B88" s="1573"/>
      <c r="C88" s="2544"/>
      <c r="D88" s="2544"/>
      <c r="E88" s="2544"/>
      <c r="F88" s="2544"/>
      <c r="G88" s="2544"/>
      <c r="H88" s="2544"/>
      <c r="I88" s="2544"/>
      <c r="J88" s="2544"/>
      <c r="K88" s="2544"/>
      <c r="L88" s="2544"/>
      <c r="M88" s="2544"/>
      <c r="N88" s="2544"/>
      <c r="O88" s="2544"/>
      <c r="P88" s="2544"/>
      <c r="Q88" s="1570"/>
      <c r="AA88" s="2092">
        <v>88</v>
      </c>
    </row>
    <row r="89" spans="1:27" ht="15.6" customHeight="1">
      <c r="A89" s="2552" t="s">
        <v>79</v>
      </c>
      <c r="B89" s="2552" t="s">
        <v>1482</v>
      </c>
      <c r="C89" s="2552"/>
      <c r="D89" s="2544"/>
      <c r="E89" s="2544"/>
      <c r="F89" s="2544"/>
      <c r="G89" s="2544"/>
      <c r="H89" s="2544"/>
      <c r="I89" s="2544"/>
      <c r="J89" s="2544"/>
      <c r="K89" s="2544"/>
      <c r="L89" s="2548"/>
      <c r="M89" s="2548"/>
      <c r="N89" s="1594"/>
      <c r="O89" s="1574" t="s">
        <v>1444</v>
      </c>
      <c r="P89" s="3506"/>
      <c r="Q89" s="3510"/>
      <c r="AA89" s="2092">
        <v>89</v>
      </c>
    </row>
    <row r="90" spans="1:27" ht="14.1" customHeight="1">
      <c r="A90" s="1581"/>
      <c r="B90" s="2548" t="s">
        <v>1483</v>
      </c>
      <c r="C90" s="2548"/>
      <c r="D90" s="2548"/>
      <c r="E90" s="2548"/>
      <c r="F90" s="1624" t="str">
        <f>IF(L90="Ground lease/Option","Ground lease/Option:","")</f>
        <v>Ground lease/Option:</v>
      </c>
      <c r="G90" s="2548"/>
      <c r="H90" s="1626" t="str">
        <f>IF(L90="Ground lease/Option","Annual Pymt:","")</f>
        <v>Annual Pymt:</v>
      </c>
      <c r="I90" s="1627" t="str">
        <f>IF(M130="Ground lease/Option",'Part V-Revenues &amp; Expenses'!$K$255,"")</f>
        <v/>
      </c>
      <c r="J90" s="1625" t="str">
        <f>IF(L90="Ground lease/Option","Term (yrs):","")</f>
        <v>Term (yrs):</v>
      </c>
      <c r="K90" s="1680" t="str">
        <f>IF(M130="Ground lease/Option",'Part V-Revenues &amp; Expenses'!$N$255,"")</f>
        <v/>
      </c>
      <c r="L90" s="3539" t="s">
        <v>1484</v>
      </c>
      <c r="M90" s="3540"/>
      <c r="N90" s="3541"/>
      <c r="O90" s="3506" t="s">
        <v>730</v>
      </c>
      <c r="P90" s="3542"/>
      <c r="Q90" s="3543"/>
      <c r="AA90" s="2093">
        <v>90</v>
      </c>
    </row>
    <row r="91" spans="1:27" ht="14.1" customHeight="1">
      <c r="A91" s="1581"/>
      <c r="B91" s="2548" t="s">
        <v>1485</v>
      </c>
      <c r="C91" s="2548"/>
      <c r="D91" s="2548"/>
      <c r="E91" s="2548"/>
      <c r="F91" s="2548"/>
      <c r="G91" s="3535" t="s">
        <v>1486</v>
      </c>
      <c r="H91" s="3535"/>
      <c r="I91" s="3535"/>
      <c r="J91" s="3535"/>
      <c r="K91" s="3535"/>
      <c r="L91" s="3535"/>
      <c r="M91" s="3535"/>
      <c r="N91" s="3535"/>
      <c r="O91" s="3535"/>
      <c r="P91" s="3535"/>
      <c r="Q91" s="3536"/>
      <c r="AA91" s="2092">
        <v>91</v>
      </c>
    </row>
    <row r="92" spans="1:27" ht="15" customHeight="1">
      <c r="A92" s="2548"/>
      <c r="B92" s="1587" t="s">
        <v>1450</v>
      </c>
      <c r="C92" s="2548"/>
      <c r="D92" s="1587"/>
      <c r="E92" s="1587"/>
      <c r="F92" s="1587"/>
      <c r="G92" s="1587"/>
      <c r="H92" s="2550"/>
      <c r="I92" s="1573"/>
      <c r="J92" s="1573"/>
      <c r="K92" s="1573"/>
      <c r="L92" s="1570"/>
      <c r="M92" s="1570"/>
      <c r="N92" s="1570"/>
      <c r="O92" s="1570"/>
      <c r="P92" s="1570"/>
      <c r="Q92" s="1570"/>
      <c r="AA92" s="2092">
        <v>92</v>
      </c>
    </row>
    <row r="93" spans="1:27" ht="34.5" customHeight="1">
      <c r="A93" s="3503" t="s">
        <v>1487</v>
      </c>
      <c r="B93" s="3503"/>
      <c r="C93" s="3503"/>
      <c r="D93" s="3503"/>
      <c r="E93" s="3503"/>
      <c r="F93" s="3503"/>
      <c r="G93" s="3503"/>
      <c r="H93" s="3503"/>
      <c r="I93" s="3503"/>
      <c r="J93" s="3503"/>
      <c r="K93" s="3503"/>
      <c r="L93" s="3503"/>
      <c r="M93" s="3503"/>
      <c r="N93" s="3503"/>
      <c r="O93" s="3503"/>
      <c r="P93" s="3503"/>
      <c r="Q93" s="3537"/>
      <c r="AA93" s="2092">
        <v>93</v>
      </c>
    </row>
    <row r="94" spans="1:27" ht="15" customHeight="1">
      <c r="A94" s="2548"/>
      <c r="B94" s="1576" t="s">
        <v>1447</v>
      </c>
      <c r="C94" s="1577"/>
      <c r="D94" s="2544"/>
      <c r="E94" s="2544"/>
      <c r="F94" s="2544"/>
      <c r="G94" s="2544"/>
      <c r="H94" s="2544"/>
      <c r="I94" s="2544"/>
      <c r="J94" s="2544"/>
      <c r="K94" s="2544"/>
      <c r="L94" s="2544"/>
      <c r="M94" s="2544"/>
      <c r="N94" s="2544"/>
      <c r="O94" s="2544"/>
      <c r="P94" s="2544"/>
      <c r="Q94" s="2544"/>
      <c r="AA94" s="2092">
        <v>94</v>
      </c>
    </row>
    <row r="95" spans="1:27" ht="18.600000000000001" customHeight="1">
      <c r="A95" s="3508"/>
      <c r="B95" s="3508"/>
      <c r="C95" s="3508"/>
      <c r="D95" s="3508"/>
      <c r="E95" s="3508"/>
      <c r="F95" s="3508"/>
      <c r="G95" s="3508"/>
      <c r="H95" s="3508"/>
      <c r="I95" s="3508"/>
      <c r="J95" s="3508"/>
      <c r="K95" s="3508"/>
      <c r="L95" s="3508"/>
      <c r="M95" s="3508"/>
      <c r="N95" s="3508"/>
      <c r="O95" s="3508"/>
      <c r="P95" s="3508"/>
      <c r="Q95" s="3505"/>
      <c r="AA95" s="2092">
        <v>95</v>
      </c>
    </row>
    <row r="96" spans="1:27" ht="11.25" customHeight="1">
      <c r="A96" s="1570"/>
      <c r="B96" s="1573"/>
      <c r="C96" s="2544"/>
      <c r="D96" s="2544"/>
      <c r="E96" s="2544"/>
      <c r="F96" s="2544"/>
      <c r="G96" s="2544"/>
      <c r="H96" s="2544"/>
      <c r="I96" s="2544"/>
      <c r="J96" s="2544"/>
      <c r="K96" s="2544"/>
      <c r="L96" s="2544"/>
      <c r="M96" s="2544"/>
      <c r="N96" s="2548"/>
      <c r="O96" s="2548"/>
      <c r="P96" s="2548"/>
      <c r="Q96" s="1570"/>
      <c r="AA96" s="2092">
        <v>96</v>
      </c>
    </row>
    <row r="97" spans="1:27" ht="11.25" customHeight="1">
      <c r="A97" s="1575"/>
      <c r="B97" s="1573"/>
      <c r="C97" s="2544"/>
      <c r="D97" s="2544"/>
      <c r="E97" s="2544"/>
      <c r="F97" s="2544"/>
      <c r="G97" s="2544"/>
      <c r="H97" s="2544"/>
      <c r="I97" s="2544"/>
      <c r="J97" s="2544"/>
      <c r="K97" s="2544"/>
      <c r="L97" s="2544"/>
      <c r="M97" s="2544"/>
      <c r="N97" s="2548"/>
      <c r="O97" s="2548"/>
      <c r="P97" s="2548"/>
      <c r="Q97" s="1570"/>
      <c r="AA97" s="2092">
        <v>97</v>
      </c>
    </row>
    <row r="98" spans="1:27" ht="15.6" customHeight="1">
      <c r="A98" s="2552" t="s">
        <v>1488</v>
      </c>
      <c r="B98" s="2552" t="s">
        <v>1489</v>
      </c>
      <c r="C98" s="2552"/>
      <c r="D98" s="2544"/>
      <c r="E98" s="2544"/>
      <c r="F98" s="2544"/>
      <c r="G98" s="2544"/>
      <c r="H98" s="2544"/>
      <c r="I98" s="2544"/>
      <c r="J98" s="2544"/>
      <c r="K98" s="2544"/>
      <c r="L98" s="2544"/>
      <c r="M98" s="2544"/>
      <c r="N98" s="2548"/>
      <c r="O98" s="1574" t="s">
        <v>1444</v>
      </c>
      <c r="P98" s="3506"/>
      <c r="Q98" s="3510"/>
      <c r="AA98" s="2092">
        <v>98</v>
      </c>
    </row>
    <row r="99" spans="1:27" ht="15" customHeight="1">
      <c r="A99" s="2548"/>
      <c r="B99" s="1587" t="s">
        <v>1450</v>
      </c>
      <c r="C99" s="2548"/>
      <c r="D99" s="1587"/>
      <c r="E99" s="1587"/>
      <c r="F99" s="1587"/>
      <c r="G99" s="1587"/>
      <c r="H99" s="2550"/>
      <c r="I99" s="1573"/>
      <c r="J99" s="1573"/>
      <c r="K99" s="1573"/>
      <c r="L99" s="1570"/>
      <c r="M99" s="1570"/>
      <c r="N99" s="1570"/>
      <c r="O99" s="1570"/>
      <c r="P99" s="1570"/>
      <c r="Q99" s="1570"/>
      <c r="AA99" s="2093">
        <v>99</v>
      </c>
    </row>
    <row r="100" spans="1:27" ht="18.600000000000001" customHeight="1">
      <c r="A100" s="3503" t="s">
        <v>1490</v>
      </c>
      <c r="B100" s="3503"/>
      <c r="C100" s="3503"/>
      <c r="D100" s="3503"/>
      <c r="E100" s="3503"/>
      <c r="F100" s="3503"/>
      <c r="G100" s="3503"/>
      <c r="H100" s="3503"/>
      <c r="I100" s="3503"/>
      <c r="J100" s="3503"/>
      <c r="K100" s="3503"/>
      <c r="L100" s="3503"/>
      <c r="M100" s="3503"/>
      <c r="N100" s="3503"/>
      <c r="O100" s="3503"/>
      <c r="P100" s="3503"/>
      <c r="Q100" s="3537"/>
      <c r="AA100" s="2092">
        <v>100</v>
      </c>
    </row>
    <row r="101" spans="1:27" ht="15" customHeight="1">
      <c r="A101" s="2548"/>
      <c r="B101" s="1576" t="s">
        <v>1447</v>
      </c>
      <c r="C101" s="1577"/>
      <c r="D101" s="2544"/>
      <c r="E101" s="2544"/>
      <c r="F101" s="2544"/>
      <c r="G101" s="2544"/>
      <c r="H101" s="2544"/>
      <c r="I101" s="2544"/>
      <c r="J101" s="2544"/>
      <c r="K101" s="2544"/>
      <c r="L101" s="2544"/>
      <c r="M101" s="2544"/>
      <c r="N101" s="2544"/>
      <c r="O101" s="2544"/>
      <c r="P101" s="2544"/>
      <c r="Q101" s="2544"/>
      <c r="AA101" s="2092">
        <v>101</v>
      </c>
    </row>
    <row r="102" spans="1:27" ht="18.600000000000001" customHeight="1">
      <c r="A102" s="3508"/>
      <c r="B102" s="3508"/>
      <c r="C102" s="3508"/>
      <c r="D102" s="3508"/>
      <c r="E102" s="3508"/>
      <c r="F102" s="3508"/>
      <c r="G102" s="3508"/>
      <c r="H102" s="3508"/>
      <c r="I102" s="3508"/>
      <c r="J102" s="3508"/>
      <c r="K102" s="3508"/>
      <c r="L102" s="3508"/>
      <c r="M102" s="3508"/>
      <c r="N102" s="3508"/>
      <c r="O102" s="3508"/>
      <c r="P102" s="3508"/>
      <c r="Q102" s="3505"/>
      <c r="AA102" s="2092">
        <v>102</v>
      </c>
    </row>
    <row r="103" spans="1:27" ht="11.25" customHeight="1">
      <c r="A103" s="2548"/>
      <c r="B103" s="1573"/>
      <c r="C103" s="2544"/>
      <c r="D103" s="2544"/>
      <c r="E103" s="2544"/>
      <c r="F103" s="2544"/>
      <c r="G103" s="2544"/>
      <c r="H103" s="2544"/>
      <c r="I103" s="2544"/>
      <c r="J103" s="2544"/>
      <c r="K103" s="2544"/>
      <c r="L103" s="2544"/>
      <c r="M103" s="2544"/>
      <c r="N103" s="2544"/>
      <c r="O103" s="2544"/>
      <c r="P103" s="2544"/>
      <c r="Q103" s="1570"/>
      <c r="AA103" s="2092">
        <v>103</v>
      </c>
    </row>
    <row r="104" spans="1:27" ht="11.25" customHeight="1">
      <c r="A104" s="1575"/>
      <c r="B104" s="1573"/>
      <c r="C104" s="2544"/>
      <c r="D104" s="2544"/>
      <c r="E104" s="2544"/>
      <c r="F104" s="2544"/>
      <c r="G104" s="2544"/>
      <c r="H104" s="2544"/>
      <c r="I104" s="2544"/>
      <c r="J104" s="2544"/>
      <c r="K104" s="2544"/>
      <c r="L104" s="2544"/>
      <c r="M104" s="2544"/>
      <c r="N104" s="2544"/>
      <c r="O104" s="2544"/>
      <c r="P104" s="2544"/>
      <c r="Q104" s="1570"/>
      <c r="AA104" s="2092">
        <v>104</v>
      </c>
    </row>
    <row r="105" spans="1:27" ht="15.6" customHeight="1">
      <c r="A105" s="2552" t="s">
        <v>1491</v>
      </c>
      <c r="B105" s="3550" t="s">
        <v>1492</v>
      </c>
      <c r="C105" s="3550"/>
      <c r="D105" s="3550"/>
      <c r="E105" s="2548"/>
      <c r="F105" s="2548"/>
      <c r="G105" s="2548"/>
      <c r="H105" s="2548"/>
      <c r="I105" s="2548"/>
      <c r="J105" s="2548"/>
      <c r="K105" s="2548"/>
      <c r="L105" s="2548"/>
      <c r="M105" s="2548"/>
      <c r="N105" s="1594"/>
      <c r="O105" s="1574" t="s">
        <v>1444</v>
      </c>
      <c r="P105" s="3506"/>
      <c r="Q105" s="3510"/>
      <c r="AA105" s="2092">
        <v>105</v>
      </c>
    </row>
    <row r="106" spans="1:27" ht="15" customHeight="1">
      <c r="A106" s="2548"/>
      <c r="B106" s="1587" t="s">
        <v>1450</v>
      </c>
      <c r="C106" s="2548"/>
      <c r="D106" s="1587"/>
      <c r="E106" s="1587"/>
      <c r="F106" s="1587"/>
      <c r="G106" s="1587"/>
      <c r="H106" s="2550"/>
      <c r="I106" s="1573"/>
      <c r="J106" s="1573"/>
      <c r="K106" s="1573"/>
      <c r="L106" s="1570"/>
      <c r="M106" s="1570"/>
      <c r="N106" s="1570"/>
      <c r="O106" s="1570"/>
      <c r="P106" s="1570"/>
      <c r="Q106" s="1570"/>
      <c r="AA106" s="2092">
        <v>106</v>
      </c>
    </row>
    <row r="107" spans="1:27" ht="18.600000000000001" customHeight="1">
      <c r="A107" s="3503" t="s">
        <v>1493</v>
      </c>
      <c r="B107" s="3503"/>
      <c r="C107" s="3503"/>
      <c r="D107" s="3503"/>
      <c r="E107" s="3503"/>
      <c r="F107" s="3503"/>
      <c r="G107" s="3503"/>
      <c r="H107" s="3503"/>
      <c r="I107" s="3503"/>
      <c r="J107" s="3503"/>
      <c r="K107" s="3503"/>
      <c r="L107" s="3503"/>
      <c r="M107" s="3503"/>
      <c r="N107" s="3503"/>
      <c r="O107" s="3503"/>
      <c r="P107" s="3503"/>
      <c r="Q107" s="3537"/>
      <c r="AA107" s="2092">
        <v>107</v>
      </c>
    </row>
    <row r="108" spans="1:27" ht="15" customHeight="1">
      <c r="A108" s="2548"/>
      <c r="B108" s="1576" t="s">
        <v>1447</v>
      </c>
      <c r="C108" s="1577"/>
      <c r="D108" s="2544"/>
      <c r="E108" s="2544"/>
      <c r="F108" s="2544"/>
      <c r="G108" s="2544"/>
      <c r="H108" s="2544"/>
      <c r="I108" s="2544"/>
      <c r="J108" s="2544"/>
      <c r="K108" s="2544"/>
      <c r="L108" s="2544"/>
      <c r="M108" s="2544"/>
      <c r="N108" s="2544"/>
      <c r="O108" s="2544"/>
      <c r="P108" s="2544"/>
      <c r="Q108" s="2544"/>
      <c r="AA108" s="2093">
        <v>108</v>
      </c>
    </row>
    <row r="109" spans="1:27" ht="18.600000000000001" customHeight="1">
      <c r="A109" s="3508"/>
      <c r="B109" s="3508"/>
      <c r="C109" s="3508"/>
      <c r="D109" s="3508"/>
      <c r="E109" s="3508"/>
      <c r="F109" s="3508"/>
      <c r="G109" s="3508"/>
      <c r="H109" s="3508"/>
      <c r="I109" s="3508"/>
      <c r="J109" s="3508"/>
      <c r="K109" s="3508"/>
      <c r="L109" s="3508"/>
      <c r="M109" s="3508"/>
      <c r="N109" s="3508"/>
      <c r="O109" s="3508"/>
      <c r="P109" s="3508"/>
      <c r="Q109" s="3505"/>
      <c r="AA109" s="2092">
        <v>109</v>
      </c>
    </row>
    <row r="110" spans="1:27" ht="11.25" customHeight="1">
      <c r="A110" s="1570"/>
      <c r="B110" s="1573"/>
      <c r="C110" s="2544"/>
      <c r="D110" s="2544"/>
      <c r="E110" s="2544"/>
      <c r="F110" s="2544"/>
      <c r="G110" s="2544"/>
      <c r="H110" s="2544"/>
      <c r="I110" s="2544"/>
      <c r="J110" s="2544"/>
      <c r="K110" s="2544"/>
      <c r="L110" s="2544"/>
      <c r="M110" s="2544"/>
      <c r="N110" s="2544"/>
      <c r="O110" s="2544"/>
      <c r="P110" s="2544"/>
      <c r="Q110" s="1570"/>
      <c r="AA110" s="2092">
        <v>110</v>
      </c>
    </row>
    <row r="111" spans="1:27" ht="11.25" customHeight="1">
      <c r="A111" s="1575"/>
      <c r="B111" s="1573"/>
      <c r="C111" s="2544"/>
      <c r="D111" s="2544"/>
      <c r="E111" s="2544"/>
      <c r="F111" s="2544"/>
      <c r="G111" s="2544"/>
      <c r="H111" s="2544"/>
      <c r="I111" s="2544"/>
      <c r="J111" s="2544"/>
      <c r="K111" s="2544"/>
      <c r="L111" s="2544"/>
      <c r="M111" s="2544"/>
      <c r="N111" s="2544"/>
      <c r="O111" s="2544"/>
      <c r="P111" s="2544"/>
      <c r="Q111" s="1570"/>
      <c r="AA111" s="2092">
        <v>111</v>
      </c>
    </row>
    <row r="112" spans="1:27" ht="15.6" customHeight="1">
      <c r="A112" s="2552" t="s">
        <v>1494</v>
      </c>
      <c r="B112" s="2552" t="s">
        <v>1495</v>
      </c>
      <c r="C112" s="2552"/>
      <c r="D112" s="2544"/>
      <c r="E112" s="2544"/>
      <c r="F112" s="2548"/>
      <c r="G112" s="2544"/>
      <c r="H112" s="2548"/>
      <c r="I112" s="2548"/>
      <c r="J112" s="2549"/>
      <c r="K112" s="2549"/>
      <c r="L112" s="2549"/>
      <c r="M112" s="2549"/>
      <c r="N112" s="1594"/>
      <c r="O112" s="1574" t="s">
        <v>1444</v>
      </c>
      <c r="P112" s="3533"/>
      <c r="Q112" s="3534"/>
      <c r="AA112" s="2092">
        <v>112</v>
      </c>
    </row>
    <row r="113" spans="1:27" ht="14.1" customHeight="1">
      <c r="A113" s="1581"/>
      <c r="B113" s="2548" t="s">
        <v>1496</v>
      </c>
      <c r="C113" s="2548"/>
      <c r="D113" s="2548"/>
      <c r="E113" s="2548"/>
      <c r="F113" s="2548"/>
      <c r="G113" s="2548"/>
      <c r="H113" s="2548" t="s">
        <v>1497</v>
      </c>
      <c r="I113" s="2548"/>
      <c r="J113" s="3547" t="s">
        <v>445</v>
      </c>
      <c r="K113" s="3548"/>
      <c r="L113" s="3548"/>
      <c r="M113" s="3548"/>
      <c r="N113" s="3548"/>
      <c r="O113" s="3548"/>
      <c r="P113" s="3548"/>
      <c r="Q113" s="3549"/>
      <c r="AA113" s="2092">
        <v>113</v>
      </c>
    </row>
    <row r="114" spans="1:27" ht="14.1" customHeight="1">
      <c r="A114" s="1581"/>
      <c r="B114" s="1581"/>
      <c r="C114" s="2548"/>
      <c r="D114" s="2548"/>
      <c r="E114" s="2548"/>
      <c r="F114" s="2548"/>
      <c r="G114" s="2548"/>
      <c r="H114" s="2548" t="s">
        <v>1498</v>
      </c>
      <c r="I114" s="2548"/>
      <c r="J114" s="3544" t="s">
        <v>1499</v>
      </c>
      <c r="K114" s="3545"/>
      <c r="L114" s="3545"/>
      <c r="M114" s="3545"/>
      <c r="N114" s="3545"/>
      <c r="O114" s="3545"/>
      <c r="P114" s="3545"/>
      <c r="Q114" s="3546"/>
      <c r="AA114" s="2092">
        <v>114</v>
      </c>
    </row>
    <row r="115" spans="1:27" ht="15" customHeight="1">
      <c r="A115" s="1581"/>
      <c r="B115" s="1587" t="s">
        <v>1450</v>
      </c>
      <c r="C115" s="1606"/>
      <c r="D115" s="1606"/>
      <c r="E115" s="1606"/>
      <c r="F115" s="1606"/>
      <c r="G115" s="2548"/>
      <c r="H115" s="1575"/>
      <c r="I115" s="1575"/>
      <c r="J115" s="1575"/>
      <c r="K115" s="1575"/>
      <c r="L115" s="1575"/>
      <c r="M115" s="1575"/>
      <c r="N115" s="1575"/>
      <c r="O115" s="1575"/>
      <c r="P115" s="1575"/>
      <c r="Q115" s="1575"/>
      <c r="AA115" s="2092">
        <v>115</v>
      </c>
    </row>
    <row r="116" spans="1:27" ht="18.600000000000001" customHeight="1">
      <c r="A116" s="3503" t="s">
        <v>1500</v>
      </c>
      <c r="B116" s="3503"/>
      <c r="C116" s="3503"/>
      <c r="D116" s="3503"/>
      <c r="E116" s="3503"/>
      <c r="F116" s="3503"/>
      <c r="G116" s="3503"/>
      <c r="H116" s="3503"/>
      <c r="I116" s="3503"/>
      <c r="J116" s="3503"/>
      <c r="K116" s="3503"/>
      <c r="L116" s="3503"/>
      <c r="M116" s="3503"/>
      <c r="N116" s="3503"/>
      <c r="O116" s="3503"/>
      <c r="P116" s="3503"/>
      <c r="Q116" s="3537"/>
      <c r="AA116" s="2092">
        <v>116</v>
      </c>
    </row>
    <row r="117" spans="1:27" ht="15" customHeight="1">
      <c r="A117" s="2548"/>
      <c r="B117" s="1576" t="s">
        <v>1447</v>
      </c>
      <c r="C117" s="1577"/>
      <c r="D117" s="2544"/>
      <c r="E117" s="2544"/>
      <c r="F117" s="2544"/>
      <c r="G117" s="2544"/>
      <c r="H117" s="2544"/>
      <c r="I117" s="2544"/>
      <c r="J117" s="2544"/>
      <c r="K117" s="2544"/>
      <c r="L117" s="2544"/>
      <c r="M117" s="2544"/>
      <c r="N117" s="2544"/>
      <c r="O117" s="2544"/>
      <c r="P117" s="2544"/>
      <c r="Q117" s="2544"/>
      <c r="AA117" s="2093">
        <v>117</v>
      </c>
    </row>
    <row r="118" spans="1:27" ht="18.600000000000001" customHeight="1">
      <c r="A118" s="3508"/>
      <c r="B118" s="3508"/>
      <c r="C118" s="3508"/>
      <c r="D118" s="3508"/>
      <c r="E118" s="3508"/>
      <c r="F118" s="3508"/>
      <c r="G118" s="3508"/>
      <c r="H118" s="3508"/>
      <c r="I118" s="3508"/>
      <c r="J118" s="3508"/>
      <c r="K118" s="3508"/>
      <c r="L118" s="3508"/>
      <c r="M118" s="3508"/>
      <c r="N118" s="3508"/>
      <c r="O118" s="3508"/>
      <c r="P118" s="3508"/>
      <c r="Q118" s="3509"/>
      <c r="AA118" s="2092">
        <v>118</v>
      </c>
    </row>
    <row r="119" spans="1:27" ht="12.75" customHeight="1">
      <c r="A119" s="2548"/>
      <c r="B119" s="1573"/>
      <c r="C119" s="2544"/>
      <c r="D119" s="2544"/>
      <c r="E119" s="2544"/>
      <c r="F119" s="2544"/>
      <c r="G119" s="2544"/>
      <c r="H119" s="2544"/>
      <c r="I119" s="2544"/>
      <c r="J119" s="2544"/>
      <c r="K119" s="2544"/>
      <c r="L119" s="2544"/>
      <c r="M119" s="2544"/>
      <c r="N119" s="2548"/>
      <c r="O119" s="2548"/>
      <c r="P119" s="2548"/>
      <c r="Q119" s="1570"/>
      <c r="AA119" s="2092">
        <v>119</v>
      </c>
    </row>
    <row r="120" spans="1:27" ht="12.75" customHeight="1">
      <c r="A120" s="1575"/>
      <c r="B120" s="1573"/>
      <c r="C120" s="2544"/>
      <c r="D120" s="2544"/>
      <c r="E120" s="2544"/>
      <c r="F120" s="2544"/>
      <c r="G120" s="2544"/>
      <c r="H120" s="2544"/>
      <c r="I120" s="2544"/>
      <c r="J120" s="2544"/>
      <c r="K120" s="2544"/>
      <c r="L120" s="2544"/>
      <c r="M120" s="2544"/>
      <c r="N120" s="2548"/>
      <c r="O120" s="2548"/>
      <c r="P120" s="2548"/>
      <c r="Q120" s="1570"/>
      <c r="AA120" s="2092">
        <v>120</v>
      </c>
    </row>
    <row r="121" spans="1:27" ht="20.25" customHeight="1">
      <c r="A121" s="2552" t="s">
        <v>1501</v>
      </c>
      <c r="B121" s="1571" t="s">
        <v>1502</v>
      </c>
      <c r="C121" s="1571"/>
      <c r="D121" s="1571"/>
      <c r="E121" s="1571"/>
      <c r="F121" s="1571"/>
      <c r="G121" s="2544"/>
      <c r="H121" s="2544"/>
      <c r="I121" s="2548"/>
      <c r="J121" s="2544"/>
      <c r="K121" s="2544"/>
      <c r="L121" s="2544"/>
      <c r="M121" s="2544"/>
      <c r="N121" s="1594"/>
      <c r="O121" s="1574" t="s">
        <v>1444</v>
      </c>
      <c r="P121" s="3506"/>
      <c r="Q121" s="3510"/>
      <c r="AA121" s="2092">
        <v>121</v>
      </c>
    </row>
    <row r="122" spans="1:27" ht="14.45" customHeight="1">
      <c r="A122" s="1581"/>
      <c r="B122" s="2548" t="s">
        <v>1503</v>
      </c>
      <c r="C122" s="2548"/>
      <c r="D122" s="2548"/>
      <c r="E122" s="2548"/>
      <c r="F122" s="2548"/>
      <c r="G122" s="2548"/>
      <c r="H122" s="2548" t="s">
        <v>1504</v>
      </c>
      <c r="I122" s="2548"/>
      <c r="J122" s="3547" t="s">
        <v>1505</v>
      </c>
      <c r="K122" s="3548"/>
      <c r="L122" s="3548"/>
      <c r="M122" s="3548"/>
      <c r="N122" s="3548"/>
      <c r="O122" s="3548"/>
      <c r="P122" s="3548"/>
      <c r="Q122" s="3549"/>
      <c r="R122" s="1607"/>
      <c r="AA122" s="2092">
        <v>122</v>
      </c>
    </row>
    <row r="123" spans="1:27" ht="14.45" customHeight="1">
      <c r="A123" s="1606"/>
      <c r="B123" s="1581"/>
      <c r="C123" s="2548"/>
      <c r="D123" s="2548"/>
      <c r="E123" s="2548"/>
      <c r="F123" s="2548"/>
      <c r="G123" s="2548"/>
      <c r="H123" s="2548" t="s">
        <v>1506</v>
      </c>
      <c r="I123" s="2548"/>
      <c r="J123" s="3544" t="s">
        <v>1505</v>
      </c>
      <c r="K123" s="3545"/>
      <c r="L123" s="3545"/>
      <c r="M123" s="3545"/>
      <c r="N123" s="3545"/>
      <c r="O123" s="3545"/>
      <c r="P123" s="3545"/>
      <c r="Q123" s="3546"/>
      <c r="R123" s="1607"/>
      <c r="AA123" s="2092">
        <v>123</v>
      </c>
    </row>
    <row r="124" spans="1:27" ht="15" customHeight="1">
      <c r="A124" s="2548"/>
      <c r="B124" s="1587" t="s">
        <v>1450</v>
      </c>
      <c r="C124" s="2548"/>
      <c r="D124" s="1587"/>
      <c r="E124" s="1587"/>
      <c r="F124" s="1587"/>
      <c r="G124" s="1587"/>
      <c r="H124" s="2550"/>
      <c r="I124" s="1573"/>
      <c r="J124" s="1573"/>
      <c r="K124" s="1573"/>
      <c r="L124" s="1570"/>
      <c r="M124" s="1570"/>
      <c r="N124" s="1570"/>
      <c r="O124" s="1570"/>
      <c r="P124" s="1570"/>
      <c r="Q124" s="1570"/>
      <c r="AA124" s="2092">
        <v>124</v>
      </c>
    </row>
    <row r="125" spans="1:27" ht="20.25" customHeight="1">
      <c r="A125" s="3503" t="s">
        <v>1507</v>
      </c>
      <c r="B125" s="3503"/>
      <c r="C125" s="3503"/>
      <c r="D125" s="3503"/>
      <c r="E125" s="3503"/>
      <c r="F125" s="3503"/>
      <c r="G125" s="3503"/>
      <c r="H125" s="3503"/>
      <c r="I125" s="3503"/>
      <c r="J125" s="3503"/>
      <c r="K125" s="3503"/>
      <c r="L125" s="3503"/>
      <c r="M125" s="3503"/>
      <c r="N125" s="3503"/>
      <c r="O125" s="3503"/>
      <c r="P125" s="3503"/>
      <c r="Q125" s="3537"/>
      <c r="AA125" s="2092">
        <v>125</v>
      </c>
    </row>
    <row r="126" spans="1:27" ht="15" customHeight="1">
      <c r="A126" s="2548"/>
      <c r="B126" s="1576" t="s">
        <v>1447</v>
      </c>
      <c r="C126" s="1577"/>
      <c r="D126" s="2544"/>
      <c r="E126" s="2544"/>
      <c r="F126" s="2544"/>
      <c r="G126" s="2544"/>
      <c r="H126" s="2544"/>
      <c r="I126" s="2544"/>
      <c r="J126" s="2544"/>
      <c r="K126" s="2544"/>
      <c r="L126" s="2544"/>
      <c r="M126" s="2544"/>
      <c r="N126" s="2544"/>
      <c r="O126" s="2544"/>
      <c r="P126" s="2544"/>
      <c r="Q126" s="2544"/>
      <c r="AA126" s="2093">
        <v>126</v>
      </c>
    </row>
    <row r="127" spans="1:27" ht="20.25" customHeight="1">
      <c r="A127" s="3508"/>
      <c r="B127" s="3508"/>
      <c r="C127" s="3508"/>
      <c r="D127" s="3508"/>
      <c r="E127" s="3508"/>
      <c r="F127" s="3508"/>
      <c r="G127" s="3508"/>
      <c r="H127" s="3508"/>
      <c r="I127" s="3508"/>
      <c r="J127" s="3508"/>
      <c r="K127" s="3508"/>
      <c r="L127" s="3508"/>
      <c r="M127" s="3508"/>
      <c r="N127" s="3508"/>
      <c r="O127" s="3508"/>
      <c r="P127" s="3508"/>
      <c r="Q127" s="3509"/>
      <c r="AA127" s="2092">
        <v>127</v>
      </c>
    </row>
    <row r="128" spans="1:27" ht="11.25" customHeight="1">
      <c r="A128" s="1570"/>
      <c r="B128" s="1573"/>
      <c r="C128" s="2544"/>
      <c r="D128" s="2544"/>
      <c r="E128" s="2544"/>
      <c r="F128" s="2544"/>
      <c r="G128" s="2544"/>
      <c r="H128" s="2544"/>
      <c r="I128" s="2544"/>
      <c r="J128" s="2544"/>
      <c r="K128" s="2544"/>
      <c r="L128" s="2544"/>
      <c r="M128" s="2544"/>
      <c r="N128" s="2548"/>
      <c r="O128" s="2548"/>
      <c r="P128" s="2548"/>
      <c r="Q128" s="1570"/>
      <c r="AA128" s="2092">
        <v>128</v>
      </c>
    </row>
    <row r="129" spans="1:27" ht="11.25" customHeight="1">
      <c r="A129" s="1575"/>
      <c r="B129" s="1573"/>
      <c r="C129" s="2544"/>
      <c r="D129" s="2544"/>
      <c r="E129" s="2544"/>
      <c r="F129" s="2544"/>
      <c r="G129" s="2544"/>
      <c r="H129" s="2544"/>
      <c r="I129" s="2544"/>
      <c r="J129" s="2544"/>
      <c r="K129" s="2544"/>
      <c r="L129" s="2544"/>
      <c r="M129" s="2544"/>
      <c r="N129" s="2548"/>
      <c r="O129" s="2548"/>
      <c r="P129" s="2548"/>
      <c r="Q129" s="1570"/>
      <c r="AA129" s="2092">
        <v>129</v>
      </c>
    </row>
    <row r="130" spans="1:27" ht="20.25" customHeight="1">
      <c r="A130" s="2552" t="s">
        <v>1508</v>
      </c>
      <c r="B130" s="2552" t="s">
        <v>1509</v>
      </c>
      <c r="C130" s="2552"/>
      <c r="D130" s="2544"/>
      <c r="E130" s="2544"/>
      <c r="F130" s="2544"/>
      <c r="G130" s="2544"/>
      <c r="H130" s="2544"/>
      <c r="I130" s="2544"/>
      <c r="J130" s="2544"/>
      <c r="K130" s="2544"/>
      <c r="L130" s="2544"/>
      <c r="M130" s="2544"/>
      <c r="N130" s="2548"/>
      <c r="O130" s="1574" t="s">
        <v>1444</v>
      </c>
      <c r="P130" s="3506"/>
      <c r="Q130" s="3510"/>
      <c r="AA130" s="2092">
        <v>130</v>
      </c>
    </row>
    <row r="131" spans="1:27" ht="27.6" customHeight="1">
      <c r="A131" s="1575"/>
      <c r="B131" s="3511" t="s">
        <v>1510</v>
      </c>
      <c r="C131" s="3511"/>
      <c r="D131" s="3511"/>
      <c r="E131" s="3511"/>
      <c r="F131" s="3511"/>
      <c r="G131" s="3511"/>
      <c r="H131" s="3511"/>
      <c r="I131" s="3511"/>
      <c r="J131" s="3511"/>
      <c r="K131" s="3511"/>
      <c r="L131" s="3511"/>
      <c r="M131" s="3511"/>
      <c r="N131" s="3511"/>
      <c r="O131" s="3512"/>
      <c r="P131" s="3520" t="s">
        <v>362</v>
      </c>
      <c r="Q131" s="3521"/>
      <c r="AA131" s="2092">
        <v>131</v>
      </c>
    </row>
    <row r="132" spans="1:27" ht="20.25" customHeight="1">
      <c r="A132" s="1581" t="s">
        <v>197</v>
      </c>
      <c r="B132" s="2548" t="s">
        <v>1511</v>
      </c>
      <c r="C132" s="2548"/>
      <c r="D132" s="2548"/>
      <c r="E132" s="2548"/>
      <c r="F132" s="2548"/>
      <c r="G132" s="2548"/>
      <c r="H132" s="2548"/>
      <c r="I132" s="2548"/>
      <c r="J132" s="2548"/>
      <c r="K132" s="2548"/>
      <c r="L132" s="2548"/>
      <c r="M132" s="2548"/>
      <c r="N132" s="2548"/>
      <c r="O132" s="2554"/>
      <c r="P132" s="1575"/>
      <c r="Q132" s="1575"/>
      <c r="AA132" s="2092">
        <v>132</v>
      </c>
    </row>
    <row r="133" spans="1:27" ht="14.45" customHeight="1">
      <c r="A133" s="1581"/>
      <c r="B133" s="2550"/>
      <c r="C133" s="2548" t="s">
        <v>1512</v>
      </c>
      <c r="D133" s="2548"/>
      <c r="E133" s="2548"/>
      <c r="F133" s="2548"/>
      <c r="G133" s="2548"/>
      <c r="H133" s="2548"/>
      <c r="I133" s="2548"/>
      <c r="J133" s="2554"/>
      <c r="K133" s="1575"/>
      <c r="L133" s="1575"/>
      <c r="M133" s="3564" t="s">
        <v>1513</v>
      </c>
      <c r="N133" s="3565"/>
      <c r="O133" s="3565"/>
      <c r="P133" s="3565"/>
      <c r="Q133" s="4717"/>
      <c r="AA133" s="2092">
        <v>133</v>
      </c>
    </row>
    <row r="134" spans="1:27" ht="14.45" customHeight="1">
      <c r="A134" s="1581"/>
      <c r="B134" s="2550"/>
      <c r="C134" s="2550" t="s">
        <v>1514</v>
      </c>
      <c r="D134" s="2548"/>
      <c r="E134" s="2550"/>
      <c r="F134" s="2550"/>
      <c r="G134" s="2550"/>
      <c r="H134" s="2550"/>
      <c r="I134" s="2548"/>
      <c r="J134" s="2554"/>
      <c r="K134" s="1575"/>
      <c r="L134" s="1575"/>
      <c r="M134" s="3551" t="s">
        <v>1515</v>
      </c>
      <c r="N134" s="3552"/>
      <c r="O134" s="3552"/>
      <c r="P134" s="3552"/>
      <c r="Q134" s="3553"/>
      <c r="AA134" s="2092">
        <v>134</v>
      </c>
    </row>
    <row r="135" spans="1:27" ht="14.45" customHeight="1">
      <c r="A135" s="1581"/>
      <c r="B135" s="2550"/>
      <c r="C135" s="3554" t="s">
        <v>1516</v>
      </c>
      <c r="D135" s="3555"/>
      <c r="E135" s="3555"/>
      <c r="F135" s="3555"/>
      <c r="G135" s="3555"/>
      <c r="H135" s="3555"/>
      <c r="I135" s="3555"/>
      <c r="J135" s="3555"/>
      <c r="K135" s="3555"/>
      <c r="L135" s="3555"/>
      <c r="M135" s="3556"/>
      <c r="N135" s="3556"/>
      <c r="O135" s="3556"/>
      <c r="P135" s="3556"/>
      <c r="Q135" s="3557"/>
      <c r="AA135" s="2093">
        <v>135</v>
      </c>
    </row>
    <row r="136" spans="1:27" ht="14.45" customHeight="1">
      <c r="A136" s="1581"/>
      <c r="B136" s="2550"/>
      <c r="C136" s="2550" t="s">
        <v>1517</v>
      </c>
      <c r="D136" s="2548"/>
      <c r="E136" s="2550"/>
      <c r="F136" s="2550"/>
      <c r="G136" s="2550"/>
      <c r="H136" s="2550"/>
      <c r="I136" s="2548"/>
      <c r="J136" s="2554"/>
      <c r="K136" s="1575"/>
      <c r="L136" s="1575"/>
      <c r="M136" s="3544" t="s">
        <v>1518</v>
      </c>
      <c r="N136" s="3545"/>
      <c r="O136" s="3545"/>
      <c r="P136" s="3545"/>
      <c r="Q136" s="3546"/>
      <c r="AA136" s="2092">
        <v>136</v>
      </c>
    </row>
    <row r="137" spans="1:27" ht="20.25" customHeight="1">
      <c r="A137" s="1581" t="s">
        <v>209</v>
      </c>
      <c r="B137" s="3511" t="s">
        <v>1519</v>
      </c>
      <c r="C137" s="3511"/>
      <c r="D137" s="3511"/>
      <c r="E137" s="3511"/>
      <c r="F137" s="3511"/>
      <c r="G137" s="3511"/>
      <c r="H137" s="3511"/>
      <c r="I137" s="3511"/>
      <c r="J137" s="3511"/>
      <c r="K137" s="3511"/>
      <c r="L137" s="3511"/>
      <c r="M137" s="3511"/>
      <c r="N137" s="3511"/>
      <c r="O137" s="2554"/>
      <c r="P137" s="1608"/>
      <c r="Q137" s="1570"/>
      <c r="AA137" s="2092">
        <v>137</v>
      </c>
    </row>
    <row r="138" spans="1:27" ht="27.6" customHeight="1">
      <c r="A138" s="1596"/>
      <c r="B138" s="2544"/>
      <c r="C138" s="3511" t="s">
        <v>1520</v>
      </c>
      <c r="D138" s="3511"/>
      <c r="E138" s="3511"/>
      <c r="F138" s="3511"/>
      <c r="G138" s="3511"/>
      <c r="H138" s="3511"/>
      <c r="I138" s="3511"/>
      <c r="J138" s="3511"/>
      <c r="K138" s="3511"/>
      <c r="L138" s="3511"/>
      <c r="M138" s="3511"/>
      <c r="N138" s="3511"/>
      <c r="O138" s="3511"/>
      <c r="P138" s="3511"/>
      <c r="Q138" s="3511"/>
      <c r="AA138" s="2092">
        <v>138</v>
      </c>
    </row>
    <row r="139" spans="1:27" ht="15.75" customHeight="1">
      <c r="A139" s="1570"/>
      <c r="B139" s="1602" t="s">
        <v>1521</v>
      </c>
      <c r="C139" s="3558" t="s">
        <v>1522</v>
      </c>
      <c r="D139" s="3559"/>
      <c r="E139" s="3559"/>
      <c r="F139" s="3559"/>
      <c r="G139" s="3559"/>
      <c r="H139" s="3560"/>
      <c r="I139" s="1575"/>
      <c r="J139" s="3561" t="s">
        <v>1523</v>
      </c>
      <c r="K139" s="3562"/>
      <c r="L139" s="3562"/>
      <c r="M139" s="3562"/>
      <c r="N139" s="3562"/>
      <c r="O139" s="3562"/>
      <c r="P139" s="3562"/>
      <c r="Q139" s="3563"/>
      <c r="AA139" s="2092">
        <v>139</v>
      </c>
    </row>
    <row r="140" spans="1:27" ht="15.75" customHeight="1">
      <c r="A140" s="1570"/>
      <c r="B140" s="1602" t="s">
        <v>1524</v>
      </c>
      <c r="C140" s="3575" t="s">
        <v>1525</v>
      </c>
      <c r="D140" s="3576"/>
      <c r="E140" s="3576"/>
      <c r="F140" s="3576"/>
      <c r="G140" s="3576"/>
      <c r="H140" s="3577"/>
      <c r="I140" s="1575"/>
      <c r="J140" s="3578" t="s">
        <v>1523</v>
      </c>
      <c r="K140" s="3579"/>
      <c r="L140" s="3579"/>
      <c r="M140" s="3579"/>
      <c r="N140" s="3579"/>
      <c r="O140" s="3579"/>
      <c r="P140" s="3579"/>
      <c r="Q140" s="3580"/>
      <c r="AA140" s="2092">
        <v>140</v>
      </c>
    </row>
    <row r="141" spans="1:27" ht="15.75" customHeight="1">
      <c r="A141" s="1570"/>
      <c r="B141" s="1602" t="s">
        <v>1526</v>
      </c>
      <c r="C141" s="3575" t="s">
        <v>1527</v>
      </c>
      <c r="D141" s="3576"/>
      <c r="E141" s="3576"/>
      <c r="F141" s="3576"/>
      <c r="G141" s="3576"/>
      <c r="H141" s="3577"/>
      <c r="I141" s="1575"/>
      <c r="J141" s="3578" t="s">
        <v>1523</v>
      </c>
      <c r="K141" s="3579"/>
      <c r="L141" s="3579"/>
      <c r="M141" s="3579"/>
      <c r="N141" s="3579"/>
      <c r="O141" s="3579"/>
      <c r="P141" s="3579"/>
      <c r="Q141" s="3580"/>
      <c r="AA141" s="2092">
        <v>141</v>
      </c>
    </row>
    <row r="142" spans="1:27" ht="15.75" customHeight="1">
      <c r="A142" s="1570"/>
      <c r="B142" s="1602" t="s">
        <v>1528</v>
      </c>
      <c r="C142" s="3581" t="s">
        <v>1527</v>
      </c>
      <c r="D142" s="3582"/>
      <c r="E142" s="3582"/>
      <c r="F142" s="3582"/>
      <c r="G142" s="3582"/>
      <c r="H142" s="3583"/>
      <c r="I142" s="1575"/>
      <c r="J142" s="3584" t="s">
        <v>1523</v>
      </c>
      <c r="K142" s="3585"/>
      <c r="L142" s="3585"/>
      <c r="M142" s="3585"/>
      <c r="N142" s="3585"/>
      <c r="O142" s="3585"/>
      <c r="P142" s="3585"/>
      <c r="Q142" s="3586"/>
      <c r="AA142" s="2092">
        <v>142</v>
      </c>
    </row>
    <row r="143" spans="1:27" ht="15" customHeight="1">
      <c r="A143" s="2548"/>
      <c r="B143" s="1578" t="s">
        <v>1450</v>
      </c>
      <c r="C143" s="2548"/>
      <c r="D143" s="1578"/>
      <c r="E143" s="1578"/>
      <c r="F143" s="1578"/>
      <c r="G143" s="1578"/>
      <c r="H143" s="2550"/>
      <c r="I143" s="1573"/>
      <c r="J143" s="1573"/>
      <c r="K143" s="1573"/>
      <c r="L143" s="1570"/>
      <c r="M143" s="1570"/>
      <c r="N143" s="1570"/>
      <c r="O143" s="1570"/>
      <c r="P143" s="1575"/>
      <c r="Q143" s="1575"/>
      <c r="AA143" s="2092">
        <v>143</v>
      </c>
    </row>
    <row r="144" spans="1:27" ht="20.25" customHeight="1">
      <c r="A144" s="3503" t="s">
        <v>1529</v>
      </c>
      <c r="B144" s="3503"/>
      <c r="C144" s="3503"/>
      <c r="D144" s="3503"/>
      <c r="E144" s="3503"/>
      <c r="F144" s="3503"/>
      <c r="G144" s="3503"/>
      <c r="H144" s="3503"/>
      <c r="I144" s="3503"/>
      <c r="J144" s="3503"/>
      <c r="K144" s="3503"/>
      <c r="L144" s="3503"/>
      <c r="M144" s="3503"/>
      <c r="N144" s="3503"/>
      <c r="O144" s="3503"/>
      <c r="P144" s="3503"/>
      <c r="Q144" s="3537"/>
      <c r="AA144" s="2093">
        <v>144</v>
      </c>
    </row>
    <row r="145" spans="1:27" ht="15" customHeight="1">
      <c r="A145" s="2548"/>
      <c r="B145" s="1576" t="s">
        <v>1447</v>
      </c>
      <c r="C145" s="1577"/>
      <c r="D145" s="2544"/>
      <c r="E145" s="2544"/>
      <c r="F145" s="2544"/>
      <c r="G145" s="2544"/>
      <c r="H145" s="2544"/>
      <c r="I145" s="2544"/>
      <c r="J145" s="2544"/>
      <c r="K145" s="2544"/>
      <c r="L145" s="2544"/>
      <c r="M145" s="2544"/>
      <c r="N145" s="2544"/>
      <c r="O145" s="2544"/>
      <c r="P145" s="2544"/>
      <c r="Q145" s="2544"/>
      <c r="AA145" s="2092">
        <v>145</v>
      </c>
    </row>
    <row r="146" spans="1:27" ht="20.25" customHeight="1">
      <c r="A146" s="3508"/>
      <c r="B146" s="3508"/>
      <c r="C146" s="3508"/>
      <c r="D146" s="3508"/>
      <c r="E146" s="3508"/>
      <c r="F146" s="3508"/>
      <c r="G146" s="3508"/>
      <c r="H146" s="3508"/>
      <c r="I146" s="3508"/>
      <c r="J146" s="3508"/>
      <c r="K146" s="3508"/>
      <c r="L146" s="3508"/>
      <c r="M146" s="3508"/>
      <c r="N146" s="3508"/>
      <c r="O146" s="3508"/>
      <c r="P146" s="3508"/>
      <c r="Q146" s="3505"/>
      <c r="AA146" s="2092">
        <v>146</v>
      </c>
    </row>
    <row r="147" spans="1:27" ht="11.25" customHeight="1">
      <c r="A147" s="1570"/>
      <c r="B147" s="1573"/>
      <c r="C147" s="2544"/>
      <c r="D147" s="2544"/>
      <c r="E147" s="2544"/>
      <c r="F147" s="2544"/>
      <c r="G147" s="2544"/>
      <c r="H147" s="2544"/>
      <c r="I147" s="2544"/>
      <c r="J147" s="2544"/>
      <c r="K147" s="2544"/>
      <c r="L147" s="2544"/>
      <c r="M147" s="2544"/>
      <c r="N147" s="2548"/>
      <c r="O147" s="2548"/>
      <c r="P147" s="2548"/>
      <c r="Q147" s="1570"/>
      <c r="AA147" s="2092">
        <v>147</v>
      </c>
    </row>
    <row r="148" spans="1:27" ht="11.25" customHeight="1">
      <c r="A148" s="1575"/>
      <c r="B148" s="1573"/>
      <c r="C148" s="2544"/>
      <c r="D148" s="2544"/>
      <c r="E148" s="2544"/>
      <c r="F148" s="2544"/>
      <c r="G148" s="2544"/>
      <c r="H148" s="2544"/>
      <c r="I148" s="2544"/>
      <c r="J148" s="2544"/>
      <c r="K148" s="2544"/>
      <c r="L148" s="2544"/>
      <c r="M148" s="2544"/>
      <c r="N148" s="2548"/>
      <c r="O148" s="2548"/>
      <c r="P148" s="2548"/>
      <c r="Q148" s="1570"/>
      <c r="AA148" s="2092">
        <v>148</v>
      </c>
    </row>
    <row r="149" spans="1:27" ht="20.25" customHeight="1">
      <c r="A149" s="2552" t="s">
        <v>1530</v>
      </c>
      <c r="B149" s="1571" t="s">
        <v>1531</v>
      </c>
      <c r="C149" s="1571"/>
      <c r="D149" s="1571"/>
      <c r="E149" s="1571"/>
      <c r="F149" s="1571"/>
      <c r="G149" s="1571"/>
      <c r="H149" s="2544"/>
      <c r="I149" s="2544"/>
      <c r="J149" s="2544"/>
      <c r="K149" s="2544"/>
      <c r="L149" s="1609"/>
      <c r="M149" s="1610"/>
      <c r="N149" s="2548"/>
      <c r="O149" s="1574" t="s">
        <v>1444</v>
      </c>
      <c r="P149" s="3533"/>
      <c r="Q149" s="3534"/>
      <c r="AA149" s="2092">
        <v>149</v>
      </c>
    </row>
    <row r="150" spans="1:27" ht="20.25" customHeight="1">
      <c r="A150" s="1575"/>
      <c r="B150" s="2548" t="s">
        <v>1532</v>
      </c>
      <c r="C150" s="1575"/>
      <c r="D150" s="1575"/>
      <c r="E150" s="1575"/>
      <c r="F150" s="1575"/>
      <c r="G150" s="1575"/>
      <c r="H150" s="1575"/>
      <c r="I150" s="1575"/>
      <c r="J150" s="1575"/>
      <c r="K150" s="1575"/>
      <c r="L150" s="1575"/>
      <c r="M150" s="1575"/>
      <c r="N150" s="1573"/>
      <c r="O150" s="1575"/>
      <c r="P150" s="3566"/>
      <c r="Q150" s="3567"/>
      <c r="AA150" s="2092">
        <v>150</v>
      </c>
    </row>
    <row r="151" spans="1:27" ht="20.25" customHeight="1">
      <c r="A151" s="1581"/>
      <c r="B151" s="2548" t="s">
        <v>1533</v>
      </c>
      <c r="C151" s="2548"/>
      <c r="D151" s="2548"/>
      <c r="E151" s="2548"/>
      <c r="F151" s="2548"/>
      <c r="G151" s="1575"/>
      <c r="H151" s="3568" t="s">
        <v>730</v>
      </c>
      <c r="I151" s="3569"/>
      <c r="J151" s="3569"/>
      <c r="K151" s="3569"/>
      <c r="L151" s="3569"/>
      <c r="M151" s="3569"/>
      <c r="N151" s="3569"/>
      <c r="O151" s="3569"/>
      <c r="P151" s="3570"/>
      <c r="Q151" s="3571"/>
      <c r="R151" s="1589"/>
      <c r="AA151" s="2092">
        <v>151</v>
      </c>
    </row>
    <row r="152" spans="1:27" ht="20.25" customHeight="1">
      <c r="A152" s="1581"/>
      <c r="B152" s="2548" t="s">
        <v>1534</v>
      </c>
      <c r="C152" s="2548"/>
      <c r="D152" s="2548"/>
      <c r="E152" s="2548"/>
      <c r="F152" s="2548"/>
      <c r="G152" s="1575"/>
      <c r="H152" s="3572"/>
      <c r="I152" s="3573"/>
      <c r="J152" s="3573"/>
      <c r="K152" s="3573"/>
      <c r="L152" s="3573"/>
      <c r="M152" s="3573"/>
      <c r="N152" s="3573"/>
      <c r="O152" s="3573"/>
      <c r="P152" s="3573"/>
      <c r="Q152" s="3574"/>
      <c r="R152" s="1589"/>
      <c r="AA152" s="2092">
        <v>152</v>
      </c>
    </row>
    <row r="153" spans="1:27" ht="15" customHeight="1">
      <c r="A153" s="2548"/>
      <c r="B153" s="1587" t="s">
        <v>1450</v>
      </c>
      <c r="C153" s="2548"/>
      <c r="D153" s="1587"/>
      <c r="E153" s="1587"/>
      <c r="F153" s="1587"/>
      <c r="G153" s="1587"/>
      <c r="H153" s="2550"/>
      <c r="I153" s="1573"/>
      <c r="J153" s="1573"/>
      <c r="K153" s="1573"/>
      <c r="L153" s="1570"/>
      <c r="M153" s="1570"/>
      <c r="N153" s="1570"/>
      <c r="O153" s="1570"/>
      <c r="P153" s="1570"/>
      <c r="Q153" s="1570"/>
      <c r="AA153" s="2093">
        <v>153</v>
      </c>
    </row>
    <row r="154" spans="1:27" ht="20.25" customHeight="1">
      <c r="A154" s="3503" t="s">
        <v>1535</v>
      </c>
      <c r="B154" s="3503"/>
      <c r="C154" s="3503"/>
      <c r="D154" s="3503"/>
      <c r="E154" s="3503"/>
      <c r="F154" s="3503"/>
      <c r="G154" s="3503"/>
      <c r="H154" s="3503"/>
      <c r="I154" s="3503"/>
      <c r="J154" s="3503"/>
      <c r="K154" s="3503"/>
      <c r="L154" s="3503"/>
      <c r="M154" s="3503"/>
      <c r="N154" s="3503"/>
      <c r="O154" s="3503"/>
      <c r="P154" s="3503"/>
      <c r="Q154" s="3537"/>
      <c r="AA154" s="2092">
        <v>154</v>
      </c>
    </row>
    <row r="155" spans="1:27" ht="15" customHeight="1">
      <c r="A155" s="2548"/>
      <c r="B155" s="1576" t="s">
        <v>1447</v>
      </c>
      <c r="C155" s="1577"/>
      <c r="D155" s="2544"/>
      <c r="E155" s="2544"/>
      <c r="F155" s="2544"/>
      <c r="G155" s="2544"/>
      <c r="H155" s="2544"/>
      <c r="I155" s="2544"/>
      <c r="J155" s="2544"/>
      <c r="K155" s="2544"/>
      <c r="L155" s="2544"/>
      <c r="M155" s="2544"/>
      <c r="N155" s="2544"/>
      <c r="O155" s="2544"/>
      <c r="P155" s="2544"/>
      <c r="Q155" s="2544"/>
      <c r="AA155" s="2092">
        <v>155</v>
      </c>
    </row>
    <row r="156" spans="1:27" ht="20.25" customHeight="1">
      <c r="A156" s="3508"/>
      <c r="B156" s="3508"/>
      <c r="C156" s="3508"/>
      <c r="D156" s="3508"/>
      <c r="E156" s="3508"/>
      <c r="F156" s="3508"/>
      <c r="G156" s="3508"/>
      <c r="H156" s="3508"/>
      <c r="I156" s="3508"/>
      <c r="J156" s="3508"/>
      <c r="K156" s="3508"/>
      <c r="L156" s="3508"/>
      <c r="M156" s="3508"/>
      <c r="N156" s="3508"/>
      <c r="O156" s="3508"/>
      <c r="P156" s="3508"/>
      <c r="Q156" s="3505"/>
      <c r="AA156" s="2092">
        <v>156</v>
      </c>
    </row>
    <row r="157" spans="1:27" ht="11.25" customHeight="1">
      <c r="A157" s="1570"/>
      <c r="B157" s="1573"/>
      <c r="C157" s="2544"/>
      <c r="D157" s="2544"/>
      <c r="E157" s="2544"/>
      <c r="F157" s="2544"/>
      <c r="G157" s="2544"/>
      <c r="H157" s="2544"/>
      <c r="I157" s="2544"/>
      <c r="J157" s="2544"/>
      <c r="K157" s="2544"/>
      <c r="L157" s="2544"/>
      <c r="M157" s="2544"/>
      <c r="N157" s="2548"/>
      <c r="O157" s="2548"/>
      <c r="P157" s="2548"/>
      <c r="Q157" s="1570"/>
      <c r="AA157" s="2092">
        <v>157</v>
      </c>
    </row>
    <row r="158" spans="1:27" ht="11.25" customHeight="1">
      <c r="A158" s="1575"/>
      <c r="B158" s="1573"/>
      <c r="C158" s="2544"/>
      <c r="D158" s="2544"/>
      <c r="E158" s="2544"/>
      <c r="F158" s="2544"/>
      <c r="G158" s="2544"/>
      <c r="H158" s="2544"/>
      <c r="I158" s="2544"/>
      <c r="J158" s="2544"/>
      <c r="K158" s="2544"/>
      <c r="L158" s="2544"/>
      <c r="M158" s="2544"/>
      <c r="N158" s="2548"/>
      <c r="O158" s="2548"/>
      <c r="P158" s="2548"/>
      <c r="Q158" s="1570"/>
      <c r="AA158" s="2092">
        <v>158</v>
      </c>
    </row>
    <row r="159" spans="1:27" ht="20.25" customHeight="1">
      <c r="A159" s="2552" t="s">
        <v>1536</v>
      </c>
      <c r="B159" s="1571" t="s">
        <v>1537</v>
      </c>
      <c r="C159" s="1571"/>
      <c r="D159" s="1571"/>
      <c r="E159" s="1571"/>
      <c r="F159" s="1571"/>
      <c r="G159" s="1571"/>
      <c r="H159" s="2544"/>
      <c r="I159" s="2544"/>
      <c r="J159" s="2544"/>
      <c r="K159" s="2544"/>
      <c r="L159" s="2544"/>
      <c r="M159" s="2544"/>
      <c r="N159" s="2548"/>
      <c r="O159" s="1574" t="s">
        <v>1444</v>
      </c>
      <c r="P159" s="3506"/>
      <c r="Q159" s="3510"/>
      <c r="AA159" s="2092">
        <v>159</v>
      </c>
    </row>
    <row r="160" spans="1:27" ht="15" customHeight="1">
      <c r="A160" s="2548"/>
      <c r="B160" s="1587" t="s">
        <v>1450</v>
      </c>
      <c r="C160" s="2548"/>
      <c r="D160" s="1587"/>
      <c r="E160" s="1587"/>
      <c r="F160" s="1587"/>
      <c r="G160" s="1587"/>
      <c r="H160" s="2550"/>
      <c r="I160" s="1573"/>
      <c r="J160" s="1573"/>
      <c r="K160" s="1573"/>
      <c r="L160" s="1570"/>
      <c r="M160" s="1570"/>
      <c r="N160" s="1570"/>
      <c r="O160" s="1570"/>
      <c r="P160" s="1570"/>
      <c r="Q160" s="1570"/>
      <c r="AA160" s="2092">
        <v>160</v>
      </c>
    </row>
    <row r="161" spans="1:27" ht="20.25" customHeight="1">
      <c r="A161" s="3503" t="s">
        <v>1538</v>
      </c>
      <c r="B161" s="3503"/>
      <c r="C161" s="3503"/>
      <c r="D161" s="3503"/>
      <c r="E161" s="3503"/>
      <c r="F161" s="3503"/>
      <c r="G161" s="3503"/>
      <c r="H161" s="3503"/>
      <c r="I161" s="3503"/>
      <c r="J161" s="3503"/>
      <c r="K161" s="3503"/>
      <c r="L161" s="3503"/>
      <c r="M161" s="3503"/>
      <c r="N161" s="3503"/>
      <c r="O161" s="3503"/>
      <c r="P161" s="3503"/>
      <c r="Q161" s="3537"/>
      <c r="AA161" s="2092">
        <v>161</v>
      </c>
    </row>
    <row r="162" spans="1:27" ht="15" customHeight="1">
      <c r="A162" s="2548"/>
      <c r="B162" s="1576" t="s">
        <v>1447</v>
      </c>
      <c r="C162" s="1577"/>
      <c r="D162" s="2544"/>
      <c r="E162" s="2544"/>
      <c r="F162" s="2544"/>
      <c r="G162" s="2544"/>
      <c r="H162" s="2544"/>
      <c r="I162" s="2544"/>
      <c r="J162" s="2544"/>
      <c r="K162" s="2544"/>
      <c r="L162" s="2544"/>
      <c r="M162" s="2544"/>
      <c r="N162" s="2544"/>
      <c r="O162" s="2544"/>
      <c r="P162" s="2544"/>
      <c r="Q162" s="2544"/>
      <c r="AA162" s="2093">
        <v>162</v>
      </c>
    </row>
    <row r="163" spans="1:27" ht="20.25" customHeight="1">
      <c r="A163" s="3508"/>
      <c r="B163" s="3508"/>
      <c r="C163" s="3508"/>
      <c r="D163" s="3508"/>
      <c r="E163" s="3508"/>
      <c r="F163" s="3508"/>
      <c r="G163" s="3508"/>
      <c r="H163" s="3508"/>
      <c r="I163" s="3508"/>
      <c r="J163" s="3508"/>
      <c r="K163" s="3508"/>
      <c r="L163" s="3508"/>
      <c r="M163" s="3508"/>
      <c r="N163" s="3508"/>
      <c r="O163" s="3508"/>
      <c r="P163" s="3508"/>
      <c r="Q163" s="3505"/>
      <c r="AA163" s="2092">
        <v>163</v>
      </c>
    </row>
    <row r="164" spans="1:27" ht="11.25" customHeight="1">
      <c r="A164" s="2548"/>
      <c r="B164" s="2548"/>
      <c r="C164" s="2548"/>
      <c r="D164" s="2548"/>
      <c r="E164" s="2548"/>
      <c r="F164" s="2548"/>
      <c r="G164" s="2548"/>
      <c r="H164" s="2548"/>
      <c r="I164" s="2548"/>
      <c r="J164" s="2548"/>
      <c r="K164" s="2548"/>
      <c r="L164" s="2548"/>
      <c r="M164" s="2548"/>
      <c r="N164" s="2548"/>
      <c r="O164" s="2548"/>
      <c r="P164" s="2548"/>
      <c r="Q164" s="2548"/>
      <c r="AA164" s="2092">
        <v>164</v>
      </c>
    </row>
    <row r="165" spans="1:27" ht="11.25" customHeight="1">
      <c r="A165" s="1575"/>
      <c r="B165" s="2548"/>
      <c r="C165" s="2548"/>
      <c r="D165" s="2548"/>
      <c r="E165" s="2548"/>
      <c r="F165" s="2548"/>
      <c r="G165" s="2548"/>
      <c r="H165" s="2548"/>
      <c r="I165" s="2548"/>
      <c r="J165" s="2548"/>
      <c r="K165" s="2548"/>
      <c r="L165" s="2548"/>
      <c r="M165" s="2548"/>
      <c r="N165" s="2548"/>
      <c r="O165" s="2548"/>
      <c r="P165" s="2548"/>
      <c r="Q165" s="2548"/>
      <c r="AA165" s="2092">
        <v>165</v>
      </c>
    </row>
    <row r="166" spans="1:27" ht="17.100000000000001" customHeight="1">
      <c r="A166" s="2552" t="s">
        <v>1539</v>
      </c>
      <c r="B166" s="2552" t="s">
        <v>1540</v>
      </c>
      <c r="C166" s="2552"/>
      <c r="D166" s="2544"/>
      <c r="E166" s="2544"/>
      <c r="F166" s="2544"/>
      <c r="G166" s="2544"/>
      <c r="H166" s="2544"/>
      <c r="I166" s="2544"/>
      <c r="J166" s="2544"/>
      <c r="K166" s="2544"/>
      <c r="L166" s="2544"/>
      <c r="M166" s="2544"/>
      <c r="N166" s="2548"/>
      <c r="O166" s="1574" t="s">
        <v>1444</v>
      </c>
      <c r="P166" s="3506"/>
      <c r="Q166" s="3510"/>
      <c r="AA166" s="2092">
        <v>166</v>
      </c>
    </row>
    <row r="167" spans="1:27" ht="15" customHeight="1">
      <c r="A167" s="1581" t="s">
        <v>197</v>
      </c>
      <c r="B167" s="1571" t="s">
        <v>1541</v>
      </c>
      <c r="C167" s="2548"/>
      <c r="D167" s="2548"/>
      <c r="E167" s="2548"/>
      <c r="F167" s="2548"/>
      <c r="G167" s="1575"/>
      <c r="H167" s="2548"/>
      <c r="I167" s="2548"/>
      <c r="J167" s="1575"/>
      <c r="K167" s="1575"/>
      <c r="L167" s="1575"/>
      <c r="M167" s="1575"/>
      <c r="N167" s="1575"/>
      <c r="O167" s="2554"/>
      <c r="P167" s="1575"/>
      <c r="Q167" s="1575"/>
      <c r="AA167" s="2092">
        <v>167</v>
      </c>
    </row>
    <row r="168" spans="1:27" ht="29.45" customHeight="1">
      <c r="A168" s="2548"/>
      <c r="B168" s="3587" t="s">
        <v>1542</v>
      </c>
      <c r="C168" s="3587"/>
      <c r="D168" s="3587"/>
      <c r="E168" s="3587"/>
      <c r="F168" s="3587"/>
      <c r="G168" s="3587"/>
      <c r="H168" s="3587"/>
      <c r="I168" s="3587"/>
      <c r="J168" s="3587"/>
      <c r="K168" s="3587"/>
      <c r="L168" s="3587"/>
      <c r="M168" s="3587"/>
      <c r="N168" s="3587"/>
      <c r="O168" s="3588"/>
      <c r="P168" s="3589" t="s">
        <v>1543</v>
      </c>
      <c r="Q168" s="3590"/>
      <c r="AA168" s="2092">
        <v>168</v>
      </c>
    </row>
    <row r="169" spans="1:27" ht="17.100000000000001" customHeight="1">
      <c r="A169" s="1581" t="s">
        <v>209</v>
      </c>
      <c r="B169" s="1571" t="s">
        <v>1544</v>
      </c>
      <c r="C169" s="2548"/>
      <c r="D169" s="2548"/>
      <c r="E169" s="2548"/>
      <c r="F169" s="2548"/>
      <c r="G169" s="1575"/>
      <c r="H169" s="3591" t="s">
        <v>1545</v>
      </c>
      <c r="I169" s="3591"/>
      <c r="J169" s="3591"/>
      <c r="K169" s="3591"/>
      <c r="L169" s="3591"/>
      <c r="M169" s="3591"/>
      <c r="N169" s="3591"/>
      <c r="O169" s="3591"/>
      <c r="P169" s="3592"/>
      <c r="Q169" s="3592"/>
      <c r="AA169" s="2092">
        <v>169</v>
      </c>
    </row>
    <row r="170" spans="1:27" ht="15" customHeight="1">
      <c r="A170" s="2548"/>
      <c r="B170" s="1587" t="s">
        <v>1450</v>
      </c>
      <c r="C170" s="2548"/>
      <c r="D170" s="2548"/>
      <c r="E170" s="2548"/>
      <c r="F170" s="2548"/>
      <c r="G170" s="2548"/>
      <c r="H170" s="2548"/>
      <c r="I170" s="2548"/>
      <c r="J170" s="2548"/>
      <c r="K170" s="2548"/>
      <c r="L170" s="2548"/>
      <c r="M170" s="1573"/>
      <c r="N170" s="1573"/>
      <c r="O170" s="1611"/>
      <c r="P170" s="1570"/>
      <c r="Q170" s="2548"/>
      <c r="AA170" s="2092">
        <v>170</v>
      </c>
    </row>
    <row r="171" spans="1:27" ht="17.100000000000001" customHeight="1">
      <c r="A171" s="3503" t="s">
        <v>1546</v>
      </c>
      <c r="B171" s="3503"/>
      <c r="C171" s="3503"/>
      <c r="D171" s="3503"/>
      <c r="E171" s="3503"/>
      <c r="F171" s="3503"/>
      <c r="G171" s="3503"/>
      <c r="H171" s="3503"/>
      <c r="I171" s="3503"/>
      <c r="J171" s="3503"/>
      <c r="K171" s="3503"/>
      <c r="L171" s="3503"/>
      <c r="M171" s="3503"/>
      <c r="N171" s="3503"/>
      <c r="O171" s="3503"/>
      <c r="P171" s="3503"/>
      <c r="Q171" s="3537"/>
      <c r="AA171" s="2093">
        <v>171</v>
      </c>
    </row>
    <row r="172" spans="1:27" ht="15" customHeight="1">
      <c r="A172" s="2548"/>
      <c r="B172" s="1576" t="s">
        <v>1447</v>
      </c>
      <c r="C172" s="1577"/>
      <c r="D172" s="2544"/>
      <c r="E172" s="2544"/>
      <c r="F172" s="2544"/>
      <c r="G172" s="2544"/>
      <c r="H172" s="2544"/>
      <c r="I172" s="2544"/>
      <c r="J172" s="2544"/>
      <c r="K172" s="2544"/>
      <c r="L172" s="2544"/>
      <c r="M172" s="2544"/>
      <c r="N172" s="2544"/>
      <c r="O172" s="2544"/>
      <c r="P172" s="2544"/>
      <c r="Q172" s="2544"/>
      <c r="AA172" s="2092">
        <v>172</v>
      </c>
    </row>
    <row r="173" spans="1:27" ht="17.100000000000001" customHeight="1">
      <c r="A173" s="3508"/>
      <c r="B173" s="3508"/>
      <c r="C173" s="3508"/>
      <c r="D173" s="3508"/>
      <c r="E173" s="3508"/>
      <c r="F173" s="3508"/>
      <c r="G173" s="3508"/>
      <c r="H173" s="3508"/>
      <c r="I173" s="3508"/>
      <c r="J173" s="3508"/>
      <c r="K173" s="3508"/>
      <c r="L173" s="3508"/>
      <c r="M173" s="3508"/>
      <c r="N173" s="3508"/>
      <c r="O173" s="3508"/>
      <c r="P173" s="3508"/>
      <c r="Q173" s="3509"/>
      <c r="AA173" s="2092">
        <v>173</v>
      </c>
    </row>
    <row r="174" spans="1:27" ht="11.25" customHeight="1">
      <c r="A174" s="2548"/>
      <c r="B174" s="2548"/>
      <c r="C174" s="2548"/>
      <c r="D174" s="2548"/>
      <c r="E174" s="2548"/>
      <c r="F174" s="1570"/>
      <c r="G174" s="1570"/>
      <c r="H174" s="1570"/>
      <c r="I174" s="1570"/>
      <c r="J174" s="2550"/>
      <c r="K174" s="2550"/>
      <c r="L174" s="2550"/>
      <c r="M174" s="1573"/>
      <c r="N174" s="1570"/>
      <c r="O174" s="1570"/>
      <c r="P174" s="1611"/>
      <c r="Q174" s="2548"/>
      <c r="AA174" s="2092">
        <v>174</v>
      </c>
    </row>
    <row r="175" spans="1:27" ht="11.25" customHeight="1">
      <c r="A175" s="1575"/>
      <c r="B175" s="2548"/>
      <c r="C175" s="2548"/>
      <c r="D175" s="2548"/>
      <c r="E175" s="2548"/>
      <c r="F175" s="1570"/>
      <c r="G175" s="1570"/>
      <c r="H175" s="1570"/>
      <c r="I175" s="1570"/>
      <c r="J175" s="2550"/>
      <c r="K175" s="2550"/>
      <c r="L175" s="2550"/>
      <c r="M175" s="1573"/>
      <c r="N175" s="1570"/>
      <c r="O175" s="1570"/>
      <c r="P175" s="1611"/>
      <c r="Q175" s="2548"/>
      <c r="AA175" s="2092">
        <v>175</v>
      </c>
    </row>
    <row r="176" spans="1:27" ht="17.100000000000001" customHeight="1">
      <c r="A176" s="2552" t="s">
        <v>1547</v>
      </c>
      <c r="B176" s="2552" t="s">
        <v>1548</v>
      </c>
      <c r="C176" s="1612"/>
      <c r="D176" s="1612"/>
      <c r="E176" s="2544"/>
      <c r="F176" s="2544"/>
      <c r="G176" s="2544"/>
      <c r="H176" s="2544"/>
      <c r="I176" s="2544"/>
      <c r="J176" s="2544"/>
      <c r="K176" s="2544"/>
      <c r="L176" s="2544"/>
      <c r="M176" s="2544"/>
      <c r="N176" s="2548"/>
      <c r="O176" s="1574" t="s">
        <v>1444</v>
      </c>
      <c r="P176" s="3533"/>
      <c r="Q176" s="3593"/>
      <c r="AA176" s="2092">
        <v>176</v>
      </c>
    </row>
    <row r="177" spans="1:27" ht="15" customHeight="1">
      <c r="A177" s="1575"/>
      <c r="B177" s="2548" t="s">
        <v>1532</v>
      </c>
      <c r="C177" s="1575"/>
      <c r="D177" s="1575"/>
      <c r="E177" s="1575"/>
      <c r="F177" s="1575"/>
      <c r="G177" s="1575"/>
      <c r="H177" s="1575"/>
      <c r="I177" s="1575"/>
      <c r="J177" s="1575"/>
      <c r="K177" s="1575"/>
      <c r="L177" s="1575"/>
      <c r="M177" s="1575"/>
      <c r="N177" s="1573"/>
      <c r="O177" s="1575"/>
      <c r="P177" s="3566" t="s">
        <v>56</v>
      </c>
      <c r="Q177" s="3601"/>
      <c r="AA177" s="2092">
        <v>177</v>
      </c>
    </row>
    <row r="178" spans="1:27" ht="30.6" customHeight="1">
      <c r="A178" s="1575"/>
      <c r="B178" s="3511" t="s">
        <v>1549</v>
      </c>
      <c r="C178" s="3511"/>
      <c r="D178" s="3511"/>
      <c r="E178" s="3511"/>
      <c r="F178" s="3511"/>
      <c r="G178" s="3511"/>
      <c r="H178" s="3511"/>
      <c r="I178" s="3511"/>
      <c r="J178" s="3511"/>
      <c r="K178" s="3511"/>
      <c r="L178" s="3511"/>
      <c r="M178" s="3511"/>
      <c r="N178" s="3511"/>
      <c r="O178" s="3511"/>
      <c r="P178" s="3596" t="s">
        <v>1543</v>
      </c>
      <c r="Q178" s="3602"/>
      <c r="AA178" s="2092">
        <v>178</v>
      </c>
    </row>
    <row r="179" spans="1:27" ht="15">
      <c r="A179" s="1581" t="s">
        <v>197</v>
      </c>
      <c r="B179" s="2552" t="s">
        <v>1550</v>
      </c>
      <c r="C179" s="2544"/>
      <c r="D179" s="2544"/>
      <c r="E179" s="2544"/>
      <c r="F179" s="2544"/>
      <c r="G179" s="2544"/>
      <c r="H179" s="2544"/>
      <c r="I179" s="2544"/>
      <c r="J179" s="2544"/>
      <c r="K179" s="1575"/>
      <c r="L179" s="1704"/>
      <c r="M179" s="1616"/>
      <c r="N179" s="1703"/>
      <c r="O179" s="2554"/>
      <c r="P179" s="2554"/>
      <c r="Q179" s="2554"/>
      <c r="AA179" s="2092">
        <v>179</v>
      </c>
    </row>
    <row r="180" spans="1:27" ht="45" customHeight="1">
      <c r="A180" s="1575"/>
      <c r="B180" s="3587" t="s">
        <v>1551</v>
      </c>
      <c r="C180" s="3587"/>
      <c r="D180" s="3587"/>
      <c r="E180" s="3587"/>
      <c r="F180" s="3587"/>
      <c r="G180" s="3587"/>
      <c r="H180" s="3587"/>
      <c r="I180" s="3587"/>
      <c r="J180" s="3587"/>
      <c r="K180" s="3587"/>
      <c r="L180" s="3587"/>
      <c r="M180" s="3587"/>
      <c r="N180" s="3587"/>
      <c r="O180" s="3587"/>
      <c r="P180" s="2554"/>
      <c r="Q180" s="2554"/>
      <c r="AA180" s="2093">
        <v>180</v>
      </c>
    </row>
    <row r="181" spans="1:27" ht="28.5" customHeight="1">
      <c r="A181" s="1575"/>
      <c r="B181" s="1575"/>
      <c r="C181" s="1601"/>
      <c r="D181" s="3587" t="s">
        <v>1552</v>
      </c>
      <c r="E181" s="3587"/>
      <c r="F181" s="3587"/>
      <c r="G181" s="3587"/>
      <c r="H181" s="3587"/>
      <c r="I181" s="3587"/>
      <c r="J181" s="3587"/>
      <c r="K181" s="3587"/>
      <c r="L181" s="3587"/>
      <c r="M181" s="3587"/>
      <c r="N181" s="3587"/>
      <c r="O181" s="3587"/>
      <c r="P181" s="3604">
        <f>'Part VIII Scoring Criteria'!O105</f>
        <v>6</v>
      </c>
      <c r="Q181" s="3605"/>
      <c r="AA181" s="2093"/>
    </row>
    <row r="182" spans="1:27" ht="12" customHeight="1">
      <c r="A182" s="1575"/>
      <c r="B182" s="2548"/>
      <c r="C182" s="1575"/>
      <c r="D182" s="1575"/>
      <c r="E182" s="1575"/>
      <c r="F182" s="1575"/>
      <c r="G182" s="1575"/>
      <c r="H182" s="1575"/>
      <c r="I182" s="1575"/>
      <c r="J182" s="1575"/>
      <c r="K182" s="1575"/>
      <c r="L182" s="3603" t="s">
        <v>1553</v>
      </c>
      <c r="M182" s="3603"/>
      <c r="N182" s="1573"/>
      <c r="O182" s="1575"/>
      <c r="P182" s="1608"/>
      <c r="Q182" s="1570"/>
      <c r="AA182" s="2092">
        <v>181</v>
      </c>
    </row>
    <row r="183" spans="1:27" ht="17.100000000000001" customHeight="1">
      <c r="A183" s="1581" t="s">
        <v>209</v>
      </c>
      <c r="B183" s="2552" t="s">
        <v>1554</v>
      </c>
      <c r="C183" s="2548"/>
      <c r="D183" s="1613"/>
      <c r="E183" s="1613"/>
      <c r="F183" s="1613"/>
      <c r="G183" s="1613"/>
      <c r="H183" s="1613"/>
      <c r="I183" s="1613"/>
      <c r="J183" s="1613"/>
      <c r="K183" s="1613"/>
      <c r="L183" s="2548" t="s">
        <v>1555</v>
      </c>
      <c r="M183" s="1573" t="s">
        <v>1556</v>
      </c>
      <c r="N183" s="1613"/>
      <c r="O183" s="2554"/>
      <c r="P183" s="2554"/>
      <c r="Q183" s="2554"/>
      <c r="AA183" s="2092">
        <v>182</v>
      </c>
    </row>
    <row r="184" spans="1:27" ht="15" customHeight="1">
      <c r="A184" s="1581"/>
      <c r="B184" s="2548" t="s">
        <v>1557</v>
      </c>
      <c r="C184" s="1575"/>
      <c r="D184" s="2549"/>
      <c r="E184" s="2549"/>
      <c r="F184" s="2549"/>
      <c r="G184" s="2549"/>
      <c r="H184" s="1575"/>
      <c r="I184" s="2548"/>
      <c r="J184" s="2548"/>
      <c r="K184" s="1614"/>
      <c r="L184" s="1615">
        <f>ROUNDUP('Part V-Revenues &amp; Expenses'!$P$67*M184,0)</f>
        <v>3</v>
      </c>
      <c r="M184" s="1616">
        <f>'DCA Underwriting Assumptions'!$Q$147</f>
        <v>0.05</v>
      </c>
      <c r="N184" s="1703" t="s">
        <v>1558</v>
      </c>
      <c r="O184" s="2554"/>
      <c r="P184" s="3566">
        <v>6</v>
      </c>
      <c r="Q184" s="3601"/>
      <c r="AA184" s="2092">
        <v>183</v>
      </c>
    </row>
    <row r="185" spans="1:27" ht="15" customHeight="1">
      <c r="A185" s="1581"/>
      <c r="B185" s="2550"/>
      <c r="C185" s="2548"/>
      <c r="D185" s="3511" t="s">
        <v>1559</v>
      </c>
      <c r="E185" s="3511"/>
      <c r="F185" s="3511"/>
      <c r="G185" s="3511"/>
      <c r="H185" s="3511"/>
      <c r="I185" s="3511"/>
      <c r="J185" s="3511"/>
      <c r="K185" s="1614"/>
      <c r="L185" s="1617">
        <f>ROUNDUP(L184*M185,0)</f>
        <v>2</v>
      </c>
      <c r="M185" s="1616">
        <f>'DCA Underwriting Assumptions'!$Q$148</f>
        <v>0.4</v>
      </c>
      <c r="N185" s="1703" t="s">
        <v>1560</v>
      </c>
      <c r="O185" s="2554"/>
      <c r="P185" s="3594">
        <v>3</v>
      </c>
      <c r="Q185" s="3595"/>
      <c r="AA185" s="2092">
        <v>184</v>
      </c>
    </row>
    <row r="186" spans="1:27" ht="15" customHeight="1">
      <c r="A186" s="1581"/>
      <c r="B186" s="3511" t="s">
        <v>1561</v>
      </c>
      <c r="C186" s="3511"/>
      <c r="D186" s="3511"/>
      <c r="E186" s="3511"/>
      <c r="F186" s="3511"/>
      <c r="G186" s="3511"/>
      <c r="H186" s="3511"/>
      <c r="I186" s="3511"/>
      <c r="J186" s="3511"/>
      <c r="K186" s="1575"/>
      <c r="L186" s="1618">
        <f>ROUNDUP('Part V-Revenues &amp; Expenses'!$P$67*M186,0)</f>
        <v>2</v>
      </c>
      <c r="M186" s="1616">
        <f>'DCA Underwriting Assumptions'!$Q$149</f>
        <v>0.02</v>
      </c>
      <c r="N186" s="1703" t="s">
        <v>1558</v>
      </c>
      <c r="O186" s="2554"/>
      <c r="P186" s="3596">
        <v>2</v>
      </c>
      <c r="Q186" s="3597"/>
      <c r="AA186" s="2092">
        <v>185</v>
      </c>
    </row>
    <row r="187" spans="1:27" ht="15" customHeight="1">
      <c r="A187" s="1581" t="s">
        <v>230</v>
      </c>
      <c r="B187" s="2552" t="s">
        <v>1562</v>
      </c>
      <c r="C187" s="2544"/>
      <c r="D187" s="2544"/>
      <c r="E187" s="2544"/>
      <c r="F187" s="2544"/>
      <c r="G187" s="2544"/>
      <c r="H187" s="2544"/>
      <c r="I187" s="2544"/>
      <c r="J187" s="2544"/>
      <c r="K187" s="1575"/>
      <c r="L187" s="1704"/>
      <c r="M187" s="1616"/>
      <c r="N187" s="1703"/>
      <c r="O187" s="2554"/>
      <c r="P187" s="2554"/>
      <c r="Q187" s="2554"/>
      <c r="AA187" s="2092">
        <v>186</v>
      </c>
    </row>
    <row r="188" spans="1:27" ht="29.25" customHeight="1">
      <c r="A188" s="1581"/>
      <c r="B188" s="2548" t="s">
        <v>1563</v>
      </c>
      <c r="C188" s="2548"/>
      <c r="D188" s="2548"/>
      <c r="E188" s="2548"/>
      <c r="F188" s="2548"/>
      <c r="G188" s="1575"/>
      <c r="H188" s="2548"/>
      <c r="I188" s="2548"/>
      <c r="J188" s="2548"/>
      <c r="K188" s="2548"/>
      <c r="L188" s="2548"/>
      <c r="M188" s="3598" t="s">
        <v>1564</v>
      </c>
      <c r="N188" s="3599"/>
      <c r="O188" s="3599"/>
      <c r="P188" s="3599"/>
      <c r="Q188" s="3600"/>
      <c r="AA188" s="2092">
        <v>187</v>
      </c>
    </row>
    <row r="189" spans="1:27" ht="15.6" customHeight="1">
      <c r="A189" s="1581"/>
      <c r="B189" s="2548"/>
      <c r="C189" s="1575"/>
      <c r="D189" s="2548" t="s">
        <v>1565</v>
      </c>
      <c r="E189" s="2548"/>
      <c r="F189" s="2548"/>
      <c r="G189" s="2548"/>
      <c r="H189" s="2548"/>
      <c r="I189" s="2548"/>
      <c r="J189" s="2548"/>
      <c r="K189" s="2548"/>
      <c r="L189" s="2548"/>
      <c r="M189" s="2548"/>
      <c r="N189" s="2548"/>
      <c r="O189" s="2554"/>
      <c r="P189" s="1595" t="s">
        <v>56</v>
      </c>
      <c r="Q189" s="1588"/>
      <c r="R189" s="2554"/>
      <c r="AA189" s="2092">
        <v>188</v>
      </c>
    </row>
    <row r="190" spans="1:27" ht="15.6" customHeight="1">
      <c r="A190" s="1581"/>
      <c r="B190" s="2548"/>
      <c r="C190" s="1575"/>
      <c r="D190" s="2548" t="s">
        <v>1566</v>
      </c>
      <c r="E190" s="2548"/>
      <c r="F190" s="2548"/>
      <c r="G190" s="2548"/>
      <c r="H190" s="2548"/>
      <c r="I190" s="2548"/>
      <c r="J190" s="2548"/>
      <c r="K190" s="2548"/>
      <c r="L190" s="2548"/>
      <c r="M190" s="2548"/>
      <c r="N190" s="2548"/>
      <c r="O190" s="2554"/>
      <c r="P190" s="1592" t="s">
        <v>56</v>
      </c>
      <c r="Q190" s="1593"/>
      <c r="R190" s="2554"/>
      <c r="AA190" s="2093">
        <v>189</v>
      </c>
    </row>
    <row r="191" spans="1:27" ht="15" customHeight="1">
      <c r="A191" s="2548"/>
      <c r="B191" s="1587" t="s">
        <v>1450</v>
      </c>
      <c r="C191" s="2548"/>
      <c r="D191" s="1587"/>
      <c r="E191" s="1587"/>
      <c r="F191" s="1587"/>
      <c r="G191" s="1587"/>
      <c r="H191" s="2550"/>
      <c r="I191" s="1573"/>
      <c r="J191" s="1573"/>
      <c r="K191" s="1573"/>
      <c r="L191" s="1570"/>
      <c r="M191" s="1570"/>
      <c r="N191" s="1570"/>
      <c r="O191" s="1570"/>
      <c r="P191" s="1570"/>
      <c r="Q191" s="1570"/>
      <c r="AA191" s="2092">
        <v>190</v>
      </c>
    </row>
    <row r="192" spans="1:27" ht="50.25" customHeight="1">
      <c r="A192" s="3503" t="s">
        <v>1567</v>
      </c>
      <c r="B192" s="3503"/>
      <c r="C192" s="3503"/>
      <c r="D192" s="3503"/>
      <c r="E192" s="3503"/>
      <c r="F192" s="3503"/>
      <c r="G192" s="3503"/>
      <c r="H192" s="3503"/>
      <c r="I192" s="3503"/>
      <c r="J192" s="3503"/>
      <c r="K192" s="3503"/>
      <c r="L192" s="3503"/>
      <c r="M192" s="3503"/>
      <c r="N192" s="3503"/>
      <c r="O192" s="3503"/>
      <c r="P192" s="3503"/>
      <c r="Q192" s="3504"/>
      <c r="AA192" s="2092">
        <v>191</v>
      </c>
    </row>
    <row r="193" spans="1:27" ht="15" customHeight="1">
      <c r="A193" s="2548"/>
      <c r="B193" s="1576" t="s">
        <v>1447</v>
      </c>
      <c r="C193" s="1577"/>
      <c r="D193" s="2544"/>
      <c r="E193" s="2544"/>
      <c r="F193" s="2544"/>
      <c r="G193" s="2544"/>
      <c r="H193" s="2544"/>
      <c r="I193" s="2544"/>
      <c r="J193" s="2544"/>
      <c r="K193" s="2544"/>
      <c r="L193" s="2544"/>
      <c r="M193" s="2544"/>
      <c r="N193" s="2544"/>
      <c r="O193" s="2544"/>
      <c r="P193" s="2544"/>
      <c r="Q193" s="2544"/>
      <c r="AA193" s="2092">
        <v>192</v>
      </c>
    </row>
    <row r="194" spans="1:27" ht="17.100000000000001" customHeight="1">
      <c r="A194" s="3508"/>
      <c r="B194" s="3508"/>
      <c r="C194" s="3508"/>
      <c r="D194" s="3508"/>
      <c r="E194" s="3508"/>
      <c r="F194" s="3508"/>
      <c r="G194" s="3508"/>
      <c r="H194" s="3508"/>
      <c r="I194" s="3508"/>
      <c r="J194" s="3508"/>
      <c r="K194" s="3508"/>
      <c r="L194" s="3508"/>
      <c r="M194" s="3508"/>
      <c r="N194" s="3508"/>
      <c r="O194" s="3508"/>
      <c r="P194" s="3508"/>
      <c r="Q194" s="3509"/>
      <c r="AA194" s="2092">
        <v>193</v>
      </c>
    </row>
    <row r="195" spans="1:27" ht="11.25" customHeight="1">
      <c r="A195" s="2544"/>
      <c r="B195" s="2544"/>
      <c r="C195" s="2544"/>
      <c r="D195" s="2544"/>
      <c r="E195" s="2544"/>
      <c r="F195" s="2544"/>
      <c r="G195" s="2544"/>
      <c r="H195" s="2544"/>
      <c r="I195" s="2544"/>
      <c r="J195" s="2544"/>
      <c r="K195" s="2544"/>
      <c r="L195" s="2544"/>
      <c r="M195" s="2544"/>
      <c r="N195" s="2544"/>
      <c r="O195" s="2544"/>
      <c r="P195" s="2544"/>
      <c r="Q195" s="2544"/>
      <c r="AA195" s="2092">
        <v>194</v>
      </c>
    </row>
    <row r="196" spans="1:27" ht="11.25" customHeight="1">
      <c r="A196" s="1575"/>
      <c r="B196" s="2544"/>
      <c r="C196" s="2544"/>
      <c r="D196" s="2544"/>
      <c r="E196" s="2544"/>
      <c r="F196" s="2544"/>
      <c r="G196" s="2544"/>
      <c r="H196" s="2544"/>
      <c r="I196" s="2544"/>
      <c r="J196" s="2544"/>
      <c r="K196" s="2544"/>
      <c r="L196" s="2544"/>
      <c r="M196" s="2544"/>
      <c r="N196" s="2544"/>
      <c r="O196" s="2544"/>
      <c r="P196" s="2553"/>
      <c r="Q196" s="2553"/>
      <c r="AA196" s="2092">
        <v>195</v>
      </c>
    </row>
    <row r="197" spans="1:27" ht="20.25" customHeight="1">
      <c r="A197" s="2552" t="s">
        <v>1568</v>
      </c>
      <c r="B197" s="1571" t="s">
        <v>1569</v>
      </c>
      <c r="C197" s="1571"/>
      <c r="D197" s="1571"/>
      <c r="E197" s="1571"/>
      <c r="F197" s="1571"/>
      <c r="G197" s="1571"/>
      <c r="H197" s="2544"/>
      <c r="I197" s="2544"/>
      <c r="J197" s="2544"/>
      <c r="K197" s="2544"/>
      <c r="L197" s="2544"/>
      <c r="M197" s="2544"/>
      <c r="N197" s="2548"/>
      <c r="O197" s="1574" t="s">
        <v>1444</v>
      </c>
      <c r="P197" s="3506"/>
      <c r="Q197" s="3507"/>
      <c r="AA197" s="2092">
        <v>196</v>
      </c>
    </row>
    <row r="198" spans="1:27" ht="15" customHeight="1">
      <c r="A198" s="2548"/>
      <c r="B198" s="2548" t="s">
        <v>1532</v>
      </c>
      <c r="C198" s="2548"/>
      <c r="D198" s="2548"/>
      <c r="E198" s="2548"/>
      <c r="F198" s="2548"/>
      <c r="G198" s="2548"/>
      <c r="H198" s="2548"/>
      <c r="I198" s="2548"/>
      <c r="J198" s="2548"/>
      <c r="K198" s="2548"/>
      <c r="L198" s="2548"/>
      <c r="M198" s="2548"/>
      <c r="N198" s="2548"/>
      <c r="O198" s="2548"/>
      <c r="P198" s="3566" t="s">
        <v>56</v>
      </c>
      <c r="Q198" s="3601"/>
      <c r="AA198" s="2092">
        <v>197</v>
      </c>
    </row>
    <row r="199" spans="1:27" ht="28.5" customHeight="1">
      <c r="A199" s="2548"/>
      <c r="B199" s="3511" t="s">
        <v>1570</v>
      </c>
      <c r="C199" s="3511"/>
      <c r="D199" s="3511"/>
      <c r="E199" s="3511"/>
      <c r="F199" s="3511"/>
      <c r="G199" s="3511"/>
      <c r="H199" s="3511"/>
      <c r="I199" s="3511"/>
      <c r="J199" s="3511"/>
      <c r="K199" s="3511"/>
      <c r="L199" s="3511"/>
      <c r="M199" s="3511"/>
      <c r="N199" s="3511"/>
      <c r="O199" s="2548"/>
      <c r="P199" s="3596" t="s">
        <v>362</v>
      </c>
      <c r="Q199" s="3597"/>
      <c r="AA199" s="2093">
        <v>198</v>
      </c>
    </row>
    <row r="200" spans="1:27" ht="20.25" customHeight="1">
      <c r="A200" s="1581" t="s">
        <v>197</v>
      </c>
      <c r="B200" s="1571" t="s">
        <v>1571</v>
      </c>
      <c r="C200" s="2548"/>
      <c r="D200" s="1571"/>
      <c r="E200" s="1571"/>
      <c r="F200" s="1571"/>
      <c r="G200" s="1571"/>
      <c r="H200" s="1571"/>
      <c r="I200" s="1571"/>
      <c r="J200" s="1571"/>
      <c r="K200" s="1571"/>
      <c r="L200" s="1571"/>
      <c r="M200" s="1571"/>
      <c r="N200" s="2548"/>
      <c r="O200" s="2554"/>
      <c r="P200" s="1570"/>
      <c r="Q200" s="1570"/>
      <c r="AA200" s="2092">
        <v>199</v>
      </c>
    </row>
    <row r="201" spans="1:27" ht="59.25" customHeight="1">
      <c r="A201" s="2548"/>
      <c r="B201" s="1602" t="s">
        <v>1521</v>
      </c>
      <c r="C201" s="3587" t="s">
        <v>1572</v>
      </c>
      <c r="D201" s="3587"/>
      <c r="E201" s="3587"/>
      <c r="F201" s="3513" t="s">
        <v>1573</v>
      </c>
      <c r="G201" s="3514"/>
      <c r="H201" s="3514"/>
      <c r="I201" s="3514"/>
      <c r="J201" s="3514"/>
      <c r="K201" s="3514"/>
      <c r="L201" s="3514"/>
      <c r="M201" s="3514"/>
      <c r="N201" s="3514"/>
      <c r="O201" s="3514"/>
      <c r="P201" s="3514"/>
      <c r="Q201" s="3515"/>
      <c r="AA201" s="2092">
        <v>200</v>
      </c>
    </row>
    <row r="202" spans="1:27" ht="30" customHeight="1">
      <c r="A202" s="2548"/>
      <c r="B202" s="1602" t="s">
        <v>1524</v>
      </c>
      <c r="C202" s="3587" t="s">
        <v>1574</v>
      </c>
      <c r="D202" s="3587"/>
      <c r="E202" s="3587"/>
      <c r="F202" s="3587"/>
      <c r="G202" s="3588"/>
      <c r="H202" s="3513" t="s">
        <v>1575</v>
      </c>
      <c r="I202" s="3514"/>
      <c r="J202" s="3514"/>
      <c r="K202" s="3514"/>
      <c r="L202" s="3514"/>
      <c r="M202" s="3514"/>
      <c r="N202" s="3514"/>
      <c r="O202" s="3514"/>
      <c r="P202" s="3514"/>
      <c r="Q202" s="3515"/>
      <c r="AA202" s="2092">
        <v>201</v>
      </c>
    </row>
    <row r="203" spans="1:27" ht="20.25" customHeight="1">
      <c r="A203" s="1581"/>
      <c r="B203" s="1602" t="s">
        <v>1526</v>
      </c>
      <c r="C203" s="3511" t="s">
        <v>1576</v>
      </c>
      <c r="D203" s="3511"/>
      <c r="E203" s="3511"/>
      <c r="F203" s="3511"/>
      <c r="G203" s="3511"/>
      <c r="H203" s="3511"/>
      <c r="I203" s="3511"/>
      <c r="J203" s="3511"/>
      <c r="K203" s="3511"/>
      <c r="L203" s="3511"/>
      <c r="M203" s="3511"/>
      <c r="N203" s="3511"/>
      <c r="O203" s="3511"/>
      <c r="P203" s="3511"/>
      <c r="Q203" s="3511"/>
      <c r="AA203" s="2092">
        <v>202</v>
      </c>
    </row>
    <row r="204" spans="1:27" ht="15.6" customHeight="1">
      <c r="A204" s="1581"/>
      <c r="B204" s="2554"/>
      <c r="C204" s="3568" t="s">
        <v>445</v>
      </c>
      <c r="D204" s="3568"/>
      <c r="E204" s="3568"/>
      <c r="F204" s="3568"/>
      <c r="G204" s="3568"/>
      <c r="H204" s="3568"/>
      <c r="I204" s="3568"/>
      <c r="J204" s="3568"/>
      <c r="K204" s="3568"/>
      <c r="L204" s="3568"/>
      <c r="M204" s="3568"/>
      <c r="N204" s="3568"/>
      <c r="O204" s="3568"/>
      <c r="P204" s="3568"/>
      <c r="Q204" s="3606"/>
      <c r="AA204" s="2092">
        <v>203</v>
      </c>
    </row>
    <row r="205" spans="1:27" ht="15.6" customHeight="1">
      <c r="A205" s="1581"/>
      <c r="B205" s="2554"/>
      <c r="C205" s="3572"/>
      <c r="D205" s="3572"/>
      <c r="E205" s="3572"/>
      <c r="F205" s="3572"/>
      <c r="G205" s="3572"/>
      <c r="H205" s="3572"/>
      <c r="I205" s="3572"/>
      <c r="J205" s="3572"/>
      <c r="K205" s="3572"/>
      <c r="L205" s="3572"/>
      <c r="M205" s="3572"/>
      <c r="N205" s="3572"/>
      <c r="O205" s="3572"/>
      <c r="P205" s="3572"/>
      <c r="Q205" s="3607"/>
      <c r="AA205" s="2092">
        <v>204</v>
      </c>
    </row>
    <row r="206" spans="1:27" ht="15" customHeight="1">
      <c r="A206" s="2548"/>
      <c r="B206" s="1587" t="s">
        <v>1450</v>
      </c>
      <c r="C206" s="2548"/>
      <c r="D206" s="1587"/>
      <c r="E206" s="1587"/>
      <c r="F206" s="1587"/>
      <c r="G206" s="1587"/>
      <c r="H206" s="2550"/>
      <c r="I206" s="1573"/>
      <c r="J206" s="1573"/>
      <c r="K206" s="1573"/>
      <c r="L206" s="1570"/>
      <c r="M206" s="1570"/>
      <c r="N206" s="1570"/>
      <c r="O206" s="1570"/>
      <c r="P206" s="1570"/>
      <c r="Q206" s="1570"/>
      <c r="AA206" s="2092">
        <v>205</v>
      </c>
    </row>
    <row r="207" spans="1:27" ht="20.25" customHeight="1">
      <c r="A207" s="3503" t="s">
        <v>1577</v>
      </c>
      <c r="B207" s="3503"/>
      <c r="C207" s="3503"/>
      <c r="D207" s="3503"/>
      <c r="E207" s="3503"/>
      <c r="F207" s="3503"/>
      <c r="G207" s="3503"/>
      <c r="H207" s="3503"/>
      <c r="I207" s="3503"/>
      <c r="J207" s="3503"/>
      <c r="K207" s="3503"/>
      <c r="L207" s="3503"/>
      <c r="M207" s="3503"/>
      <c r="N207" s="3503"/>
      <c r="O207" s="3503"/>
      <c r="P207" s="3503"/>
      <c r="Q207" s="3504"/>
      <c r="AA207" s="2092">
        <v>206</v>
      </c>
    </row>
    <row r="208" spans="1:27" ht="15" customHeight="1">
      <c r="A208" s="2548"/>
      <c r="B208" s="1576" t="s">
        <v>1447</v>
      </c>
      <c r="C208" s="1577"/>
      <c r="D208" s="2544"/>
      <c r="E208" s="2544"/>
      <c r="F208" s="2544"/>
      <c r="G208" s="2544"/>
      <c r="H208" s="2544"/>
      <c r="I208" s="2544"/>
      <c r="J208" s="2544"/>
      <c r="K208" s="2544"/>
      <c r="L208" s="2544"/>
      <c r="M208" s="2544"/>
      <c r="N208" s="2544"/>
      <c r="O208" s="2544"/>
      <c r="P208" s="2544"/>
      <c r="Q208" s="2544"/>
      <c r="AA208" s="2093">
        <v>207</v>
      </c>
    </row>
    <row r="209" spans="1:27" ht="20.25" customHeight="1">
      <c r="A209" s="3508"/>
      <c r="B209" s="3508"/>
      <c r="C209" s="3508"/>
      <c r="D209" s="3508"/>
      <c r="E209" s="3508"/>
      <c r="F209" s="3508"/>
      <c r="G209" s="3508"/>
      <c r="H209" s="3508"/>
      <c r="I209" s="3508"/>
      <c r="J209" s="3508"/>
      <c r="K209" s="3508"/>
      <c r="L209" s="3508"/>
      <c r="M209" s="3508"/>
      <c r="N209" s="3508"/>
      <c r="O209" s="3508"/>
      <c r="P209" s="3508"/>
      <c r="Q209" s="3509"/>
      <c r="AA209" s="2092">
        <v>208</v>
      </c>
    </row>
    <row r="210" spans="1:27" ht="11.25" customHeight="1">
      <c r="A210" s="2544"/>
      <c r="B210" s="2544"/>
      <c r="C210" s="2544"/>
      <c r="D210" s="2544"/>
      <c r="E210" s="2544"/>
      <c r="F210" s="2544"/>
      <c r="G210" s="2544"/>
      <c r="H210" s="2544"/>
      <c r="I210" s="2544"/>
      <c r="J210" s="2544"/>
      <c r="K210" s="2544"/>
      <c r="L210" s="2544"/>
      <c r="M210" s="2544"/>
      <c r="N210" s="2544"/>
      <c r="O210" s="2544"/>
      <c r="P210" s="2782"/>
      <c r="Q210" s="2782"/>
      <c r="AA210" s="2092">
        <v>209</v>
      </c>
    </row>
    <row r="211" spans="1:27" ht="11.25" customHeight="1">
      <c r="A211" s="1575"/>
      <c r="B211" s="2544"/>
      <c r="C211" s="2544"/>
      <c r="D211" s="2544"/>
      <c r="E211" s="2544"/>
      <c r="F211" s="2544"/>
      <c r="G211" s="2544"/>
      <c r="H211" s="2544"/>
      <c r="I211" s="2544"/>
      <c r="J211" s="2544"/>
      <c r="K211" s="2544"/>
      <c r="L211" s="2544"/>
      <c r="M211" s="2544"/>
      <c r="N211" s="2544"/>
      <c r="O211" s="2544"/>
      <c r="P211" s="2553"/>
      <c r="Q211" s="2553"/>
      <c r="AA211" s="2092">
        <v>210</v>
      </c>
    </row>
    <row r="212" spans="1:27" ht="20.25" customHeight="1">
      <c r="A212" s="2552" t="s">
        <v>1578</v>
      </c>
      <c r="B212" s="2552" t="s">
        <v>1579</v>
      </c>
      <c r="C212" s="2552"/>
      <c r="D212" s="2544"/>
      <c r="E212" s="2544"/>
      <c r="F212" s="2544"/>
      <c r="G212" s="2544"/>
      <c r="H212" s="2544"/>
      <c r="I212" s="2548"/>
      <c r="J212" s="2548"/>
      <c r="K212" s="2548"/>
      <c r="L212" s="2548"/>
      <c r="M212" s="2548"/>
      <c r="N212" s="1594"/>
      <c r="O212" s="1574" t="s">
        <v>1444</v>
      </c>
      <c r="P212" s="3533"/>
      <c r="Q212" s="3593"/>
      <c r="AA212" s="2092">
        <v>211</v>
      </c>
    </row>
    <row r="213" spans="1:27" ht="15" customHeight="1">
      <c r="A213" s="1581"/>
      <c r="B213" s="2548" t="s">
        <v>1580</v>
      </c>
      <c r="C213" s="2548"/>
      <c r="D213" s="2548"/>
      <c r="E213" s="2548"/>
      <c r="F213" s="2548"/>
      <c r="G213" s="2548"/>
      <c r="H213" s="2548"/>
      <c r="I213" s="2548"/>
      <c r="J213" s="2548"/>
      <c r="K213" s="2548"/>
      <c r="L213" s="2548"/>
      <c r="M213" s="2548"/>
      <c r="N213" s="2548"/>
      <c r="O213" s="2554"/>
      <c r="P213" s="3611" t="s">
        <v>1581</v>
      </c>
      <c r="Q213" s="3612"/>
      <c r="AA213" s="2092">
        <v>212</v>
      </c>
    </row>
    <row r="214" spans="1:27" ht="15" customHeight="1">
      <c r="A214" s="1581"/>
      <c r="B214" s="2548" t="s">
        <v>1582</v>
      </c>
      <c r="C214" s="2548"/>
      <c r="D214" s="2548"/>
      <c r="E214" s="2548"/>
      <c r="F214" s="2548"/>
      <c r="G214" s="2548"/>
      <c r="H214" s="2548"/>
      <c r="I214" s="2548"/>
      <c r="J214" s="2548"/>
      <c r="K214" s="2548"/>
      <c r="L214" s="2548"/>
      <c r="M214" s="2548"/>
      <c r="N214" s="2548"/>
      <c r="O214" s="2554"/>
      <c r="P214" s="3613" t="s">
        <v>1581</v>
      </c>
      <c r="Q214" s="3614"/>
      <c r="AA214" s="2092">
        <v>213</v>
      </c>
    </row>
    <row r="215" spans="1:27" ht="15" customHeight="1">
      <c r="A215" s="1581"/>
      <c r="B215" s="2548" t="s">
        <v>1583</v>
      </c>
      <c r="C215" s="1575"/>
      <c r="D215" s="2548"/>
      <c r="E215" s="2548"/>
      <c r="F215" s="2548"/>
      <c r="G215" s="2548"/>
      <c r="H215" s="2548"/>
      <c r="I215" s="2548"/>
      <c r="J215" s="2548"/>
      <c r="K215" s="1573"/>
      <c r="L215" s="2548"/>
      <c r="M215" s="2554"/>
      <c r="N215" s="2548"/>
      <c r="O215" s="1619"/>
      <c r="P215" s="3613" t="s">
        <v>56</v>
      </c>
      <c r="Q215" s="3614"/>
      <c r="AA215" s="2092">
        <v>214</v>
      </c>
    </row>
    <row r="216" spans="1:27" ht="29.45" customHeight="1">
      <c r="A216" s="1581"/>
      <c r="B216" s="3511" t="s">
        <v>1584</v>
      </c>
      <c r="C216" s="3511"/>
      <c r="D216" s="3511"/>
      <c r="E216" s="3511"/>
      <c r="F216" s="3511"/>
      <c r="G216" s="3511"/>
      <c r="H216" s="3511"/>
      <c r="I216" s="3511"/>
      <c r="J216" s="3511"/>
      <c r="K216" s="3511"/>
      <c r="L216" s="3511"/>
      <c r="M216" s="3511"/>
      <c r="N216" s="3511"/>
      <c r="O216" s="3511"/>
      <c r="P216" s="3615" t="s">
        <v>56</v>
      </c>
      <c r="Q216" s="3616"/>
      <c r="AA216" s="2092">
        <v>215</v>
      </c>
    </row>
    <row r="217" spans="1:27" ht="15.6" customHeight="1">
      <c r="A217" s="1581"/>
      <c r="B217" s="2548" t="s">
        <v>1585</v>
      </c>
      <c r="C217" s="2548"/>
      <c r="D217" s="2548"/>
      <c r="E217" s="2548"/>
      <c r="F217" s="2548"/>
      <c r="G217" s="2548"/>
      <c r="H217" s="2548"/>
      <c r="I217" s="2548"/>
      <c r="J217" s="2548"/>
      <c r="K217" s="2548"/>
      <c r="L217" s="2548"/>
      <c r="M217" s="1575"/>
      <c r="N217" s="1575"/>
      <c r="O217" s="3608" t="s">
        <v>1586</v>
      </c>
      <c r="P217" s="3609"/>
      <c r="Q217" s="3610"/>
      <c r="AA217" s="2093">
        <v>216</v>
      </c>
    </row>
    <row r="218" spans="1:27" ht="15.6" customHeight="1">
      <c r="A218" s="1581"/>
      <c r="B218" s="1571" t="s">
        <v>1587</v>
      </c>
      <c r="C218" s="2548"/>
      <c r="D218" s="2548"/>
      <c r="E218" s="2548"/>
      <c r="F218" s="2548"/>
      <c r="G218" s="3506"/>
      <c r="H218" s="3542"/>
      <c r="I218" s="3542"/>
      <c r="J218" s="3542"/>
      <c r="K218" s="3542"/>
      <c r="L218" s="3543"/>
      <c r="M218" s="1575"/>
      <c r="N218" s="1575"/>
      <c r="O218" s="1575"/>
      <c r="P218" s="1575"/>
      <c r="Q218" s="1575"/>
      <c r="AA218" s="2092">
        <v>217</v>
      </c>
    </row>
    <row r="219" spans="1:27" ht="15" customHeight="1">
      <c r="A219" s="2548"/>
      <c r="B219" s="1587" t="s">
        <v>1450</v>
      </c>
      <c r="C219" s="2548"/>
      <c r="D219" s="1587"/>
      <c r="E219" s="1587"/>
      <c r="F219" s="1587"/>
      <c r="G219" s="1587"/>
      <c r="H219" s="2550"/>
      <c r="I219" s="1573"/>
      <c r="J219" s="1573"/>
      <c r="K219" s="1573"/>
      <c r="L219" s="1570"/>
      <c r="M219" s="1570"/>
      <c r="N219" s="1570"/>
      <c r="O219" s="1570"/>
      <c r="P219" s="1570"/>
      <c r="Q219" s="1570"/>
      <c r="AA219" s="2092">
        <v>218</v>
      </c>
    </row>
    <row r="220" spans="1:27" ht="33" customHeight="1">
      <c r="A220" s="3522" t="s">
        <v>1588</v>
      </c>
      <c r="B220" s="3525"/>
      <c r="C220" s="3525"/>
      <c r="D220" s="3525"/>
      <c r="E220" s="3525"/>
      <c r="F220" s="3525"/>
      <c r="G220" s="3525"/>
      <c r="H220" s="3525"/>
      <c r="I220" s="3525"/>
      <c r="J220" s="3525"/>
      <c r="K220" s="3525"/>
      <c r="L220" s="3525"/>
      <c r="M220" s="3525"/>
      <c r="N220" s="3525"/>
      <c r="O220" s="3525"/>
      <c r="P220" s="3525"/>
      <c r="Q220" s="3526"/>
      <c r="AA220" s="2092">
        <v>219</v>
      </c>
    </row>
    <row r="221" spans="1:27" ht="15" customHeight="1">
      <c r="A221" s="2548"/>
      <c r="B221" s="1576" t="s">
        <v>1447</v>
      </c>
      <c r="C221" s="1577"/>
      <c r="D221" s="2544"/>
      <c r="E221" s="2544"/>
      <c r="F221" s="2544"/>
      <c r="G221" s="2544"/>
      <c r="H221" s="2544"/>
      <c r="I221" s="2544"/>
      <c r="J221" s="2544"/>
      <c r="K221" s="2544"/>
      <c r="L221" s="2544"/>
      <c r="M221" s="2544"/>
      <c r="N221" s="2544"/>
      <c r="O221" s="1575"/>
      <c r="P221" s="2544"/>
      <c r="Q221" s="2544"/>
      <c r="AA221" s="2092">
        <v>220</v>
      </c>
    </row>
    <row r="222" spans="1:27" ht="20.25" customHeight="1">
      <c r="A222" s="3527"/>
      <c r="B222" s="3528"/>
      <c r="C222" s="3528"/>
      <c r="D222" s="3528"/>
      <c r="E222" s="3528"/>
      <c r="F222" s="3528"/>
      <c r="G222" s="3528"/>
      <c r="H222" s="3528"/>
      <c r="I222" s="3528"/>
      <c r="J222" s="3528"/>
      <c r="K222" s="3528"/>
      <c r="L222" s="3528"/>
      <c r="M222" s="3528"/>
      <c r="N222" s="3528"/>
      <c r="O222" s="3528"/>
      <c r="P222" s="3528"/>
      <c r="Q222" s="3529"/>
      <c r="AA222" s="2092">
        <v>221</v>
      </c>
    </row>
    <row r="223" spans="1:27" ht="11.25" customHeight="1">
      <c r="A223" s="1570"/>
      <c r="B223" s="1573"/>
      <c r="C223" s="2544"/>
      <c r="D223" s="2544"/>
      <c r="E223" s="2544"/>
      <c r="F223" s="2544"/>
      <c r="G223" s="2544"/>
      <c r="H223" s="2544"/>
      <c r="I223" s="2544"/>
      <c r="J223" s="2544"/>
      <c r="K223" s="2544"/>
      <c r="L223" s="2544"/>
      <c r="M223" s="2544"/>
      <c r="N223" s="2544"/>
      <c r="O223" s="2544"/>
      <c r="P223" s="2544"/>
      <c r="Q223" s="1570"/>
      <c r="AA223" s="2092">
        <v>222</v>
      </c>
    </row>
    <row r="224" spans="1:27" ht="11.25" customHeight="1">
      <c r="A224" s="1575"/>
      <c r="B224" s="1573"/>
      <c r="C224" s="2544"/>
      <c r="D224" s="2544"/>
      <c r="E224" s="2544"/>
      <c r="F224" s="2544"/>
      <c r="G224" s="2544"/>
      <c r="H224" s="2544"/>
      <c r="I224" s="2544"/>
      <c r="J224" s="2544"/>
      <c r="K224" s="2544"/>
      <c r="L224" s="2544"/>
      <c r="M224" s="2544"/>
      <c r="N224" s="2544"/>
      <c r="O224" s="2544"/>
      <c r="P224" s="2544"/>
      <c r="Q224" s="1570"/>
      <c r="AA224" s="2092">
        <v>223</v>
      </c>
    </row>
    <row r="225" spans="1:28" ht="20.25" customHeight="1">
      <c r="A225" s="2552" t="s">
        <v>1589</v>
      </c>
      <c r="B225" s="1571" t="s">
        <v>1590</v>
      </c>
      <c r="C225" s="1571"/>
      <c r="D225" s="1571"/>
      <c r="E225" s="1571"/>
      <c r="F225" s="1571"/>
      <c r="G225" s="1571"/>
      <c r="H225" s="2544"/>
      <c r="I225" s="2544"/>
      <c r="J225" s="2544"/>
      <c r="K225" s="2544"/>
      <c r="L225" s="2544"/>
      <c r="M225" s="2544"/>
      <c r="N225" s="1620"/>
      <c r="O225" s="1574" t="s">
        <v>1444</v>
      </c>
      <c r="P225" s="3506"/>
      <c r="Q225" s="3507"/>
      <c r="AA225" s="2092">
        <v>224</v>
      </c>
    </row>
    <row r="226" spans="1:28" ht="33.75" customHeight="1">
      <c r="A226" s="2552"/>
      <c r="B226" s="3511" t="s">
        <v>1591</v>
      </c>
      <c r="C226" s="3511"/>
      <c r="D226" s="3511"/>
      <c r="E226" s="3511"/>
      <c r="F226" s="3511"/>
      <c r="G226" s="3511"/>
      <c r="H226" s="3511"/>
      <c r="I226" s="3511"/>
      <c r="J226" s="3511"/>
      <c r="K226" s="3511"/>
      <c r="L226" s="3511"/>
      <c r="M226" s="3511"/>
      <c r="N226" s="3511"/>
      <c r="O226" s="3512"/>
      <c r="P226" s="3520"/>
      <c r="Q226" s="3521"/>
      <c r="AA226" s="2093">
        <v>225</v>
      </c>
    </row>
    <row r="227" spans="1:28" s="1621" customFormat="1" ht="15">
      <c r="A227" s="1596" t="s">
        <v>197</v>
      </c>
      <c r="B227" s="1705" t="s">
        <v>1592</v>
      </c>
      <c r="C227" s="1705"/>
      <c r="D227" s="1705"/>
      <c r="E227" s="1705"/>
      <c r="F227" s="1705"/>
      <c r="G227" s="1705"/>
      <c r="H227" s="1705"/>
      <c r="I227" s="1705"/>
      <c r="J227" s="1705"/>
      <c r="K227" s="1705"/>
      <c r="L227" s="1705"/>
      <c r="M227" s="1705"/>
      <c r="N227" s="1705"/>
      <c r="O227" s="1705"/>
      <c r="P227" s="1705"/>
      <c r="Q227" s="1705"/>
      <c r="R227" s="1705"/>
      <c r="S227" s="1685"/>
      <c r="T227" s="1685"/>
      <c r="U227" s="1685"/>
      <c r="V227" s="1685"/>
      <c r="W227" s="1685"/>
      <c r="X227" s="1685"/>
      <c r="Y227" s="1685"/>
      <c r="Z227" s="1685"/>
      <c r="AA227" s="2092">
        <v>226</v>
      </c>
      <c r="AB227" s="1685"/>
    </row>
    <row r="228" spans="1:28" s="1621" customFormat="1" ht="30.75" customHeight="1">
      <c r="A228" s="1596"/>
      <c r="C228" s="1599" t="s">
        <v>1593</v>
      </c>
      <c r="D228" s="1686"/>
      <c r="E228" s="1686"/>
      <c r="G228" s="3587" t="s">
        <v>1594</v>
      </c>
      <c r="H228" s="3587"/>
      <c r="I228" s="3587"/>
      <c r="J228" s="3587"/>
      <c r="K228" s="3587"/>
      <c r="L228" s="3587"/>
      <c r="M228" s="3587"/>
      <c r="N228" s="3587"/>
      <c r="O228" s="3588"/>
      <c r="P228" s="1706"/>
      <c r="Q228" s="1588"/>
      <c r="R228" s="1685"/>
      <c r="S228" s="1685"/>
      <c r="T228" s="1685"/>
      <c r="U228" s="1685"/>
      <c r="V228" s="1685"/>
      <c r="W228" s="1685"/>
      <c r="X228" s="1685"/>
      <c r="Y228" s="1685"/>
      <c r="Z228" s="1685"/>
      <c r="AA228" s="2092">
        <v>227</v>
      </c>
      <c r="AB228" s="1685"/>
    </row>
    <row r="229" spans="1:28" s="1621" customFormat="1" ht="30.75" customHeight="1">
      <c r="A229" s="1596"/>
      <c r="C229" s="3587" t="s">
        <v>1595</v>
      </c>
      <c r="D229" s="3587"/>
      <c r="E229" s="3587"/>
      <c r="F229" s="3587"/>
      <c r="G229" s="3587" t="s">
        <v>1596</v>
      </c>
      <c r="H229" s="3587"/>
      <c r="I229" s="3587"/>
      <c r="J229" s="3587"/>
      <c r="K229" s="3587"/>
      <c r="L229" s="3587"/>
      <c r="M229" s="3587"/>
      <c r="N229" s="3587"/>
      <c r="O229" s="3588"/>
      <c r="P229" s="1707"/>
      <c r="Q229" s="1593"/>
      <c r="R229" s="1685"/>
      <c r="S229" s="1685"/>
      <c r="T229" s="1685"/>
      <c r="U229" s="1685"/>
      <c r="V229" s="1685"/>
      <c r="W229" s="1685"/>
      <c r="X229" s="1685"/>
      <c r="Y229" s="1685"/>
      <c r="Z229" s="1685"/>
      <c r="AA229" s="2092">
        <v>228</v>
      </c>
      <c r="AB229" s="1685"/>
    </row>
    <row r="230" spans="1:28" ht="44.25" customHeight="1">
      <c r="A230" s="1596" t="s">
        <v>209</v>
      </c>
      <c r="B230" s="3587" t="s">
        <v>1597</v>
      </c>
      <c r="C230" s="3587"/>
      <c r="D230" s="3587"/>
      <c r="E230" s="3587"/>
      <c r="F230" s="3587"/>
      <c r="G230" s="3587"/>
      <c r="H230" s="3587"/>
      <c r="I230" s="3587"/>
      <c r="J230" s="3587"/>
      <c r="K230" s="3587"/>
      <c r="L230" s="3587"/>
      <c r="M230" s="3587"/>
      <c r="N230" s="3587"/>
      <c r="O230" s="3587"/>
      <c r="P230" s="2545"/>
      <c r="Q230" s="2547"/>
      <c r="AA230" s="2092">
        <v>229</v>
      </c>
    </row>
    <row r="231" spans="1:28" ht="20.25" customHeight="1">
      <c r="A231" s="1581" t="s">
        <v>230</v>
      </c>
      <c r="B231" s="2548" t="s">
        <v>1598</v>
      </c>
      <c r="C231" s="2548"/>
      <c r="D231" s="2548"/>
      <c r="E231" s="2548"/>
      <c r="F231" s="2548"/>
      <c r="G231" s="2548" t="s">
        <v>1599</v>
      </c>
      <c r="H231" s="2548"/>
      <c r="I231" s="2548"/>
      <c r="J231" s="2548"/>
      <c r="K231" s="2548"/>
      <c r="L231" s="2548"/>
      <c r="M231" s="2548"/>
      <c r="N231" s="2548"/>
      <c r="O231" s="2548"/>
      <c r="P231" s="2545"/>
      <c r="Q231" s="2547"/>
      <c r="AA231" s="2092">
        <v>230</v>
      </c>
    </row>
    <row r="232" spans="1:28" ht="45" customHeight="1">
      <c r="A232" s="1596" t="s">
        <v>232</v>
      </c>
      <c r="B232" s="3587" t="s">
        <v>1600</v>
      </c>
      <c r="C232" s="3587"/>
      <c r="D232" s="3587"/>
      <c r="E232" s="3587"/>
      <c r="F232" s="3587"/>
      <c r="G232" s="3587"/>
      <c r="H232" s="3587"/>
      <c r="I232" s="3587"/>
      <c r="J232" s="3587"/>
      <c r="K232" s="3587"/>
      <c r="L232" s="3587"/>
      <c r="M232" s="3587"/>
      <c r="N232" s="3587"/>
      <c r="O232" s="3587"/>
      <c r="P232" s="2545"/>
      <c r="Q232" s="2547"/>
      <c r="AA232" s="2092">
        <v>231</v>
      </c>
    </row>
    <row r="233" spans="1:28" ht="15" customHeight="1">
      <c r="A233" s="2548"/>
      <c r="B233" s="1587" t="s">
        <v>1450</v>
      </c>
      <c r="C233" s="2548"/>
      <c r="D233" s="1587"/>
      <c r="E233" s="1587"/>
      <c r="F233" s="1587"/>
      <c r="G233" s="1587"/>
      <c r="H233" s="2550"/>
      <c r="I233" s="1573"/>
      <c r="J233" s="1573"/>
      <c r="K233" s="1573"/>
      <c r="L233" s="1570"/>
      <c r="M233" s="1570"/>
      <c r="N233" s="1570"/>
      <c r="O233" s="1570"/>
      <c r="P233" s="1570"/>
      <c r="Q233" s="1570"/>
      <c r="AA233" s="2092">
        <v>232</v>
      </c>
    </row>
    <row r="234" spans="1:28" ht="20.25" customHeight="1">
      <c r="A234" s="3522" t="s">
        <v>445</v>
      </c>
      <c r="B234" s="3523"/>
      <c r="C234" s="3523"/>
      <c r="D234" s="3523"/>
      <c r="E234" s="3523"/>
      <c r="F234" s="3523"/>
      <c r="G234" s="3523"/>
      <c r="H234" s="3523"/>
      <c r="I234" s="3523"/>
      <c r="J234" s="3523"/>
      <c r="K234" s="3523"/>
      <c r="L234" s="3523"/>
      <c r="M234" s="3523"/>
      <c r="N234" s="3523"/>
      <c r="O234" s="3523"/>
      <c r="P234" s="3523"/>
      <c r="Q234" s="3524"/>
      <c r="AA234" s="2092">
        <v>233</v>
      </c>
    </row>
    <row r="235" spans="1:28" ht="15" customHeight="1">
      <c r="A235" s="2548"/>
      <c r="B235" s="1576" t="s">
        <v>1447</v>
      </c>
      <c r="C235" s="1577"/>
      <c r="D235" s="2544"/>
      <c r="E235" s="2544"/>
      <c r="F235" s="2544"/>
      <c r="G235" s="2544"/>
      <c r="H235" s="2544"/>
      <c r="I235" s="2544"/>
      <c r="J235" s="2544"/>
      <c r="K235" s="2544"/>
      <c r="L235" s="2544"/>
      <c r="M235" s="2544"/>
      <c r="N235" s="2544"/>
      <c r="O235" s="2544"/>
      <c r="P235" s="2544"/>
      <c r="Q235" s="2544"/>
      <c r="AA235" s="2093">
        <v>234</v>
      </c>
    </row>
    <row r="236" spans="1:28" ht="20.25" customHeight="1">
      <c r="A236" s="3527"/>
      <c r="B236" s="3617"/>
      <c r="C236" s="3617"/>
      <c r="D236" s="3617"/>
      <c r="E236" s="3617"/>
      <c r="F236" s="3617"/>
      <c r="G236" s="3617"/>
      <c r="H236" s="3617"/>
      <c r="I236" s="3617"/>
      <c r="J236" s="3617"/>
      <c r="K236" s="3617"/>
      <c r="L236" s="3617"/>
      <c r="M236" s="3617"/>
      <c r="N236" s="3617"/>
      <c r="O236" s="3617"/>
      <c r="P236" s="3617"/>
      <c r="Q236" s="3618"/>
      <c r="AA236" s="2092">
        <v>235</v>
      </c>
    </row>
    <row r="237" spans="1:28" ht="11.25" customHeight="1">
      <c r="A237" s="1570"/>
      <c r="B237" s="1573"/>
      <c r="C237" s="2544"/>
      <c r="D237" s="2544"/>
      <c r="E237" s="2544"/>
      <c r="F237" s="2544"/>
      <c r="G237" s="2544"/>
      <c r="H237" s="2544"/>
      <c r="I237" s="2544"/>
      <c r="J237" s="2544"/>
      <c r="K237" s="2544"/>
      <c r="L237" s="2544"/>
      <c r="M237" s="2544"/>
      <c r="N237" s="2544"/>
      <c r="O237" s="2544"/>
      <c r="P237" s="2544"/>
      <c r="Q237" s="1570"/>
      <c r="AA237" s="2092">
        <v>236</v>
      </c>
    </row>
    <row r="238" spans="1:28" ht="11.25" customHeight="1">
      <c r="A238" s="2552"/>
      <c r="B238" s="1573"/>
      <c r="C238" s="2544"/>
      <c r="D238" s="2544"/>
      <c r="E238" s="2544"/>
      <c r="F238" s="2544"/>
      <c r="G238" s="2544"/>
      <c r="H238" s="2544"/>
      <c r="I238" s="2544"/>
      <c r="J238" s="2544"/>
      <c r="K238" s="2544"/>
      <c r="L238" s="2544"/>
      <c r="M238" s="2544"/>
      <c r="N238" s="2544"/>
      <c r="O238" s="2544"/>
      <c r="P238" s="2544"/>
      <c r="Q238" s="1570"/>
      <c r="AA238" s="2092">
        <v>237</v>
      </c>
    </row>
    <row r="239" spans="1:28" ht="20.25" customHeight="1">
      <c r="A239" s="2552" t="s">
        <v>1601</v>
      </c>
      <c r="B239" s="1571" t="s">
        <v>1602</v>
      </c>
      <c r="C239" s="1571"/>
      <c r="D239" s="1571"/>
      <c r="E239" s="1571"/>
      <c r="F239" s="1571"/>
      <c r="G239" s="1571"/>
      <c r="H239" s="2544"/>
      <c r="I239" s="2544"/>
      <c r="J239" s="2544"/>
      <c r="K239" s="2544"/>
      <c r="L239" s="2544"/>
      <c r="M239" s="2544"/>
      <c r="N239" s="1622"/>
      <c r="O239" s="1574" t="s">
        <v>1444</v>
      </c>
      <c r="P239" s="3506"/>
      <c r="Q239" s="3543"/>
      <c r="AA239" s="2092">
        <v>238</v>
      </c>
    </row>
    <row r="240" spans="1:28" ht="20.25" customHeight="1">
      <c r="A240" s="1581"/>
      <c r="B240" s="3619" t="s">
        <v>1603</v>
      </c>
      <c r="C240" s="3619"/>
      <c r="D240" s="3619"/>
      <c r="E240" s="3619"/>
      <c r="F240" s="3620"/>
      <c r="G240" s="3621"/>
      <c r="H240" s="3622"/>
      <c r="I240" s="3622"/>
      <c r="J240" s="3622"/>
      <c r="K240" s="3622"/>
      <c r="L240" s="3622"/>
      <c r="M240" s="3622"/>
      <c r="N240" s="3622"/>
      <c r="O240" s="3622"/>
      <c r="P240" s="3622"/>
      <c r="Q240" s="3623"/>
      <c r="AA240" s="2092">
        <v>239</v>
      </c>
    </row>
    <row r="241" spans="1:27" ht="20.25" customHeight="1" thickBot="1">
      <c r="A241" s="1581"/>
      <c r="B241" s="3619" t="s">
        <v>1604</v>
      </c>
      <c r="C241" s="3619"/>
      <c r="D241" s="3619"/>
      <c r="E241" s="3619"/>
      <c r="F241" s="3620"/>
      <c r="G241" s="3624"/>
      <c r="H241" s="3625"/>
      <c r="I241" s="3625"/>
      <c r="J241" s="3625"/>
      <c r="K241" s="3625"/>
      <c r="L241" s="3625"/>
      <c r="M241" s="3625"/>
      <c r="N241" s="3625"/>
      <c r="O241" s="3625"/>
      <c r="P241" s="3626"/>
      <c r="Q241" s="3627"/>
      <c r="AA241" s="2092">
        <v>240</v>
      </c>
    </row>
    <row r="242" spans="1:27" ht="30" customHeight="1" thickBot="1">
      <c r="A242" s="1581"/>
      <c r="B242" s="3587" t="s">
        <v>1605</v>
      </c>
      <c r="C242" s="3587"/>
      <c r="D242" s="3587"/>
      <c r="E242" s="3587"/>
      <c r="F242" s="3587"/>
      <c r="G242" s="3587"/>
      <c r="H242" s="3587"/>
      <c r="I242" s="3587"/>
      <c r="J242" s="3587"/>
      <c r="K242" s="3587"/>
      <c r="L242" s="3587"/>
      <c r="M242" s="3587"/>
      <c r="N242" s="3587"/>
      <c r="O242" s="3635"/>
      <c r="P242" s="3636"/>
      <c r="Q242" s="3637"/>
      <c r="AA242" s="2092">
        <v>241</v>
      </c>
    </row>
    <row r="243" spans="1:27" ht="20.25" customHeight="1">
      <c r="A243" s="2548"/>
      <c r="B243" s="1587" t="s">
        <v>1450</v>
      </c>
      <c r="C243" s="2548"/>
      <c r="D243" s="1587"/>
      <c r="E243" s="1587"/>
      <c r="F243" s="1587"/>
      <c r="G243" s="1587"/>
      <c r="H243" s="2550"/>
      <c r="I243" s="1573"/>
      <c r="J243" s="1573"/>
      <c r="K243" s="1573"/>
      <c r="L243" s="1570"/>
      <c r="M243" s="1570"/>
      <c r="N243" s="1570"/>
      <c r="O243" s="1570"/>
      <c r="P243" s="1570"/>
      <c r="Q243" s="1570"/>
      <c r="AA243" s="2092">
        <v>242</v>
      </c>
    </row>
    <row r="244" spans="1:27" ht="20.25" customHeight="1">
      <c r="A244" s="3503" t="s">
        <v>445</v>
      </c>
      <c r="B244" s="3629"/>
      <c r="C244" s="3629"/>
      <c r="D244" s="3629"/>
      <c r="E244" s="3629"/>
      <c r="F244" s="3629"/>
      <c r="G244" s="3629"/>
      <c r="H244" s="3629"/>
      <c r="I244" s="3629"/>
      <c r="J244" s="3629"/>
      <c r="K244" s="3629"/>
      <c r="L244" s="3629"/>
      <c r="M244" s="3629"/>
      <c r="N244" s="3629"/>
      <c r="O244" s="3629"/>
      <c r="P244" s="3629"/>
      <c r="Q244" s="3632"/>
      <c r="AA244" s="2093">
        <v>243</v>
      </c>
    </row>
    <row r="245" spans="1:27" ht="20.25" customHeight="1">
      <c r="A245" s="2548"/>
      <c r="B245" s="1576" t="s">
        <v>1447</v>
      </c>
      <c r="C245" s="1577"/>
      <c r="D245" s="2544"/>
      <c r="E245" s="2544"/>
      <c r="F245" s="2544"/>
      <c r="G245" s="2544"/>
      <c r="H245" s="2544"/>
      <c r="I245" s="2544"/>
      <c r="J245" s="2544"/>
      <c r="K245" s="2544"/>
      <c r="L245" s="2544"/>
      <c r="M245" s="2544"/>
      <c r="N245" s="2544"/>
      <c r="O245" s="2544"/>
      <c r="P245" s="2544"/>
      <c r="Q245" s="2544"/>
      <c r="AA245" s="2092">
        <v>244</v>
      </c>
    </row>
    <row r="246" spans="1:27" ht="20.25" customHeight="1">
      <c r="A246" s="3508"/>
      <c r="B246" s="3633"/>
      <c r="C246" s="3633"/>
      <c r="D246" s="3633"/>
      <c r="E246" s="3633"/>
      <c r="F246" s="3633"/>
      <c r="G246" s="3633"/>
      <c r="H246" s="3633"/>
      <c r="I246" s="3633"/>
      <c r="J246" s="3633"/>
      <c r="K246" s="3633"/>
      <c r="L246" s="3633"/>
      <c r="M246" s="3633"/>
      <c r="N246" s="3633"/>
      <c r="O246" s="3633"/>
      <c r="P246" s="3633"/>
      <c r="Q246" s="3634"/>
      <c r="AA246" s="2092">
        <v>245</v>
      </c>
    </row>
    <row r="247" spans="1:27" ht="11.1" customHeight="1">
      <c r="A247" s="1570"/>
      <c r="B247" s="1573"/>
      <c r="C247" s="2544"/>
      <c r="D247" s="2544"/>
      <c r="E247" s="2544"/>
      <c r="F247" s="2544"/>
      <c r="G247" s="2544"/>
      <c r="H247" s="2544"/>
      <c r="I247" s="2544"/>
      <c r="J247" s="2544"/>
      <c r="K247" s="2544"/>
      <c r="L247" s="2544"/>
      <c r="M247" s="2544"/>
      <c r="N247" s="2548"/>
      <c r="O247" s="2548"/>
      <c r="P247" s="2548"/>
      <c r="Q247" s="1570"/>
      <c r="AA247" s="2092">
        <v>246</v>
      </c>
    </row>
    <row r="248" spans="1:27" ht="11.1" customHeight="1">
      <c r="A248" s="1575"/>
      <c r="B248" s="1573"/>
      <c r="C248" s="2544"/>
      <c r="D248" s="2544"/>
      <c r="E248" s="2544"/>
      <c r="F248" s="2544"/>
      <c r="G248" s="2544"/>
      <c r="H248" s="2544"/>
      <c r="I248" s="2544"/>
      <c r="J248" s="2544"/>
      <c r="K248" s="2544"/>
      <c r="L248" s="2544"/>
      <c r="M248" s="2544"/>
      <c r="N248" s="2548"/>
      <c r="O248" s="2548"/>
      <c r="P248" s="2548"/>
      <c r="Q248" s="1570"/>
      <c r="AA248" s="2092">
        <v>247</v>
      </c>
    </row>
    <row r="249" spans="1:27" ht="20.25" customHeight="1">
      <c r="A249" s="2552" t="s">
        <v>1606</v>
      </c>
      <c r="B249" s="1571" t="s">
        <v>1607</v>
      </c>
      <c r="C249" s="1571"/>
      <c r="D249" s="1571"/>
      <c r="E249" s="2544"/>
      <c r="F249" s="2548"/>
      <c r="G249" s="2548" t="s">
        <v>1608</v>
      </c>
      <c r="H249" s="2544"/>
      <c r="I249" s="2544"/>
      <c r="J249" s="2544"/>
      <c r="K249" s="2544"/>
      <c r="L249" s="2544"/>
      <c r="M249" s="2544"/>
      <c r="N249" s="2548"/>
      <c r="O249" s="1574" t="s">
        <v>1444</v>
      </c>
      <c r="P249" s="3506"/>
      <c r="Q249" s="3543"/>
      <c r="AA249" s="2092">
        <v>248</v>
      </c>
    </row>
    <row r="250" spans="1:27" ht="15.6" customHeight="1">
      <c r="A250" s="1581"/>
      <c r="B250" s="2548" t="s">
        <v>1609</v>
      </c>
      <c r="C250" s="2548"/>
      <c r="D250" s="2549"/>
      <c r="E250" s="2549"/>
      <c r="F250" s="2548"/>
      <c r="G250" s="2548"/>
      <c r="H250" s="2548"/>
      <c r="I250" s="2548"/>
      <c r="J250" s="2548"/>
      <c r="K250" s="2548"/>
      <c r="L250" s="2548"/>
      <c r="M250" s="2548"/>
      <c r="N250" s="2548"/>
      <c r="O250" s="2554"/>
      <c r="P250" s="3566"/>
      <c r="Q250" s="3567"/>
      <c r="AA250" s="2092">
        <v>249</v>
      </c>
    </row>
    <row r="251" spans="1:27" ht="15.6" customHeight="1">
      <c r="A251" s="1581"/>
      <c r="B251" s="2548" t="s">
        <v>1610</v>
      </c>
      <c r="C251" s="2548"/>
      <c r="D251" s="2549"/>
      <c r="E251" s="2549"/>
      <c r="F251" s="2548"/>
      <c r="G251" s="2548"/>
      <c r="H251" s="2548"/>
      <c r="I251" s="2548"/>
      <c r="J251" s="2548"/>
      <c r="K251" s="2548"/>
      <c r="L251" s="2548"/>
      <c r="M251" s="2548"/>
      <c r="N251" s="2548"/>
      <c r="O251" s="2554"/>
      <c r="P251" s="3594"/>
      <c r="Q251" s="3628"/>
      <c r="AA251" s="2092">
        <v>250</v>
      </c>
    </row>
    <row r="252" spans="1:27" ht="15.6" customHeight="1">
      <c r="A252" s="1581"/>
      <c r="B252" s="2548" t="s">
        <v>450</v>
      </c>
      <c r="C252" s="2548"/>
      <c r="D252" s="3503" t="s">
        <v>1611</v>
      </c>
      <c r="E252" s="3629"/>
      <c r="F252" s="3629"/>
      <c r="G252" s="3629"/>
      <c r="H252" s="3629"/>
      <c r="I252" s="3629"/>
      <c r="J252" s="3629"/>
      <c r="K252" s="3629"/>
      <c r="L252" s="3629"/>
      <c r="M252" s="3629"/>
      <c r="N252" s="3629"/>
      <c r="O252" s="3629"/>
      <c r="P252" s="3630"/>
      <c r="Q252" s="3631"/>
      <c r="AA252" s="2092">
        <v>251</v>
      </c>
    </row>
    <row r="253" spans="1:27" ht="17.100000000000001" customHeight="1">
      <c r="A253" s="2548"/>
      <c r="B253" s="1587" t="s">
        <v>1450</v>
      </c>
      <c r="C253" s="2548"/>
      <c r="D253" s="1587"/>
      <c r="E253" s="1587"/>
      <c r="F253" s="1587"/>
      <c r="G253" s="1587"/>
      <c r="H253" s="2550"/>
      <c r="I253" s="1573"/>
      <c r="J253" s="1573"/>
      <c r="K253" s="1573"/>
      <c r="L253" s="1570"/>
      <c r="M253" s="1570"/>
      <c r="N253" s="1570"/>
      <c r="O253" s="1570"/>
      <c r="P253" s="1570"/>
      <c r="Q253" s="1570"/>
      <c r="AA253" s="2093">
        <v>252</v>
      </c>
    </row>
    <row r="254" spans="1:27" ht="20.25" customHeight="1">
      <c r="A254" s="3503" t="s">
        <v>1612</v>
      </c>
      <c r="B254" s="3629"/>
      <c r="C254" s="3629"/>
      <c r="D254" s="3629"/>
      <c r="E254" s="3629"/>
      <c r="F254" s="3629"/>
      <c r="G254" s="3629"/>
      <c r="H254" s="3629"/>
      <c r="I254" s="3629"/>
      <c r="J254" s="3629"/>
      <c r="K254" s="3629"/>
      <c r="L254" s="3629"/>
      <c r="M254" s="3629"/>
      <c r="N254" s="3629"/>
      <c r="O254" s="3629"/>
      <c r="P254" s="3629"/>
      <c r="Q254" s="3632"/>
      <c r="AA254" s="2092">
        <v>253</v>
      </c>
    </row>
    <row r="255" spans="1:27" ht="17.100000000000001" customHeight="1">
      <c r="A255" s="2548"/>
      <c r="B255" s="1576" t="s">
        <v>1447</v>
      </c>
      <c r="C255" s="1577"/>
      <c r="D255" s="2544"/>
      <c r="E255" s="2544"/>
      <c r="F255" s="2544"/>
      <c r="G255" s="2544"/>
      <c r="H255" s="2544"/>
      <c r="I255" s="2544"/>
      <c r="J255" s="2544"/>
      <c r="K255" s="2544"/>
      <c r="L255" s="2544"/>
      <c r="M255" s="2544"/>
      <c r="N255" s="2544"/>
      <c r="O255" s="2544"/>
      <c r="P255" s="2544"/>
      <c r="Q255" s="2544"/>
      <c r="AA255" s="2092">
        <v>254</v>
      </c>
    </row>
    <row r="256" spans="1:27" ht="20.25" customHeight="1">
      <c r="A256" s="3508"/>
      <c r="B256" s="3633"/>
      <c r="C256" s="3633"/>
      <c r="D256" s="3633"/>
      <c r="E256" s="3633"/>
      <c r="F256" s="3633"/>
      <c r="G256" s="3633"/>
      <c r="H256" s="3633"/>
      <c r="I256" s="3633"/>
      <c r="J256" s="3633"/>
      <c r="K256" s="3633"/>
      <c r="L256" s="3633"/>
      <c r="M256" s="3633"/>
      <c r="N256" s="3633"/>
      <c r="O256" s="3633"/>
      <c r="P256" s="3633"/>
      <c r="Q256" s="3634"/>
      <c r="AA256" s="2092">
        <v>255</v>
      </c>
    </row>
    <row r="257" spans="1:27" ht="11.1" customHeight="1">
      <c r="A257" s="1570"/>
      <c r="B257" s="1573"/>
      <c r="C257" s="2544"/>
      <c r="D257" s="2544"/>
      <c r="E257" s="2544"/>
      <c r="F257" s="2544"/>
      <c r="G257" s="2544"/>
      <c r="H257" s="2544"/>
      <c r="I257" s="2544"/>
      <c r="J257" s="2544"/>
      <c r="K257" s="2544"/>
      <c r="L257" s="2544"/>
      <c r="M257" s="2544"/>
      <c r="N257" s="2544"/>
      <c r="O257" s="2544"/>
      <c r="P257" s="2544"/>
      <c r="Q257" s="1570"/>
      <c r="AA257" s="2092">
        <v>256</v>
      </c>
    </row>
    <row r="258" spans="1:27" ht="11.1" customHeight="1">
      <c r="A258" s="1575"/>
      <c r="B258" s="1573"/>
      <c r="C258" s="2544"/>
      <c r="D258" s="2544"/>
      <c r="E258" s="2544"/>
      <c r="F258" s="2544"/>
      <c r="G258" s="2544"/>
      <c r="H258" s="2544"/>
      <c r="I258" s="2544"/>
      <c r="J258" s="2544"/>
      <c r="K258" s="2544"/>
      <c r="L258" s="2544"/>
      <c r="M258" s="2544"/>
      <c r="N258" s="2544"/>
      <c r="O258" s="2544"/>
      <c r="P258" s="2544"/>
      <c r="Q258" s="1570"/>
      <c r="AA258" s="2092">
        <v>257</v>
      </c>
    </row>
    <row r="259" spans="1:27" ht="20.25" customHeight="1">
      <c r="A259" s="2552" t="s">
        <v>1613</v>
      </c>
      <c r="B259" s="1571" t="s">
        <v>1614</v>
      </c>
      <c r="C259" s="1571"/>
      <c r="D259" s="1571"/>
      <c r="E259" s="1571"/>
      <c r="F259" s="1571"/>
      <c r="G259" s="1571"/>
      <c r="H259" s="2544"/>
      <c r="I259" s="2544"/>
      <c r="J259" s="2544"/>
      <c r="K259" s="2544"/>
      <c r="L259" s="2544"/>
      <c r="M259" s="2544"/>
      <c r="N259" s="2548"/>
      <c r="O259" s="1574" t="s">
        <v>1444</v>
      </c>
      <c r="P259" s="3506"/>
      <c r="Q259" s="3543"/>
      <c r="AA259" s="2092">
        <v>258</v>
      </c>
    </row>
    <row r="260" spans="1:27" ht="15.6" customHeight="1">
      <c r="A260" s="2548"/>
      <c r="B260" s="2548" t="s">
        <v>1615</v>
      </c>
      <c r="C260" s="2548"/>
      <c r="D260" s="2548"/>
      <c r="E260" s="2548"/>
      <c r="F260" s="2548"/>
      <c r="G260" s="2548"/>
      <c r="H260" s="2548"/>
      <c r="I260" s="2548"/>
      <c r="J260" s="2548"/>
      <c r="K260" s="2548"/>
      <c r="L260" s="2548"/>
      <c r="M260" s="2548"/>
      <c r="N260" s="2548"/>
      <c r="O260" s="2554"/>
      <c r="P260" s="3520"/>
      <c r="Q260" s="3521"/>
      <c r="AA260" s="2092">
        <v>259</v>
      </c>
    </row>
    <row r="261" spans="1:27" ht="15.6" customHeight="1">
      <c r="A261" s="1581"/>
      <c r="B261" s="3638" t="s">
        <v>1616</v>
      </c>
      <c r="C261" s="3638"/>
      <c r="D261" s="3638"/>
      <c r="E261" s="3638"/>
      <c r="F261" s="3638"/>
      <c r="G261" s="3638"/>
      <c r="H261" s="3638"/>
      <c r="I261" s="3638"/>
      <c r="J261" s="3638"/>
      <c r="K261" s="3638"/>
      <c r="L261" s="3638"/>
      <c r="M261" s="3638"/>
      <c r="N261" s="3638"/>
      <c r="O261" s="3638"/>
      <c r="P261" s="3566" t="s">
        <v>56</v>
      </c>
      <c r="Q261" s="3567"/>
      <c r="AA261" s="2092">
        <v>260</v>
      </c>
    </row>
    <row r="262" spans="1:27" ht="15.6" customHeight="1">
      <c r="A262" s="2548"/>
      <c r="B262" s="3638" t="s">
        <v>1617</v>
      </c>
      <c r="C262" s="3638"/>
      <c r="D262" s="3638"/>
      <c r="E262" s="3638"/>
      <c r="F262" s="3638"/>
      <c r="G262" s="3638"/>
      <c r="H262" s="3638"/>
      <c r="I262" s="3638"/>
      <c r="J262" s="3638"/>
      <c r="K262" s="3638"/>
      <c r="L262" s="3638"/>
      <c r="M262" s="3638"/>
      <c r="N262" s="3638"/>
      <c r="O262" s="3638"/>
      <c r="P262" s="3594"/>
      <c r="Q262" s="3628"/>
      <c r="AA262" s="2093">
        <v>261</v>
      </c>
    </row>
    <row r="263" spans="1:27" ht="27.95" customHeight="1">
      <c r="A263" s="1581"/>
      <c r="B263" s="3639" t="s">
        <v>1618</v>
      </c>
      <c r="C263" s="3639"/>
      <c r="D263" s="3639"/>
      <c r="E263" s="3639"/>
      <c r="F263" s="3639"/>
      <c r="G263" s="3639"/>
      <c r="H263" s="3639"/>
      <c r="I263" s="3639"/>
      <c r="J263" s="3639"/>
      <c r="K263" s="3639"/>
      <c r="L263" s="3639"/>
      <c r="M263" s="3639"/>
      <c r="N263" s="3639"/>
      <c r="O263" s="3639"/>
      <c r="P263" s="3596"/>
      <c r="Q263" s="3602"/>
      <c r="AA263" s="2092">
        <v>262</v>
      </c>
    </row>
    <row r="264" spans="1:27" ht="17.100000000000001" customHeight="1">
      <c r="A264" s="2548"/>
      <c r="B264" s="1587" t="s">
        <v>1450</v>
      </c>
      <c r="C264" s="2548"/>
      <c r="D264" s="1587"/>
      <c r="E264" s="1587"/>
      <c r="F264" s="1587"/>
      <c r="G264" s="1587"/>
      <c r="H264" s="2550"/>
      <c r="I264" s="1573"/>
      <c r="J264" s="1573"/>
      <c r="K264" s="1573"/>
      <c r="L264" s="2548"/>
      <c r="M264" s="2548"/>
      <c r="N264" s="2548"/>
      <c r="O264" s="2548"/>
      <c r="P264" s="2548"/>
      <c r="Q264" s="2548"/>
      <c r="AA264" s="2092">
        <v>263</v>
      </c>
    </row>
    <row r="265" spans="1:27" ht="20.25" customHeight="1">
      <c r="A265" s="3503" t="s">
        <v>1619</v>
      </c>
      <c r="B265" s="3629"/>
      <c r="C265" s="3629"/>
      <c r="D265" s="3629"/>
      <c r="E265" s="3629"/>
      <c r="F265" s="3629"/>
      <c r="G265" s="3629"/>
      <c r="H265" s="3629"/>
      <c r="I265" s="3629"/>
      <c r="J265" s="3629"/>
      <c r="K265" s="3629"/>
      <c r="L265" s="3629"/>
      <c r="M265" s="3629"/>
      <c r="N265" s="3629"/>
      <c r="O265" s="3629"/>
      <c r="P265" s="3629"/>
      <c r="Q265" s="3632"/>
      <c r="AA265" s="2092">
        <v>264</v>
      </c>
    </row>
    <row r="266" spans="1:27" ht="17.100000000000001" customHeight="1">
      <c r="A266" s="2548"/>
      <c r="B266" s="1576" t="s">
        <v>1447</v>
      </c>
      <c r="C266" s="1577"/>
      <c r="D266" s="2544"/>
      <c r="E266" s="2544"/>
      <c r="F266" s="2544"/>
      <c r="G266" s="2544"/>
      <c r="H266" s="2544"/>
      <c r="I266" s="2544"/>
      <c r="J266" s="2544"/>
      <c r="K266" s="2544"/>
      <c r="L266" s="2544"/>
      <c r="M266" s="2544"/>
      <c r="N266" s="2544"/>
      <c r="O266" s="2544"/>
      <c r="P266" s="2544"/>
      <c r="Q266" s="2544"/>
      <c r="AA266" s="2092">
        <v>265</v>
      </c>
    </row>
    <row r="267" spans="1:27" ht="20.25" customHeight="1">
      <c r="A267" s="3508"/>
      <c r="B267" s="3633"/>
      <c r="C267" s="3633"/>
      <c r="D267" s="3633"/>
      <c r="E267" s="3633"/>
      <c r="F267" s="3633"/>
      <c r="G267" s="3633"/>
      <c r="H267" s="3633"/>
      <c r="I267" s="3633"/>
      <c r="J267" s="3633"/>
      <c r="K267" s="3633"/>
      <c r="L267" s="3633"/>
      <c r="M267" s="3633"/>
      <c r="N267" s="3633"/>
      <c r="O267" s="3633"/>
      <c r="P267" s="3633"/>
      <c r="Q267" s="3634"/>
      <c r="AA267" s="2092">
        <v>266</v>
      </c>
    </row>
    <row r="268" spans="1:27" ht="11.1" customHeight="1">
      <c r="A268" s="1570"/>
      <c r="B268" s="1573"/>
      <c r="C268" s="2544"/>
      <c r="D268" s="2544"/>
      <c r="E268" s="2544"/>
      <c r="F268" s="2544"/>
      <c r="G268" s="2544"/>
      <c r="H268" s="2544"/>
      <c r="I268" s="2544"/>
      <c r="J268" s="2544"/>
      <c r="K268" s="2544"/>
      <c r="L268" s="2544"/>
      <c r="M268" s="2544"/>
      <c r="N268" s="2548"/>
      <c r="O268" s="2548"/>
      <c r="P268" s="2548"/>
      <c r="Q268" s="1570"/>
      <c r="AA268" s="2092">
        <v>267</v>
      </c>
    </row>
    <row r="269" spans="1:27" ht="11.1" customHeight="1">
      <c r="A269" s="1575"/>
      <c r="B269" s="1573"/>
      <c r="C269" s="2544"/>
      <c r="D269" s="2544"/>
      <c r="E269" s="2544"/>
      <c r="F269" s="2544"/>
      <c r="G269" s="2544"/>
      <c r="H269" s="2544"/>
      <c r="I269" s="2544"/>
      <c r="J269" s="2544"/>
      <c r="K269" s="2544"/>
      <c r="L269" s="2544"/>
      <c r="M269" s="2544"/>
      <c r="N269" s="2548"/>
      <c r="O269" s="2548"/>
      <c r="P269" s="2548"/>
      <c r="Q269" s="1570"/>
      <c r="AA269" s="2092">
        <v>268</v>
      </c>
    </row>
    <row r="270" spans="1:27" ht="20.25" customHeight="1">
      <c r="A270" s="2552" t="s">
        <v>1620</v>
      </c>
      <c r="B270" s="1571" t="s">
        <v>1621</v>
      </c>
      <c r="C270" s="1571"/>
      <c r="D270" s="1571"/>
      <c r="E270" s="2544"/>
      <c r="F270" s="2544"/>
      <c r="G270" s="2544"/>
      <c r="H270" s="2544"/>
      <c r="I270" s="2548"/>
      <c r="J270" s="2548"/>
      <c r="K270" s="2548"/>
      <c r="L270" s="2548"/>
      <c r="M270" s="2548"/>
      <c r="N270" s="2548"/>
      <c r="O270" s="1574" t="s">
        <v>1444</v>
      </c>
      <c r="P270" s="3510"/>
      <c r="Q270" s="3510"/>
      <c r="AA270" s="2092">
        <v>269</v>
      </c>
    </row>
    <row r="271" spans="1:27" ht="28.5" customHeight="1">
      <c r="A271" s="1575"/>
      <c r="B271" s="3511" t="s">
        <v>1622</v>
      </c>
      <c r="C271" s="3511"/>
      <c r="D271" s="3511"/>
      <c r="E271" s="3511"/>
      <c r="F271" s="3511"/>
      <c r="G271" s="3511"/>
      <c r="H271" s="3511"/>
      <c r="I271" s="3511"/>
      <c r="J271" s="3511"/>
      <c r="K271" s="3511"/>
      <c r="L271" s="3511"/>
      <c r="M271" s="3511"/>
      <c r="N271" s="3511"/>
      <c r="O271" s="1623"/>
      <c r="P271" s="3520" t="s">
        <v>1543</v>
      </c>
      <c r="Q271" s="3521"/>
      <c r="AA271" s="2093">
        <v>270</v>
      </c>
    </row>
    <row r="272" spans="1:27" ht="44.45" customHeight="1">
      <c r="A272" s="1596"/>
      <c r="B272" s="3587" t="s">
        <v>1623</v>
      </c>
      <c r="C272" s="3587"/>
      <c r="D272" s="3587"/>
      <c r="E272" s="3587"/>
      <c r="F272" s="3587"/>
      <c r="G272" s="3587"/>
      <c r="H272" s="3587"/>
      <c r="I272" s="3587"/>
      <c r="J272" s="3587"/>
      <c r="K272" s="3587"/>
      <c r="L272" s="3587"/>
      <c r="M272" s="3587"/>
      <c r="N272" s="3587"/>
      <c r="O272" s="3588"/>
      <c r="P272" s="3591" t="s">
        <v>1543</v>
      </c>
      <c r="Q272" s="3591"/>
      <c r="AA272" s="2092">
        <v>271</v>
      </c>
    </row>
    <row r="273" spans="1:27" ht="17.100000000000001" customHeight="1">
      <c r="A273" s="2548"/>
      <c r="B273" s="1587" t="s">
        <v>1450</v>
      </c>
      <c r="C273" s="2548"/>
      <c r="D273" s="1587"/>
      <c r="E273" s="1587"/>
      <c r="F273" s="1587"/>
      <c r="G273" s="1587"/>
      <c r="H273" s="2550"/>
      <c r="I273" s="1573"/>
      <c r="J273" s="1573"/>
      <c r="K273" s="1573"/>
      <c r="L273" s="1570"/>
      <c r="M273" s="1570"/>
      <c r="N273" s="1570"/>
      <c r="O273" s="1570"/>
      <c r="P273" s="1570"/>
      <c r="Q273" s="1570"/>
      <c r="AA273" s="2092">
        <v>272</v>
      </c>
    </row>
    <row r="274" spans="1:27" ht="28.5" customHeight="1">
      <c r="A274" s="3503" t="s">
        <v>1624</v>
      </c>
      <c r="B274" s="3629"/>
      <c r="C274" s="3629"/>
      <c r="D274" s="3629"/>
      <c r="E274" s="3629"/>
      <c r="F274" s="3629"/>
      <c r="G274" s="3629"/>
      <c r="H274" s="3629"/>
      <c r="I274" s="3629"/>
      <c r="J274" s="3629"/>
      <c r="K274" s="3629"/>
      <c r="L274" s="3629"/>
      <c r="M274" s="3629"/>
      <c r="N274" s="3629"/>
      <c r="O274" s="3629"/>
      <c r="P274" s="3629"/>
      <c r="Q274" s="3632"/>
      <c r="AA274" s="2092">
        <v>273</v>
      </c>
    </row>
    <row r="275" spans="1:27" ht="17.100000000000001" customHeight="1">
      <c r="A275" s="2548"/>
      <c r="B275" s="1576" t="s">
        <v>1447</v>
      </c>
      <c r="C275" s="1577"/>
      <c r="D275" s="2544"/>
      <c r="E275" s="2544"/>
      <c r="F275" s="2544"/>
      <c r="G275" s="2544"/>
      <c r="H275" s="2544"/>
      <c r="I275" s="2544"/>
      <c r="J275" s="2544"/>
      <c r="K275" s="2544"/>
      <c r="L275" s="2544"/>
      <c r="M275" s="2544"/>
      <c r="N275" s="2544"/>
      <c r="O275" s="2544"/>
      <c r="P275" s="2544"/>
      <c r="Q275" s="2544"/>
      <c r="AA275" s="2092">
        <v>274</v>
      </c>
    </row>
    <row r="276" spans="1:27" ht="20.25" customHeight="1">
      <c r="A276" s="3508"/>
      <c r="B276" s="3633"/>
      <c r="C276" s="3633"/>
      <c r="D276" s="3633"/>
      <c r="E276" s="3633"/>
      <c r="F276" s="3633"/>
      <c r="G276" s="3633"/>
      <c r="H276" s="3633"/>
      <c r="I276" s="3633"/>
      <c r="J276" s="3633"/>
      <c r="K276" s="3633"/>
      <c r="L276" s="3633"/>
      <c r="M276" s="3633"/>
      <c r="N276" s="3633"/>
      <c r="O276" s="3633"/>
      <c r="P276" s="3633"/>
      <c r="Q276" s="3634"/>
      <c r="AA276" s="2092">
        <v>275</v>
      </c>
    </row>
    <row r="277" spans="1:27" ht="11.45" customHeight="1">
      <c r="A277" s="1570"/>
      <c r="B277" s="1573"/>
      <c r="C277" s="2544"/>
      <c r="D277" s="2544"/>
      <c r="E277" s="2544"/>
      <c r="F277" s="2544"/>
      <c r="G277" s="2544"/>
      <c r="H277" s="2544"/>
      <c r="I277" s="2544"/>
      <c r="J277" s="2544"/>
      <c r="K277" s="2544"/>
      <c r="L277" s="2544"/>
      <c r="M277" s="2544"/>
      <c r="N277" s="2548"/>
      <c r="O277" s="2548"/>
      <c r="P277" s="2548"/>
      <c r="Q277" s="1570"/>
      <c r="AA277" s="2092">
        <v>276</v>
      </c>
    </row>
    <row r="278" spans="1:27" ht="11.45" customHeight="1">
      <c r="A278" s="1570"/>
      <c r="B278" s="1573"/>
      <c r="C278" s="2544"/>
      <c r="D278" s="2544"/>
      <c r="E278" s="2544"/>
      <c r="F278" s="2544"/>
      <c r="G278" s="2544"/>
      <c r="H278" s="2544"/>
      <c r="I278" s="2544"/>
      <c r="J278" s="2544"/>
      <c r="K278" s="2544"/>
      <c r="L278" s="2544"/>
      <c r="M278" s="2544"/>
      <c r="N278" s="2548"/>
      <c r="O278" s="2548"/>
      <c r="P278" s="2548"/>
      <c r="Q278" s="1570"/>
      <c r="AA278" s="2092">
        <v>277</v>
      </c>
    </row>
    <row r="279" spans="1:27" ht="14.25" customHeight="1">
      <c r="A279" s="2552" t="s">
        <v>1625</v>
      </c>
      <c r="B279" s="2552" t="s">
        <v>1626</v>
      </c>
      <c r="C279" s="2544"/>
      <c r="D279" s="2544"/>
      <c r="E279" s="2544"/>
      <c r="F279" s="2544"/>
      <c r="G279" s="2544"/>
      <c r="H279" s="2544"/>
      <c r="I279" s="2544"/>
      <c r="J279" s="2544"/>
      <c r="K279" s="2544"/>
      <c r="L279" s="2544"/>
      <c r="M279" s="2544"/>
      <c r="N279" s="2548"/>
      <c r="O279" s="1574" t="s">
        <v>1444</v>
      </c>
      <c r="P279" s="3510"/>
      <c r="Q279" s="3510"/>
      <c r="AA279" s="2092">
        <v>278</v>
      </c>
    </row>
    <row r="280" spans="1:27" ht="14.25" customHeight="1">
      <c r="A280" s="1708" t="s">
        <v>197</v>
      </c>
      <c r="B280" s="2552" t="s">
        <v>1627</v>
      </c>
      <c r="C280" s="2552"/>
      <c r="D280" s="2550"/>
      <c r="E280" s="2544"/>
      <c r="F280" s="2544"/>
      <c r="G280" s="2544"/>
      <c r="H280" s="2544"/>
      <c r="I280" s="2544"/>
      <c r="J280" s="2544"/>
      <c r="K280" s="2544"/>
      <c r="L280" s="2544"/>
      <c r="M280" s="2544"/>
      <c r="N280" s="2548"/>
      <c r="O280" s="2548"/>
      <c r="P280" s="2548"/>
      <c r="Q280" s="1570"/>
      <c r="AA280" s="2093">
        <v>279</v>
      </c>
    </row>
    <row r="281" spans="1:27" ht="30" customHeight="1">
      <c r="A281" s="2550"/>
      <c r="B281" s="3587" t="s">
        <v>1628</v>
      </c>
      <c r="C281" s="3587"/>
      <c r="D281" s="3587"/>
      <c r="E281" s="3587"/>
      <c r="F281" s="3587"/>
      <c r="G281" s="3587"/>
      <c r="H281" s="3587"/>
      <c r="I281" s="3587"/>
      <c r="J281" s="3587"/>
      <c r="K281" s="3587"/>
      <c r="L281" s="3587"/>
      <c r="M281" s="3587"/>
      <c r="N281" s="3587"/>
      <c r="O281" s="3588"/>
      <c r="P281" s="3640" t="s">
        <v>1543</v>
      </c>
      <c r="Q281" s="3641"/>
      <c r="AA281" s="2092">
        <v>280</v>
      </c>
    </row>
    <row r="282" spans="1:27" ht="14.25" customHeight="1">
      <c r="A282" s="1708" t="s">
        <v>209</v>
      </c>
      <c r="B282" s="2552" t="s">
        <v>1629</v>
      </c>
      <c r="C282" s="1575"/>
      <c r="D282" s="2550"/>
      <c r="E282" s="2544"/>
      <c r="F282" s="2544"/>
      <c r="G282" s="2544"/>
      <c r="H282" s="2544"/>
      <c r="I282" s="2544"/>
      <c r="J282" s="2544"/>
      <c r="K282" s="2544"/>
      <c r="L282" s="2544"/>
      <c r="M282" s="2544"/>
      <c r="N282" s="2548"/>
      <c r="O282" s="2548"/>
      <c r="P282" s="2548"/>
      <c r="Q282" s="1570"/>
      <c r="AA282" s="2092">
        <v>281</v>
      </c>
    </row>
    <row r="283" spans="1:27" ht="29.25" customHeight="1">
      <c r="A283" s="2550"/>
      <c r="B283" s="3587" t="s">
        <v>1630</v>
      </c>
      <c r="C283" s="3587"/>
      <c r="D283" s="3587"/>
      <c r="E283" s="3587"/>
      <c r="F283" s="3587"/>
      <c r="G283" s="3587"/>
      <c r="H283" s="3587"/>
      <c r="I283" s="3587"/>
      <c r="J283" s="3587"/>
      <c r="K283" s="3587"/>
      <c r="L283" s="3587"/>
      <c r="M283" s="3587"/>
      <c r="N283" s="3587"/>
      <c r="O283" s="3588"/>
      <c r="P283" s="3640" t="s">
        <v>1543</v>
      </c>
      <c r="Q283" s="3641"/>
      <c r="AA283" s="2092">
        <v>282</v>
      </c>
    </row>
    <row r="284" spans="1:27" ht="20.25" customHeight="1">
      <c r="A284" s="2552"/>
      <c r="B284" s="1587" t="s">
        <v>1450</v>
      </c>
      <c r="C284" s="2548"/>
      <c r="D284" s="1587"/>
      <c r="E284" s="1587"/>
      <c r="F284" s="1587"/>
      <c r="G284" s="1587"/>
      <c r="H284" s="2550"/>
      <c r="I284" s="1573"/>
      <c r="J284" s="1573"/>
      <c r="K284" s="1573"/>
      <c r="L284" s="1570"/>
      <c r="M284" s="1570"/>
      <c r="N284" s="1570"/>
      <c r="O284" s="1570"/>
      <c r="P284" s="1570"/>
      <c r="Q284" s="1570"/>
      <c r="AA284" s="2092">
        <v>283</v>
      </c>
    </row>
    <row r="285" spans="1:27" ht="20.25" customHeight="1">
      <c r="A285" s="3503" t="s">
        <v>1631</v>
      </c>
      <c r="B285" s="3629"/>
      <c r="C285" s="3629"/>
      <c r="D285" s="3629"/>
      <c r="E285" s="3629"/>
      <c r="F285" s="3629"/>
      <c r="G285" s="3629"/>
      <c r="H285" s="3629"/>
      <c r="I285" s="3629"/>
      <c r="J285" s="3629"/>
      <c r="K285" s="3629"/>
      <c r="L285" s="3629"/>
      <c r="M285" s="3629"/>
      <c r="N285" s="3629"/>
      <c r="O285" s="3629"/>
      <c r="P285" s="3629"/>
      <c r="Q285" s="3632"/>
      <c r="AA285" s="2092">
        <v>284</v>
      </c>
    </row>
    <row r="286" spans="1:27" ht="20.25" customHeight="1">
      <c r="A286" s="2548"/>
      <c r="B286" s="1576" t="s">
        <v>1447</v>
      </c>
      <c r="C286" s="1577"/>
      <c r="D286" s="2544"/>
      <c r="E286" s="2544"/>
      <c r="F286" s="2544"/>
      <c r="G286" s="2544"/>
      <c r="H286" s="2544"/>
      <c r="I286" s="2544"/>
      <c r="J286" s="2544"/>
      <c r="K286" s="2544"/>
      <c r="L286" s="2544"/>
      <c r="M286" s="2544"/>
      <c r="N286" s="2544"/>
      <c r="O286" s="2544"/>
      <c r="P286" s="2544"/>
      <c r="Q286" s="2544"/>
      <c r="AA286" s="2092">
        <v>285</v>
      </c>
    </row>
    <row r="287" spans="1:27" ht="20.25" customHeight="1">
      <c r="A287" s="3508"/>
      <c r="B287" s="3633"/>
      <c r="C287" s="3633"/>
      <c r="D287" s="3633"/>
      <c r="E287" s="3633"/>
      <c r="F287" s="3633"/>
      <c r="G287" s="3633"/>
      <c r="H287" s="3633"/>
      <c r="I287" s="3633"/>
      <c r="J287" s="3633"/>
      <c r="K287" s="3633"/>
      <c r="L287" s="3633"/>
      <c r="M287" s="3633"/>
      <c r="N287" s="3633"/>
      <c r="O287" s="3633"/>
      <c r="P287" s="3633"/>
      <c r="Q287" s="3634"/>
      <c r="AA287" s="2092">
        <v>286</v>
      </c>
    </row>
    <row r="288" spans="1:27" ht="14.25" customHeight="1">
      <c r="A288" s="2552"/>
      <c r="B288" s="1573"/>
      <c r="C288" s="2544"/>
      <c r="D288" s="2544"/>
      <c r="E288" s="2544"/>
      <c r="F288" s="2544"/>
      <c r="G288" s="2544"/>
      <c r="H288" s="2544"/>
      <c r="I288" s="2544"/>
      <c r="J288" s="2544"/>
      <c r="K288" s="2544"/>
      <c r="L288" s="2544"/>
      <c r="M288" s="2544"/>
      <c r="N288" s="2548"/>
      <c r="O288" s="2548"/>
      <c r="P288" s="2548"/>
      <c r="Q288" s="1570"/>
      <c r="AA288" s="2092">
        <v>287</v>
      </c>
    </row>
    <row r="289" spans="1:27" ht="14.25" customHeight="1">
      <c r="A289" s="2552"/>
      <c r="B289" s="1573"/>
      <c r="C289" s="2544"/>
      <c r="D289" s="2544"/>
      <c r="E289" s="2544"/>
      <c r="F289" s="2544"/>
      <c r="G289" s="2544"/>
      <c r="H289" s="2544"/>
      <c r="I289" s="2544"/>
      <c r="J289" s="2544"/>
      <c r="K289" s="2544"/>
      <c r="L289" s="2544"/>
      <c r="M289" s="2544"/>
      <c r="N289" s="2548"/>
      <c r="O289" s="2548"/>
      <c r="P289" s="2548"/>
      <c r="Q289" s="1570"/>
      <c r="AA289" s="2093">
        <v>288</v>
      </c>
    </row>
    <row r="290" spans="1:27" ht="14.25" customHeight="1">
      <c r="A290" s="2552" t="s">
        <v>1632</v>
      </c>
      <c r="B290" s="2552" t="s">
        <v>1633</v>
      </c>
      <c r="C290" s="2544"/>
      <c r="D290" s="2544"/>
      <c r="E290" s="2544"/>
      <c r="F290" s="2544"/>
      <c r="G290" s="2544"/>
      <c r="H290" s="2544"/>
      <c r="I290" s="2544"/>
      <c r="J290" s="2544"/>
      <c r="K290" s="2544"/>
      <c r="L290" s="2544"/>
      <c r="M290" s="2544"/>
      <c r="N290" s="2548"/>
      <c r="O290" s="1574" t="s">
        <v>1444</v>
      </c>
      <c r="P290" s="3510"/>
      <c r="Q290" s="3510"/>
      <c r="AA290" s="2092">
        <v>289</v>
      </c>
    </row>
    <row r="291" spans="1:27" ht="30.75" customHeight="1">
      <c r="A291" s="2552"/>
      <c r="B291" s="3511" t="s">
        <v>1634</v>
      </c>
      <c r="C291" s="3511"/>
      <c r="D291" s="3511"/>
      <c r="E291" s="3511"/>
      <c r="F291" s="3511"/>
      <c r="G291" s="3511"/>
      <c r="H291" s="3511"/>
      <c r="I291" s="3511"/>
      <c r="J291" s="3511"/>
      <c r="K291" s="3511"/>
      <c r="L291" s="3511"/>
      <c r="M291" s="3511"/>
      <c r="N291" s="3511"/>
      <c r="O291" s="3512"/>
      <c r="P291" s="3591" t="s">
        <v>362</v>
      </c>
      <c r="Q291" s="3591"/>
      <c r="AA291" s="2092">
        <v>290</v>
      </c>
    </row>
    <row r="292" spans="1:27" ht="20.25" customHeight="1">
      <c r="A292" s="2552"/>
      <c r="B292" s="1587" t="s">
        <v>1450</v>
      </c>
      <c r="C292" s="2548"/>
      <c r="D292" s="1587"/>
      <c r="E292" s="1587"/>
      <c r="F292" s="1587"/>
      <c r="G292" s="1587"/>
      <c r="H292" s="2550"/>
      <c r="I292" s="1573"/>
      <c r="J292" s="1573"/>
      <c r="K292" s="1573"/>
      <c r="L292" s="1570"/>
      <c r="M292" s="1570"/>
      <c r="N292" s="1570"/>
      <c r="O292" s="1570"/>
      <c r="P292" s="1570"/>
      <c r="Q292" s="1570"/>
      <c r="AA292" s="2092">
        <v>291</v>
      </c>
    </row>
    <row r="293" spans="1:27" ht="33.75" customHeight="1">
      <c r="A293" s="3503" t="s">
        <v>1635</v>
      </c>
      <c r="B293" s="3629"/>
      <c r="C293" s="3629"/>
      <c r="D293" s="3629"/>
      <c r="E293" s="3629"/>
      <c r="F293" s="3629"/>
      <c r="G293" s="3629"/>
      <c r="H293" s="3629"/>
      <c r="I293" s="3629"/>
      <c r="J293" s="3629"/>
      <c r="K293" s="3629"/>
      <c r="L293" s="3629"/>
      <c r="M293" s="3629"/>
      <c r="N293" s="3629"/>
      <c r="O293" s="3629"/>
      <c r="P293" s="3629"/>
      <c r="Q293" s="3632"/>
      <c r="AA293" s="2092">
        <v>292</v>
      </c>
    </row>
    <row r="294" spans="1:27" ht="20.25" customHeight="1">
      <c r="A294" s="2548"/>
      <c r="B294" s="1576" t="s">
        <v>1447</v>
      </c>
      <c r="C294" s="1577"/>
      <c r="D294" s="2544"/>
      <c r="E294" s="2544"/>
      <c r="F294" s="2544"/>
      <c r="G294" s="2544"/>
      <c r="H294" s="2544"/>
      <c r="I294" s="2544"/>
      <c r="J294" s="2544"/>
      <c r="K294" s="2544"/>
      <c r="L294" s="2544"/>
      <c r="M294" s="2544"/>
      <c r="N294" s="2544"/>
      <c r="O294" s="2544"/>
      <c r="P294" s="2544"/>
      <c r="Q294" s="2544"/>
      <c r="AA294" s="2092">
        <v>293</v>
      </c>
    </row>
    <row r="295" spans="1:27" ht="20.25" customHeight="1">
      <c r="A295" s="3508"/>
      <c r="B295" s="3633"/>
      <c r="C295" s="3633"/>
      <c r="D295" s="3633"/>
      <c r="E295" s="3633"/>
      <c r="F295" s="3633"/>
      <c r="G295" s="3633"/>
      <c r="H295" s="3633"/>
      <c r="I295" s="3633"/>
      <c r="J295" s="3633"/>
      <c r="K295" s="3633"/>
      <c r="L295" s="3633"/>
      <c r="M295" s="3633"/>
      <c r="N295" s="3633"/>
      <c r="O295" s="3633"/>
      <c r="P295" s="3633"/>
      <c r="Q295" s="3634"/>
      <c r="AA295" s="2092">
        <v>294</v>
      </c>
    </row>
    <row r="296" spans="1:27" ht="14.25" customHeight="1">
      <c r="A296" s="2552"/>
      <c r="B296" s="1573"/>
      <c r="C296" s="2544"/>
      <c r="D296" s="2544"/>
      <c r="E296" s="2544"/>
      <c r="F296" s="2544"/>
      <c r="G296" s="2544"/>
      <c r="H296" s="2544"/>
      <c r="I296" s="2544"/>
      <c r="J296" s="2544"/>
      <c r="K296" s="2544"/>
      <c r="L296" s="2544"/>
      <c r="M296" s="2544"/>
      <c r="N296" s="2548"/>
      <c r="O296" s="2548"/>
      <c r="P296" s="2548"/>
      <c r="Q296" s="1570"/>
      <c r="AA296" s="2092">
        <v>295</v>
      </c>
    </row>
    <row r="297" spans="1:27" ht="14.25" customHeight="1">
      <c r="A297" s="2552"/>
      <c r="B297" s="1573"/>
      <c r="C297" s="2544"/>
      <c r="D297" s="2544"/>
      <c r="E297" s="2544"/>
      <c r="F297" s="2544"/>
      <c r="G297" s="2544"/>
      <c r="H297" s="2544"/>
      <c r="I297" s="2544"/>
      <c r="J297" s="2544"/>
      <c r="K297" s="2544"/>
      <c r="L297" s="2544"/>
      <c r="M297" s="2544"/>
      <c r="N297" s="2548"/>
      <c r="O297" s="2548"/>
      <c r="P297" s="2548"/>
      <c r="Q297" s="1570"/>
      <c r="AA297" s="2092">
        <v>296</v>
      </c>
    </row>
    <row r="298" spans="1:27" ht="20.25" customHeight="1">
      <c r="A298" s="2552" t="s">
        <v>1636</v>
      </c>
      <c r="B298" s="1571" t="s">
        <v>1637</v>
      </c>
      <c r="C298" s="1575"/>
      <c r="D298" s="1571"/>
      <c r="E298" s="2544"/>
      <c r="F298" s="2544"/>
      <c r="G298" s="2544"/>
      <c r="H298" s="2544"/>
      <c r="I298" s="2548"/>
      <c r="J298" s="2544"/>
      <c r="K298" s="2544"/>
      <c r="L298" s="2544"/>
      <c r="M298" s="2544"/>
      <c r="N298" s="2548"/>
      <c r="O298" s="1574" t="s">
        <v>1444</v>
      </c>
      <c r="P298" s="3506"/>
      <c r="Q298" s="3543"/>
      <c r="S298" s="1575"/>
      <c r="T298" s="1575"/>
      <c r="AA298" s="2093">
        <v>297</v>
      </c>
    </row>
    <row r="299" spans="1:27" ht="15">
      <c r="A299" s="2552"/>
      <c r="B299" s="3511" t="s">
        <v>1638</v>
      </c>
      <c r="C299" s="3511"/>
      <c r="D299" s="3511"/>
      <c r="E299" s="3511"/>
      <c r="F299" s="3511"/>
      <c r="G299" s="3511"/>
      <c r="H299" s="3511"/>
      <c r="I299" s="3511"/>
      <c r="J299" s="3511"/>
      <c r="K299" s="3511"/>
      <c r="L299" s="3511"/>
      <c r="M299" s="3511"/>
      <c r="N299" s="3511"/>
      <c r="O299" s="3512"/>
      <c r="P299" s="3591" t="s">
        <v>362</v>
      </c>
      <c r="Q299" s="3591"/>
      <c r="AA299" s="2092">
        <v>298</v>
      </c>
    </row>
    <row r="300" spans="1:27" ht="42.75" customHeight="1">
      <c r="A300" s="2552"/>
      <c r="B300" s="3587" t="s">
        <v>1639</v>
      </c>
      <c r="C300" s="3587"/>
      <c r="D300" s="3587"/>
      <c r="E300" s="3587"/>
      <c r="F300" s="3587"/>
      <c r="G300" s="3587"/>
      <c r="H300" s="3587"/>
      <c r="I300" s="3587"/>
      <c r="J300" s="3587"/>
      <c r="K300" s="3587"/>
      <c r="L300" s="3587"/>
      <c r="M300" s="3587"/>
      <c r="N300" s="3587"/>
      <c r="O300" s="3588"/>
      <c r="P300" s="3642" t="s">
        <v>362</v>
      </c>
      <c r="Q300" s="3642"/>
      <c r="AA300" s="2092">
        <v>299</v>
      </c>
    </row>
    <row r="301" spans="1:27" ht="20.25" customHeight="1">
      <c r="A301" s="2552"/>
      <c r="B301" s="1587" t="s">
        <v>1450</v>
      </c>
      <c r="C301" s="2548"/>
      <c r="D301" s="1587"/>
      <c r="E301" s="1587"/>
      <c r="F301" s="1587"/>
      <c r="G301" s="1587"/>
      <c r="H301" s="2550"/>
      <c r="I301" s="1573"/>
      <c r="J301" s="1573"/>
      <c r="K301" s="1573"/>
      <c r="L301" s="1570"/>
      <c r="M301" s="1570"/>
      <c r="N301" s="1570"/>
      <c r="O301" s="1570"/>
      <c r="P301" s="1570"/>
      <c r="Q301" s="1570"/>
      <c r="AA301" s="2092">
        <v>300</v>
      </c>
    </row>
    <row r="302" spans="1:27" ht="20.25" customHeight="1">
      <c r="A302" s="3503" t="s">
        <v>1640</v>
      </c>
      <c r="B302" s="3629"/>
      <c r="C302" s="3629"/>
      <c r="D302" s="3629"/>
      <c r="E302" s="3629"/>
      <c r="F302" s="3629"/>
      <c r="G302" s="3629"/>
      <c r="H302" s="3629"/>
      <c r="I302" s="3629"/>
      <c r="J302" s="3629"/>
      <c r="K302" s="3629"/>
      <c r="L302" s="3629"/>
      <c r="M302" s="3629"/>
      <c r="N302" s="3629"/>
      <c r="O302" s="3629"/>
      <c r="P302" s="3629"/>
      <c r="Q302" s="3632"/>
      <c r="AA302" s="2092">
        <v>301</v>
      </c>
    </row>
    <row r="303" spans="1:27" ht="20.25" customHeight="1">
      <c r="A303" s="2548"/>
      <c r="B303" s="1576" t="s">
        <v>1447</v>
      </c>
      <c r="C303" s="1577"/>
      <c r="D303" s="2544"/>
      <c r="E303" s="2544"/>
      <c r="F303" s="2544"/>
      <c r="G303" s="2544"/>
      <c r="H303" s="2544"/>
      <c r="I303" s="2544"/>
      <c r="J303" s="2544"/>
      <c r="K303" s="2544"/>
      <c r="L303" s="2544"/>
      <c r="M303" s="2544"/>
      <c r="N303" s="2544"/>
      <c r="O303" s="2544"/>
      <c r="P303" s="2544"/>
      <c r="Q303" s="2544"/>
      <c r="AA303" s="2092">
        <v>302</v>
      </c>
    </row>
    <row r="304" spans="1:27" ht="20.25" customHeight="1">
      <c r="A304" s="3508"/>
      <c r="B304" s="3633"/>
      <c r="C304" s="3633"/>
      <c r="D304" s="3633"/>
      <c r="E304" s="3633"/>
      <c r="F304" s="3633"/>
      <c r="G304" s="3633"/>
      <c r="H304" s="3633"/>
      <c r="I304" s="3633"/>
      <c r="J304" s="3633"/>
      <c r="K304" s="3633"/>
      <c r="L304" s="3633"/>
      <c r="M304" s="3633"/>
      <c r="N304" s="3633"/>
      <c r="O304" s="3633"/>
      <c r="P304" s="3633"/>
      <c r="Q304" s="3634"/>
      <c r="AA304" s="2092">
        <v>303</v>
      </c>
    </row>
    <row r="305" spans="1:27" ht="15.6" customHeight="1">
      <c r="A305" s="1570"/>
      <c r="B305" s="1573"/>
      <c r="C305" s="2544"/>
      <c r="D305" s="2544"/>
      <c r="E305" s="2544"/>
      <c r="F305" s="2544"/>
      <c r="G305" s="2544"/>
      <c r="H305" s="2544"/>
      <c r="I305" s="2544"/>
      <c r="J305" s="2544"/>
      <c r="K305" s="2544"/>
      <c r="L305" s="2544"/>
      <c r="M305" s="2544"/>
      <c r="N305" s="2544"/>
      <c r="O305" s="2544"/>
      <c r="P305" s="2544"/>
      <c r="Q305" s="1570"/>
      <c r="AA305" s="2092">
        <v>304</v>
      </c>
    </row>
    <row r="306" spans="1:27" ht="14.25" customHeight="1">
      <c r="A306" s="2552"/>
      <c r="B306" s="1573"/>
      <c r="C306" s="2544"/>
      <c r="D306" s="2544"/>
      <c r="E306" s="2544"/>
      <c r="F306" s="2544"/>
      <c r="G306" s="2544"/>
      <c r="H306" s="2544"/>
      <c r="I306" s="2544"/>
      <c r="J306" s="2544"/>
      <c r="K306" s="2544"/>
      <c r="L306" s="2544"/>
      <c r="M306" s="2544"/>
      <c r="N306" s="2548"/>
      <c r="O306" s="2548"/>
      <c r="P306" s="2548"/>
      <c r="Q306" s="1570"/>
      <c r="AA306" s="2092">
        <v>305</v>
      </c>
    </row>
    <row r="307" spans="1:27" ht="20.25" customHeight="1">
      <c r="A307" s="2552" t="s">
        <v>1641</v>
      </c>
      <c r="B307" s="1571" t="s">
        <v>1642</v>
      </c>
      <c r="C307" s="1575"/>
      <c r="D307" s="1571"/>
      <c r="E307" s="2544"/>
      <c r="F307" s="2544"/>
      <c r="G307" s="2544"/>
      <c r="H307" s="2544"/>
      <c r="I307" s="2548"/>
      <c r="J307" s="2544"/>
      <c r="K307" s="2544"/>
      <c r="L307" s="2544"/>
      <c r="M307" s="2544"/>
      <c r="N307" s="2548"/>
      <c r="O307" s="1574" t="s">
        <v>1444</v>
      </c>
      <c r="P307" s="3506"/>
      <c r="Q307" s="3543"/>
      <c r="AA307" s="2093">
        <v>306</v>
      </c>
    </row>
    <row r="308" spans="1:27" ht="20.25" customHeight="1">
      <c r="A308" s="2552"/>
      <c r="B308" s="1587" t="s">
        <v>1450</v>
      </c>
      <c r="C308" s="2548"/>
      <c r="D308" s="1587"/>
      <c r="E308" s="1587"/>
      <c r="F308" s="1587"/>
      <c r="G308" s="1587"/>
      <c r="H308" s="2550"/>
      <c r="I308" s="1573"/>
      <c r="J308" s="1573"/>
      <c r="K308" s="1573"/>
      <c r="L308" s="1570"/>
      <c r="M308" s="1570"/>
      <c r="N308" s="1570"/>
      <c r="O308" s="1570"/>
      <c r="P308" s="1570"/>
      <c r="Q308" s="1570"/>
      <c r="AA308" s="2092">
        <v>307</v>
      </c>
    </row>
    <row r="309" spans="1:27" ht="20.25" customHeight="1">
      <c r="A309" s="3503" t="s">
        <v>1643</v>
      </c>
      <c r="B309" s="3629"/>
      <c r="C309" s="3629"/>
      <c r="D309" s="3629"/>
      <c r="E309" s="3629"/>
      <c r="F309" s="3629"/>
      <c r="G309" s="3629"/>
      <c r="H309" s="3629"/>
      <c r="I309" s="3629"/>
      <c r="J309" s="3629"/>
      <c r="K309" s="3629"/>
      <c r="L309" s="3629"/>
      <c r="M309" s="3629"/>
      <c r="N309" s="3629"/>
      <c r="O309" s="3629"/>
      <c r="P309" s="3629"/>
      <c r="Q309" s="3632"/>
      <c r="AA309" s="2092">
        <v>308</v>
      </c>
    </row>
    <row r="310" spans="1:27" ht="20.25" customHeight="1">
      <c r="A310" s="2548"/>
      <c r="B310" s="1576" t="s">
        <v>1447</v>
      </c>
      <c r="C310" s="1577"/>
      <c r="D310" s="2544"/>
      <c r="E310" s="2544"/>
      <c r="F310" s="2544"/>
      <c r="G310" s="2544"/>
      <c r="H310" s="2544"/>
      <c r="I310" s="2544"/>
      <c r="J310" s="2544"/>
      <c r="K310" s="2544"/>
      <c r="L310" s="2544"/>
      <c r="M310" s="2544"/>
      <c r="N310" s="2544"/>
      <c r="O310" s="2544"/>
      <c r="P310" s="2544"/>
      <c r="Q310" s="2544"/>
      <c r="AA310" s="2092">
        <v>309</v>
      </c>
    </row>
    <row r="311" spans="1:27" ht="20.25" customHeight="1">
      <c r="A311" s="3508"/>
      <c r="B311" s="3633"/>
      <c r="C311" s="3633"/>
      <c r="D311" s="3633"/>
      <c r="E311" s="3633"/>
      <c r="F311" s="3633"/>
      <c r="G311" s="3633"/>
      <c r="H311" s="3633"/>
      <c r="I311" s="3633"/>
      <c r="J311" s="3633"/>
      <c r="K311" s="3633"/>
      <c r="L311" s="3633"/>
      <c r="M311" s="3633"/>
      <c r="N311" s="3633"/>
      <c r="O311" s="3633"/>
      <c r="P311" s="3633"/>
      <c r="Q311" s="3634"/>
      <c r="AA311" s="2092">
        <v>310</v>
      </c>
    </row>
    <row r="312" spans="1:27" ht="20.25" customHeight="1">
      <c r="A312" s="2544"/>
      <c r="B312" s="2544"/>
      <c r="C312" s="2544"/>
      <c r="D312" s="2544"/>
      <c r="E312" s="2544"/>
      <c r="F312" s="2544"/>
      <c r="G312" s="2544"/>
      <c r="H312" s="2544"/>
      <c r="I312" s="2544"/>
      <c r="J312" s="2544"/>
      <c r="K312" s="2544"/>
      <c r="L312" s="2544"/>
      <c r="M312" s="2544"/>
      <c r="N312" s="2544"/>
      <c r="O312" s="2544"/>
      <c r="P312" s="2544"/>
      <c r="Q312" s="2544"/>
      <c r="R312" s="1619"/>
      <c r="AA312" s="2092">
        <v>311</v>
      </c>
    </row>
    <row r="313" spans="1:27" ht="20.25" customHeight="1">
      <c r="A313" s="2544"/>
      <c r="B313" s="2544"/>
      <c r="C313" s="2544"/>
      <c r="D313" s="2544"/>
      <c r="E313" s="2544"/>
      <c r="F313" s="2544"/>
      <c r="G313" s="2544"/>
      <c r="H313" s="2544"/>
      <c r="I313" s="2544"/>
      <c r="J313" s="2544"/>
      <c r="K313" s="2544"/>
      <c r="L313" s="2544"/>
      <c r="M313" s="2544"/>
      <c r="N313" s="2544"/>
      <c r="O313" s="2544"/>
      <c r="P313" s="2544"/>
      <c r="Q313" s="2544"/>
      <c r="R313" s="1619"/>
      <c r="S313" s="1619"/>
      <c r="AA313" s="2092">
        <v>312</v>
      </c>
    </row>
    <row r="314" spans="1:27">
      <c r="A314" s="2548"/>
      <c r="B314" s="2548"/>
      <c r="C314" s="2548"/>
      <c r="D314" s="2548"/>
      <c r="E314" s="2548"/>
      <c r="F314" s="2548"/>
      <c r="G314" s="2548"/>
      <c r="H314" s="2548"/>
      <c r="I314" s="2548"/>
      <c r="J314" s="2548"/>
      <c r="K314" s="2548"/>
      <c r="L314" s="2548"/>
      <c r="M314" s="2548"/>
      <c r="N314" s="2548"/>
      <c r="O314" s="2548"/>
      <c r="P314" s="2548"/>
      <c r="Q314" s="2548"/>
      <c r="R314" s="1619"/>
      <c r="S314" s="1619"/>
      <c r="AA314" s="2092">
        <v>313</v>
      </c>
    </row>
    <row r="315" spans="1:27">
      <c r="A315" s="2548"/>
      <c r="B315" s="2548"/>
      <c r="C315" s="2548"/>
      <c r="D315" s="2548"/>
      <c r="E315" s="2548"/>
      <c r="F315" s="2548"/>
      <c r="G315" s="2548"/>
      <c r="H315" s="2548"/>
      <c r="I315" s="2548"/>
      <c r="J315" s="2548"/>
      <c r="K315" s="2548"/>
      <c r="L315" s="2548"/>
      <c r="M315" s="2548"/>
      <c r="N315" s="2548"/>
      <c r="O315" s="2548"/>
      <c r="P315" s="2548"/>
      <c r="Q315" s="2548"/>
      <c r="R315" s="1619"/>
      <c r="S315" s="1619"/>
      <c r="AA315" s="2092">
        <v>314</v>
      </c>
    </row>
    <row r="316" spans="1:27">
      <c r="A316" s="2548"/>
      <c r="B316" s="2548"/>
      <c r="C316" s="2548"/>
      <c r="D316" s="2548"/>
      <c r="E316" s="2548"/>
      <c r="F316" s="2548"/>
      <c r="G316" s="2548"/>
      <c r="H316" s="2548"/>
      <c r="I316" s="2548"/>
      <c r="J316" s="2548"/>
      <c r="K316" s="2548"/>
      <c r="L316" s="2548"/>
      <c r="M316" s="2548"/>
      <c r="N316" s="2548"/>
      <c r="O316" s="2548"/>
      <c r="P316" s="2548"/>
      <c r="Q316" s="2548"/>
      <c r="R316" s="1619"/>
      <c r="S316" s="1619"/>
      <c r="AA316" s="2093">
        <v>315</v>
      </c>
    </row>
    <row r="317" spans="1:27">
      <c r="A317" s="2548"/>
      <c r="B317" s="2548"/>
      <c r="C317" s="2548"/>
      <c r="D317" s="2548"/>
      <c r="E317" s="2548"/>
      <c r="F317" s="2548"/>
      <c r="G317" s="2548"/>
      <c r="H317" s="2548"/>
      <c r="I317" s="2548"/>
      <c r="J317" s="2548"/>
      <c r="K317" s="2548"/>
      <c r="L317" s="2548"/>
      <c r="M317" s="2548"/>
      <c r="N317" s="2548"/>
      <c r="O317" s="2548"/>
      <c r="P317" s="2548"/>
      <c r="Q317" s="2548"/>
      <c r="R317" s="1619"/>
      <c r="S317" s="1619"/>
      <c r="AA317" s="2092">
        <v>316</v>
      </c>
    </row>
    <row r="318" spans="1:27">
      <c r="A318" s="2548"/>
      <c r="B318" s="2548"/>
      <c r="C318" s="2548"/>
      <c r="D318" s="2548"/>
      <c r="E318" s="2548"/>
      <c r="F318" s="2548"/>
      <c r="G318" s="2548"/>
      <c r="H318" s="2548"/>
      <c r="I318" s="2548"/>
      <c r="J318" s="2548"/>
      <c r="K318" s="2548"/>
      <c r="L318" s="2548"/>
      <c r="M318" s="2548"/>
      <c r="N318" s="2548"/>
      <c r="O318" s="2548"/>
      <c r="P318" s="2548"/>
      <c r="Q318" s="2548"/>
      <c r="R318" s="1619"/>
      <c r="S318" s="1619"/>
      <c r="AA318" s="2092">
        <v>317</v>
      </c>
    </row>
    <row r="319" spans="1:27">
      <c r="A319" s="2548"/>
      <c r="B319" s="2548"/>
      <c r="C319" s="2548"/>
      <c r="D319" s="2548"/>
      <c r="E319" s="2548"/>
      <c r="F319" s="2548"/>
      <c r="G319" s="2548"/>
      <c r="H319" s="2548"/>
      <c r="I319" s="2548"/>
      <c r="J319" s="2548"/>
      <c r="K319" s="2548"/>
      <c r="L319" s="2548"/>
      <c r="M319" s="2548"/>
      <c r="N319" s="2548"/>
      <c r="O319" s="2548"/>
      <c r="P319" s="2548"/>
      <c r="Q319" s="2548"/>
      <c r="R319" s="1619"/>
      <c r="S319" s="1619"/>
      <c r="AA319" s="2092">
        <v>318</v>
      </c>
    </row>
    <row r="320" spans="1:27">
      <c r="A320" s="2548"/>
      <c r="B320" s="2548"/>
      <c r="C320" s="2548"/>
      <c r="D320" s="2548"/>
      <c r="E320" s="2548"/>
      <c r="F320" s="2548"/>
      <c r="G320" s="2548"/>
      <c r="H320" s="2548"/>
      <c r="I320" s="2548"/>
      <c r="J320" s="2548"/>
      <c r="K320" s="2548"/>
      <c r="L320" s="2548"/>
      <c r="M320" s="2548"/>
      <c r="N320" s="2548"/>
      <c r="O320" s="2548"/>
      <c r="P320" s="2548"/>
      <c r="Q320" s="2548"/>
      <c r="R320" s="1619"/>
      <c r="S320" s="1619"/>
      <c r="AA320" s="2092">
        <v>319</v>
      </c>
    </row>
    <row r="321" spans="18:27">
      <c r="R321" s="1619"/>
      <c r="S321" s="1619"/>
      <c r="AA321" s="2092">
        <v>320</v>
      </c>
    </row>
    <row r="322" spans="18:27">
      <c r="R322" s="1619"/>
      <c r="S322" s="1619"/>
      <c r="AA322" s="2092">
        <v>321</v>
      </c>
    </row>
    <row r="323" spans="18:27">
      <c r="R323" s="1619"/>
      <c r="S323" s="1619"/>
      <c r="AA323" s="2092">
        <v>322</v>
      </c>
    </row>
    <row r="324" spans="18:27">
      <c r="R324" s="1619"/>
      <c r="S324" s="1619"/>
      <c r="AA324" s="2092">
        <v>323</v>
      </c>
    </row>
    <row r="325" spans="18:27">
      <c r="R325" s="1619"/>
      <c r="S325" s="1619"/>
      <c r="AA325" s="2093">
        <v>324</v>
      </c>
    </row>
    <row r="326" spans="18:27">
      <c r="R326" s="1619"/>
      <c r="S326" s="1619"/>
      <c r="AA326" s="2092">
        <v>325</v>
      </c>
    </row>
    <row r="327" spans="18:27">
      <c r="R327" s="1619"/>
      <c r="S327" s="1619"/>
      <c r="AA327" s="2092">
        <v>326</v>
      </c>
    </row>
    <row r="328" spans="18:27">
      <c r="R328" s="1619"/>
      <c r="S328" s="1619"/>
      <c r="AA328" s="2092">
        <v>327</v>
      </c>
    </row>
    <row r="329" spans="18:27">
      <c r="R329" s="1619"/>
      <c r="S329" s="1619"/>
      <c r="AA329" s="2092">
        <v>328</v>
      </c>
    </row>
    <row r="330" spans="18:27">
      <c r="R330" s="1619"/>
      <c r="S330" s="1619"/>
      <c r="AA330" s="2092">
        <v>329</v>
      </c>
    </row>
    <row r="331" spans="18:27">
      <c r="R331" s="1619"/>
      <c r="S331" s="1619"/>
      <c r="AA331" s="2092">
        <v>330</v>
      </c>
    </row>
    <row r="332" spans="18:27">
      <c r="R332" s="1619"/>
      <c r="S332" s="1619"/>
      <c r="AA332" s="2092">
        <v>331</v>
      </c>
    </row>
    <row r="333" spans="18:27">
      <c r="R333" s="1619"/>
      <c r="S333" s="1619"/>
      <c r="AA333" s="2092">
        <v>332</v>
      </c>
    </row>
    <row r="334" spans="18:27">
      <c r="R334" s="1619"/>
      <c r="S334" s="1619"/>
      <c r="AA334" s="2093">
        <v>333</v>
      </c>
    </row>
    <row r="335" spans="18:27">
      <c r="R335" s="1619"/>
      <c r="S335" s="1619"/>
      <c r="AA335" s="2092">
        <v>334</v>
      </c>
    </row>
    <row r="336" spans="18:27">
      <c r="R336" s="1619"/>
      <c r="S336" s="1619"/>
      <c r="AA336" s="2092">
        <v>335</v>
      </c>
    </row>
    <row r="337" spans="18:27">
      <c r="R337" s="1619"/>
      <c r="S337" s="1619"/>
      <c r="AA337" s="2092">
        <v>336</v>
      </c>
    </row>
    <row r="338" spans="18:27">
      <c r="R338" s="1619"/>
      <c r="S338" s="1619"/>
      <c r="AA338" s="2092">
        <v>337</v>
      </c>
    </row>
    <row r="339" spans="18:27">
      <c r="R339" s="1619"/>
      <c r="S339" s="1619"/>
      <c r="AA339" s="2092">
        <v>338</v>
      </c>
    </row>
    <row r="340" spans="18:27">
      <c r="R340" s="1619"/>
      <c r="S340" s="1619"/>
      <c r="AA340" s="2092">
        <v>339</v>
      </c>
    </row>
    <row r="341" spans="18:27">
      <c r="R341" s="1619"/>
      <c r="S341" s="1619"/>
      <c r="AA341" s="2092">
        <v>340</v>
      </c>
    </row>
    <row r="342" spans="18:27">
      <c r="R342" s="1619"/>
      <c r="S342" s="1619"/>
    </row>
    <row r="343" spans="18:27">
      <c r="R343" s="1619"/>
      <c r="S343" s="1619"/>
    </row>
    <row r="344" spans="18:27">
      <c r="R344" s="1619"/>
      <c r="S344" s="1619"/>
    </row>
    <row r="345" spans="18:27">
      <c r="R345" s="1619"/>
      <c r="S345" s="1619"/>
    </row>
    <row r="346" spans="18:27">
      <c r="R346" s="1619"/>
      <c r="S346" s="1619"/>
    </row>
    <row r="347" spans="18:27">
      <c r="R347" s="1619"/>
      <c r="S347" s="1619"/>
    </row>
    <row r="348" spans="18:27">
      <c r="R348" s="1619"/>
      <c r="S348" s="1619"/>
    </row>
    <row r="349" spans="18:27">
      <c r="R349" s="1619"/>
      <c r="S349" s="1619"/>
    </row>
    <row r="350" spans="18:27">
      <c r="R350" s="1619"/>
      <c r="S350" s="1619"/>
    </row>
    <row r="351" spans="18:27">
      <c r="R351" s="1619"/>
      <c r="S351" s="1619"/>
    </row>
    <row r="352" spans="18:27">
      <c r="R352" s="1619"/>
      <c r="S352" s="1619"/>
    </row>
    <row r="353" spans="18:19">
      <c r="R353" s="1619"/>
      <c r="S353" s="1619"/>
    </row>
    <row r="354" spans="18:19">
      <c r="R354" s="1619"/>
      <c r="S354" s="1619"/>
    </row>
    <row r="355" spans="18:19">
      <c r="R355" s="1619"/>
      <c r="S355" s="1619"/>
    </row>
    <row r="356" spans="18:19">
      <c r="R356" s="1619"/>
      <c r="S356" s="1619"/>
    </row>
    <row r="357" spans="18:19">
      <c r="R357" s="1619"/>
      <c r="S357" s="1619"/>
    </row>
    <row r="358" spans="18:19">
      <c r="R358" s="1619"/>
      <c r="S358" s="1619"/>
    </row>
    <row r="359" spans="18:19">
      <c r="R359" s="1619"/>
      <c r="S359" s="1619"/>
    </row>
    <row r="360" spans="18:19">
      <c r="R360" s="1619"/>
      <c r="S360" s="1619"/>
    </row>
    <row r="361" spans="18:19">
      <c r="R361" s="1619"/>
      <c r="S361" s="1619"/>
    </row>
    <row r="362" spans="18:19">
      <c r="R362" s="1619"/>
      <c r="S362" s="1619"/>
    </row>
    <row r="363" spans="18:19">
      <c r="R363" s="1619"/>
      <c r="S363" s="1619"/>
    </row>
    <row r="364" spans="18:19">
      <c r="R364" s="1619"/>
      <c r="S364" s="1619"/>
    </row>
    <row r="365" spans="18:19">
      <c r="R365" s="1619"/>
      <c r="S365" s="1619"/>
    </row>
    <row r="366" spans="18:19">
      <c r="R366" s="1619"/>
      <c r="S366" s="1619"/>
    </row>
    <row r="367" spans="18:19">
      <c r="R367" s="1619"/>
      <c r="S367" s="1619"/>
    </row>
    <row r="368" spans="18:19">
      <c r="R368" s="1619"/>
      <c r="S368" s="1619"/>
    </row>
    <row r="369" spans="1:19">
      <c r="A369" s="2548"/>
      <c r="B369" s="2548"/>
      <c r="C369" s="2548"/>
      <c r="D369" s="2548"/>
      <c r="E369" s="2548"/>
      <c r="F369" s="2548"/>
      <c r="G369" s="2548"/>
      <c r="H369" s="2548"/>
      <c r="I369" s="2548"/>
      <c r="J369" s="2548"/>
      <c r="K369" s="2548"/>
      <c r="L369" s="2548"/>
      <c r="M369" s="2548"/>
      <c r="N369" s="2548"/>
      <c r="O369" s="2548"/>
      <c r="P369" s="2548"/>
      <c r="Q369" s="2548"/>
      <c r="R369" s="1619"/>
      <c r="S369" s="1619"/>
    </row>
    <row r="370" spans="1:19">
      <c r="A370" s="2548"/>
      <c r="B370" s="2548"/>
      <c r="C370" s="2548"/>
      <c r="D370" s="2548"/>
      <c r="E370" s="2548"/>
      <c r="F370" s="2548"/>
      <c r="G370" s="2548"/>
      <c r="H370" s="2548"/>
      <c r="I370" s="2548"/>
      <c r="J370" s="2548"/>
      <c r="K370" s="2548"/>
      <c r="L370" s="2548"/>
      <c r="M370" s="2548"/>
      <c r="N370" s="2548"/>
      <c r="O370" s="2548"/>
      <c r="P370" s="2548"/>
      <c r="Q370" s="2548"/>
      <c r="R370" s="1619"/>
      <c r="S370" s="1619"/>
    </row>
    <row r="371" spans="1:19">
      <c r="A371" s="2548"/>
      <c r="B371" s="2548"/>
      <c r="C371" s="2548"/>
      <c r="D371" s="2548"/>
      <c r="E371" s="2548"/>
      <c r="F371" s="2548"/>
      <c r="G371" s="2548"/>
      <c r="H371" s="2548"/>
      <c r="I371" s="2548"/>
      <c r="J371" s="2548"/>
      <c r="K371" s="2548"/>
      <c r="L371" s="2548"/>
      <c r="M371" s="2548"/>
      <c r="N371" s="2548"/>
      <c r="O371" s="2548"/>
      <c r="P371" s="2548"/>
      <c r="Q371" s="2548"/>
      <c r="R371" s="1619"/>
      <c r="S371" s="1619"/>
    </row>
    <row r="372" spans="1:19">
      <c r="A372" s="2548"/>
      <c r="B372" s="2548"/>
      <c r="C372" s="2548"/>
      <c r="D372" s="2548"/>
      <c r="E372" s="2548"/>
      <c r="F372" s="2548"/>
      <c r="G372" s="2548"/>
      <c r="H372" s="2548"/>
      <c r="I372" s="2548"/>
      <c r="J372" s="2548"/>
      <c r="K372" s="2548"/>
      <c r="L372" s="2548"/>
      <c r="M372" s="2548"/>
      <c r="N372" s="2548"/>
      <c r="O372" s="2548"/>
      <c r="P372" s="2548"/>
      <c r="Q372" s="2548"/>
      <c r="R372" s="1619"/>
      <c r="S372" s="1619"/>
    </row>
    <row r="373" spans="1:19">
      <c r="A373" s="2548"/>
      <c r="B373" s="2548"/>
      <c r="C373" s="2548"/>
      <c r="D373" s="2548"/>
      <c r="E373" s="2548"/>
      <c r="F373" s="2548"/>
      <c r="G373" s="2548"/>
      <c r="H373" s="2548"/>
      <c r="I373" s="2548"/>
      <c r="J373" s="2548"/>
      <c r="K373" s="2548"/>
      <c r="L373" s="2548"/>
      <c r="M373" s="2548"/>
      <c r="N373" s="2548"/>
      <c r="O373" s="2548"/>
      <c r="P373" s="2548"/>
      <c r="Q373" s="2548"/>
      <c r="R373" s="1619"/>
      <c r="S373" s="1619"/>
    </row>
    <row r="374" spans="1:19">
      <c r="A374" s="2548"/>
      <c r="B374" s="2548"/>
      <c r="C374" s="2548"/>
      <c r="D374" s="2548"/>
      <c r="E374" s="2548"/>
      <c r="F374" s="2548"/>
      <c r="G374" s="2548"/>
      <c r="H374" s="2548"/>
      <c r="I374" s="2548"/>
      <c r="J374" s="2548"/>
      <c r="K374" s="2548"/>
      <c r="L374" s="2548"/>
      <c r="M374" s="2548"/>
      <c r="N374" s="2548"/>
      <c r="O374" s="2548"/>
      <c r="P374" s="2548"/>
      <c r="Q374" s="2548"/>
      <c r="R374" s="1619"/>
      <c r="S374" s="1619"/>
    </row>
    <row r="375" spans="1:19">
      <c r="A375" s="2548"/>
      <c r="B375" s="2548"/>
      <c r="C375" s="2548"/>
      <c r="D375" s="2548"/>
      <c r="E375" s="2548"/>
      <c r="F375" s="2548"/>
      <c r="G375" s="2548"/>
      <c r="H375" s="2548"/>
      <c r="I375" s="2548"/>
      <c r="J375" s="2548"/>
      <c r="K375" s="2548"/>
      <c r="L375" s="2548"/>
      <c r="M375" s="2548"/>
      <c r="N375" s="2548"/>
      <c r="O375" s="2548"/>
      <c r="P375" s="2548"/>
      <c r="Q375" s="2548"/>
      <c r="R375" s="1619"/>
      <c r="S375" s="1619"/>
    </row>
    <row r="376" spans="1:19">
      <c r="A376" s="2548"/>
      <c r="B376" s="2548"/>
      <c r="C376" s="2548"/>
      <c r="D376" s="2548"/>
      <c r="E376" s="2548"/>
      <c r="F376" s="2548"/>
      <c r="G376" s="2548"/>
      <c r="H376" s="2548"/>
      <c r="I376" s="2548"/>
      <c r="J376" s="2548"/>
      <c r="K376" s="2548"/>
      <c r="L376" s="2548"/>
      <c r="M376" s="2548"/>
      <c r="N376" s="2548"/>
      <c r="O376" s="2548"/>
      <c r="P376" s="2548"/>
      <c r="Q376" s="2548"/>
      <c r="R376" s="1619"/>
      <c r="S376" s="1619"/>
    </row>
    <row r="377" spans="1:19">
      <c r="A377" s="2548"/>
      <c r="B377" s="2548"/>
      <c r="C377" s="2548"/>
      <c r="D377" s="2548"/>
      <c r="E377" s="2548"/>
      <c r="F377" s="2548"/>
      <c r="G377" s="2548"/>
      <c r="H377" s="2548"/>
      <c r="I377" s="2548"/>
      <c r="J377" s="2548"/>
      <c r="K377" s="2548"/>
      <c r="L377" s="2548"/>
      <c r="M377" s="2548"/>
      <c r="N377" s="2548"/>
      <c r="O377" s="2548"/>
      <c r="P377" s="2548"/>
      <c r="Q377" s="2548"/>
      <c r="R377" s="1619"/>
      <c r="S377" s="1619"/>
    </row>
    <row r="378" spans="1:19">
      <c r="A378" s="2548"/>
      <c r="B378" s="2548"/>
      <c r="C378" s="2548"/>
      <c r="D378" s="2548"/>
      <c r="E378" s="2548"/>
      <c r="F378" s="2548"/>
      <c r="G378" s="2548"/>
      <c r="H378" s="2548"/>
      <c r="I378" s="2548"/>
      <c r="J378" s="2548"/>
      <c r="K378" s="2548"/>
      <c r="L378" s="2548"/>
      <c r="M378" s="2548"/>
      <c r="N378" s="2548"/>
      <c r="O378" s="2548"/>
      <c r="P378" s="2548"/>
      <c r="Q378" s="2548"/>
      <c r="R378" s="1619"/>
      <c r="S378" s="1619"/>
    </row>
    <row r="379" spans="1:19">
      <c r="A379" s="2548"/>
      <c r="B379" s="2548"/>
      <c r="C379" s="2548"/>
      <c r="D379" s="2548"/>
      <c r="E379" s="2548"/>
      <c r="F379" s="2548"/>
      <c r="G379" s="2548"/>
      <c r="H379" s="2548"/>
      <c r="I379" s="2548"/>
      <c r="J379" s="2548"/>
      <c r="K379" s="2548"/>
      <c r="L379" s="2548"/>
      <c r="M379" s="2548"/>
      <c r="N379" s="2548"/>
      <c r="O379" s="2548"/>
      <c r="P379" s="2548"/>
      <c r="Q379" s="2548"/>
      <c r="R379" s="1619"/>
      <c r="S379" s="1619"/>
    </row>
    <row r="380" spans="1:19">
      <c r="A380" s="2548"/>
      <c r="B380" s="2548"/>
      <c r="C380" s="2548"/>
      <c r="D380" s="2548"/>
      <c r="E380" s="2548"/>
      <c r="F380" s="2548"/>
      <c r="G380" s="2548"/>
      <c r="H380" s="2548"/>
      <c r="I380" s="2548"/>
      <c r="J380" s="2548"/>
      <c r="K380" s="2548"/>
      <c r="L380" s="2548"/>
      <c r="M380" s="2548"/>
      <c r="N380" s="2548"/>
      <c r="O380" s="2548"/>
      <c r="P380" s="2548"/>
      <c r="Q380" s="2548"/>
      <c r="R380" s="1619"/>
      <c r="S380" s="1619"/>
    </row>
    <row r="381" spans="1:19">
      <c r="A381" s="2548"/>
      <c r="B381" s="2548"/>
      <c r="C381" s="2548"/>
      <c r="D381" s="2548"/>
      <c r="E381" s="2548"/>
      <c r="F381" s="2548"/>
      <c r="G381" s="2548"/>
      <c r="H381" s="2548"/>
      <c r="I381" s="2548"/>
      <c r="J381" s="2548"/>
      <c r="K381" s="2548"/>
      <c r="L381" s="2548"/>
      <c r="M381" s="2548"/>
      <c r="N381" s="2548"/>
      <c r="O381" s="2548"/>
      <c r="P381" s="2548"/>
      <c r="Q381" s="2548"/>
      <c r="R381" s="1619"/>
      <c r="S381" s="1619"/>
    </row>
    <row r="382" spans="1:19">
      <c r="A382" s="2548"/>
      <c r="B382" s="2548"/>
      <c r="C382" s="2548"/>
      <c r="D382" s="2548"/>
      <c r="E382" s="2548"/>
      <c r="F382" s="2548"/>
      <c r="G382" s="2548"/>
      <c r="H382" s="2548"/>
      <c r="I382" s="2548"/>
      <c r="J382" s="2548"/>
      <c r="K382" s="2548"/>
      <c r="L382" s="2548"/>
      <c r="M382" s="2548"/>
      <c r="N382" s="2548"/>
      <c r="O382" s="2548"/>
      <c r="P382" s="2548"/>
      <c r="Q382" s="2548"/>
      <c r="R382" s="1619"/>
      <c r="S382" s="1619"/>
    </row>
    <row r="383" spans="1:19">
      <c r="A383" s="2084"/>
      <c r="B383" s="2084"/>
      <c r="C383" s="2084"/>
      <c r="D383" s="2084"/>
      <c r="E383" s="2084"/>
      <c r="F383" s="2084"/>
      <c r="G383" s="2084"/>
      <c r="H383" s="2084"/>
      <c r="I383" s="2084"/>
      <c r="J383" s="2084"/>
      <c r="K383" s="2084"/>
      <c r="L383" s="2084"/>
      <c r="M383" s="2084"/>
      <c r="N383" s="2084"/>
      <c r="O383" s="2084"/>
      <c r="P383" s="2084"/>
      <c r="Q383" s="2084"/>
      <c r="R383" s="1619"/>
      <c r="S383" s="1619"/>
    </row>
    <row r="384" spans="1:19">
      <c r="A384" s="2084"/>
      <c r="B384" s="2084"/>
      <c r="C384" s="2084"/>
      <c r="D384" s="2084"/>
      <c r="E384" s="2084"/>
      <c r="F384" s="2084"/>
      <c r="G384" s="2084"/>
      <c r="H384" s="2084"/>
      <c r="I384" s="2084"/>
      <c r="J384" s="2084"/>
      <c r="K384" s="2084"/>
      <c r="L384" s="2084"/>
      <c r="M384" s="2084"/>
      <c r="N384" s="2084"/>
      <c r="O384" s="2084"/>
      <c r="P384" s="2084"/>
      <c r="Q384" s="2084"/>
      <c r="R384" s="1619"/>
      <c r="S384" s="1619"/>
    </row>
    <row r="385" spans="1:20">
      <c r="A385" s="2084"/>
      <c r="B385" s="2084"/>
      <c r="C385" s="2084"/>
      <c r="D385" s="2084"/>
      <c r="E385" s="2084"/>
      <c r="F385" s="2084"/>
      <c r="G385" s="2084"/>
      <c r="H385" s="2084"/>
      <c r="I385" s="2084"/>
      <c r="J385" s="2084" t="s">
        <v>1527</v>
      </c>
      <c r="K385" s="2084"/>
      <c r="L385" s="2084"/>
      <c r="M385" s="2084"/>
      <c r="N385" s="2084"/>
      <c r="O385" s="2084" t="s">
        <v>730</v>
      </c>
      <c r="P385" s="2084"/>
      <c r="Q385" s="2084"/>
      <c r="R385" s="1619"/>
      <c r="S385" s="1619"/>
    </row>
    <row r="386" spans="1:20" ht="20.25" customHeight="1">
      <c r="A386" s="2084"/>
      <c r="B386" s="2084"/>
      <c r="C386" s="2084" t="s">
        <v>730</v>
      </c>
      <c r="D386" s="2084"/>
      <c r="E386" s="2084"/>
      <c r="F386" s="2084"/>
      <c r="G386" s="2084"/>
      <c r="H386" s="2084"/>
      <c r="I386" s="2084"/>
      <c r="J386" s="2085" t="s">
        <v>1644</v>
      </c>
      <c r="K386" s="2084"/>
      <c r="L386" s="2084"/>
      <c r="M386" s="2084"/>
      <c r="N386" s="2086"/>
      <c r="O386" s="2085" t="s">
        <v>1645</v>
      </c>
      <c r="P386" s="2087"/>
      <c r="Q386" s="2084"/>
      <c r="R386" s="1619"/>
      <c r="S386" s="1619"/>
      <c r="T386" s="1619"/>
    </row>
    <row r="387" spans="1:20" ht="20.25" customHeight="1">
      <c r="A387" s="2084"/>
      <c r="B387" s="2084"/>
      <c r="C387" s="2085" t="s">
        <v>1646</v>
      </c>
      <c r="D387" s="2084"/>
      <c r="E387" s="2084"/>
      <c r="F387" s="2084"/>
      <c r="G387" s="2084"/>
      <c r="H387" s="2084"/>
      <c r="I387" s="2084"/>
      <c r="J387" s="2085" t="s">
        <v>1647</v>
      </c>
      <c r="K387" s="2084"/>
      <c r="L387" s="2084"/>
      <c r="M387" s="2084"/>
      <c r="N387" s="2086"/>
      <c r="O387" s="2085" t="s">
        <v>1648</v>
      </c>
      <c r="P387" s="2087"/>
      <c r="Q387" s="2084"/>
      <c r="R387" s="1619"/>
      <c r="S387" s="1619"/>
      <c r="T387" s="1619"/>
    </row>
    <row r="388" spans="1:20" ht="20.25" customHeight="1">
      <c r="A388" s="2084"/>
      <c r="B388" s="2084"/>
      <c r="C388" s="2085" t="s">
        <v>1649</v>
      </c>
      <c r="D388" s="2084"/>
      <c r="E388" s="2084"/>
      <c r="F388" s="2084"/>
      <c r="G388" s="2084"/>
      <c r="H388" s="2084"/>
      <c r="I388" s="2084"/>
      <c r="J388" s="2085" t="s">
        <v>1650</v>
      </c>
      <c r="K388" s="2084"/>
      <c r="L388" s="2084"/>
      <c r="M388" s="2084"/>
      <c r="N388" s="2086"/>
      <c r="O388" s="2085" t="s">
        <v>1651</v>
      </c>
      <c r="P388" s="2087"/>
      <c r="Q388" s="2084"/>
      <c r="R388" s="1619"/>
      <c r="S388" s="1619"/>
      <c r="T388" s="1619"/>
    </row>
    <row r="389" spans="1:20" ht="20.25" customHeight="1">
      <c r="A389" s="2084"/>
      <c r="B389" s="2084"/>
      <c r="C389" s="2085" t="s">
        <v>1652</v>
      </c>
      <c r="D389" s="2084"/>
      <c r="E389" s="2084"/>
      <c r="F389" s="2084"/>
      <c r="G389" s="2084"/>
      <c r="H389" s="2084"/>
      <c r="I389" s="2084"/>
      <c r="J389" s="2085" t="s">
        <v>1653</v>
      </c>
      <c r="K389" s="2084"/>
      <c r="L389" s="2084"/>
      <c r="M389" s="2084"/>
      <c r="N389" s="2086"/>
      <c r="O389" s="2085" t="s">
        <v>1654</v>
      </c>
      <c r="P389" s="2087"/>
      <c r="Q389" s="2084"/>
      <c r="R389" s="1619"/>
      <c r="S389" s="1619"/>
      <c r="T389" s="1619"/>
    </row>
    <row r="390" spans="1:20" ht="20.25" customHeight="1">
      <c r="A390" s="2084"/>
      <c r="B390" s="2084"/>
      <c r="C390" s="2085" t="s">
        <v>1655</v>
      </c>
      <c r="D390" s="2084"/>
      <c r="E390" s="2084"/>
      <c r="F390" s="2084"/>
      <c r="G390" s="2084"/>
      <c r="H390" s="2084"/>
      <c r="I390" s="2084"/>
      <c r="J390" s="2085" t="s">
        <v>1656</v>
      </c>
      <c r="K390" s="2084"/>
      <c r="L390" s="2084"/>
      <c r="M390" s="2084"/>
      <c r="N390" s="2086"/>
      <c r="O390" s="2085" t="s">
        <v>1657</v>
      </c>
      <c r="P390" s="2087"/>
      <c r="Q390" s="2084"/>
      <c r="R390" s="1619"/>
      <c r="S390" s="1619"/>
      <c r="T390" s="1619"/>
    </row>
    <row r="391" spans="1:20" ht="20.25" customHeight="1">
      <c r="A391" s="2084"/>
      <c r="B391" s="2084"/>
      <c r="C391" s="2085" t="s">
        <v>1658</v>
      </c>
      <c r="D391" s="2084"/>
      <c r="E391" s="2084"/>
      <c r="F391" s="2084"/>
      <c r="G391" s="2084"/>
      <c r="H391" s="2084"/>
      <c r="I391" s="2084"/>
      <c r="J391" s="2085" t="s">
        <v>1659</v>
      </c>
      <c r="K391" s="2084"/>
      <c r="L391" s="2084"/>
      <c r="M391" s="2084"/>
      <c r="N391" s="2086"/>
      <c r="O391" s="2085" t="s">
        <v>1660</v>
      </c>
      <c r="P391" s="2087"/>
      <c r="Q391" s="2084"/>
      <c r="R391" s="1619"/>
      <c r="S391" s="1619"/>
      <c r="T391" s="1619"/>
    </row>
    <row r="392" spans="1:20" ht="20.25" customHeight="1">
      <c r="A392" s="2084"/>
      <c r="B392" s="2084"/>
      <c r="C392" s="2085" t="s">
        <v>1661</v>
      </c>
      <c r="D392" s="2084"/>
      <c r="E392" s="2084"/>
      <c r="F392" s="2084"/>
      <c r="G392" s="2084"/>
      <c r="H392" s="2084"/>
      <c r="I392" s="2084"/>
      <c r="J392" s="2085" t="s">
        <v>1662</v>
      </c>
      <c r="K392" s="2084"/>
      <c r="L392" s="2084"/>
      <c r="M392" s="2084"/>
      <c r="N392" s="2086"/>
      <c r="O392" s="2085" t="s">
        <v>1663</v>
      </c>
      <c r="P392" s="2087"/>
      <c r="Q392" s="2084"/>
      <c r="R392" s="1619"/>
      <c r="S392" s="1619"/>
      <c r="T392" s="1619"/>
    </row>
    <row r="393" spans="1:20" ht="20.25" customHeight="1">
      <c r="A393" s="2084"/>
      <c r="B393" s="2084"/>
      <c r="C393" s="2085" t="s">
        <v>1664</v>
      </c>
      <c r="D393" s="2084"/>
      <c r="E393" s="2084"/>
      <c r="F393" s="2084"/>
      <c r="G393" s="2084"/>
      <c r="H393" s="2084"/>
      <c r="I393" s="2084"/>
      <c r="J393" s="2085" t="s">
        <v>1665</v>
      </c>
      <c r="K393" s="2084"/>
      <c r="L393" s="2084"/>
      <c r="M393" s="2084"/>
      <c r="N393" s="2086"/>
      <c r="O393" s="2084" t="s">
        <v>1666</v>
      </c>
      <c r="P393" s="2087"/>
      <c r="Q393" s="2084"/>
      <c r="R393" s="1619"/>
      <c r="S393" s="1619"/>
      <c r="T393" s="1619"/>
    </row>
    <row r="394" spans="1:20" ht="20.25" customHeight="1">
      <c r="A394" s="2084"/>
      <c r="B394" s="2084"/>
      <c r="C394" s="2085" t="s">
        <v>1667</v>
      </c>
      <c r="D394" s="2084"/>
      <c r="E394" s="2084"/>
      <c r="F394" s="2084"/>
      <c r="G394" s="2084"/>
      <c r="H394" s="2084"/>
      <c r="I394" s="2084"/>
      <c r="J394" s="2085" t="s">
        <v>1668</v>
      </c>
      <c r="K394" s="2084"/>
      <c r="L394" s="2084"/>
      <c r="M394" s="2084"/>
      <c r="N394" s="2086"/>
      <c r="O394" s="2084" t="s">
        <v>1669</v>
      </c>
      <c r="P394" s="2087"/>
      <c r="Q394" s="2084"/>
      <c r="R394" s="1619"/>
      <c r="S394" s="1619"/>
      <c r="T394" s="1619"/>
    </row>
    <row r="395" spans="1:20" ht="20.25" customHeight="1">
      <c r="A395" s="2084"/>
      <c r="B395" s="2084"/>
      <c r="C395" s="2085" t="s">
        <v>1670</v>
      </c>
      <c r="D395" s="2084"/>
      <c r="E395" s="2084"/>
      <c r="F395" s="2084"/>
      <c r="G395" s="2084"/>
      <c r="H395" s="2084"/>
      <c r="I395" s="2084"/>
      <c r="J395" s="2085" t="s">
        <v>1671</v>
      </c>
      <c r="K395" s="2084"/>
      <c r="L395" s="2084"/>
      <c r="M395" s="2084"/>
      <c r="N395" s="2086"/>
      <c r="O395" s="2085"/>
      <c r="P395" s="2087"/>
      <c r="Q395" s="2084"/>
      <c r="R395" s="1619"/>
      <c r="S395" s="1619"/>
      <c r="T395" s="1619"/>
    </row>
    <row r="396" spans="1:20" ht="20.25" customHeight="1">
      <c r="A396" s="2084"/>
      <c r="B396" s="2084"/>
      <c r="C396" s="2085" t="s">
        <v>1672</v>
      </c>
      <c r="D396" s="2084"/>
      <c r="E396" s="2084"/>
      <c r="F396" s="2084"/>
      <c r="G396" s="2084"/>
      <c r="H396" s="2084"/>
      <c r="I396" s="2084"/>
      <c r="J396" s="2085" t="s">
        <v>1673</v>
      </c>
      <c r="K396" s="2084"/>
      <c r="L396" s="2084"/>
      <c r="M396" s="2084"/>
      <c r="N396" s="2086"/>
      <c r="O396" s="2084" t="s">
        <v>730</v>
      </c>
      <c r="P396" s="2087"/>
      <c r="Q396" s="2084"/>
      <c r="R396" s="1619"/>
      <c r="S396" s="1619"/>
      <c r="T396" s="1619"/>
    </row>
    <row r="397" spans="1:20" ht="20.25" customHeight="1">
      <c r="A397" s="2084"/>
      <c r="B397" s="2084"/>
      <c r="C397" s="2085" t="s">
        <v>1674</v>
      </c>
      <c r="D397" s="2084"/>
      <c r="E397" s="2084"/>
      <c r="F397" s="2084"/>
      <c r="G397" s="2084"/>
      <c r="H397" s="2084"/>
      <c r="I397" s="2084"/>
      <c r="J397" s="2085" t="s">
        <v>1675</v>
      </c>
      <c r="K397" s="2084"/>
      <c r="L397" s="2084"/>
      <c r="M397" s="2084"/>
      <c r="N397" s="2086"/>
      <c r="O397" s="2085" t="s">
        <v>1586</v>
      </c>
      <c r="P397" s="2087"/>
      <c r="Q397" s="2084"/>
      <c r="R397" s="1619"/>
      <c r="S397" s="1619"/>
      <c r="T397" s="1619"/>
    </row>
    <row r="398" spans="1:20" ht="20.25" customHeight="1">
      <c r="A398" s="2084"/>
      <c r="B398" s="2084"/>
      <c r="C398" s="2085" t="s">
        <v>1676</v>
      </c>
      <c r="D398" s="2084"/>
      <c r="E398" s="2084"/>
      <c r="F398" s="2084"/>
      <c r="G398" s="2084"/>
      <c r="H398" s="2084"/>
      <c r="I398" s="2084"/>
      <c r="J398" s="2084"/>
      <c r="K398" s="2084"/>
      <c r="L398" s="2084"/>
      <c r="M398" s="2084"/>
      <c r="N398" s="2086"/>
      <c r="O398" s="2085" t="s">
        <v>1677</v>
      </c>
      <c r="P398" s="2087"/>
      <c r="Q398" s="2084"/>
      <c r="R398" s="1619"/>
      <c r="S398" s="1619"/>
      <c r="T398" s="1619"/>
    </row>
    <row r="399" spans="1:20" ht="20.25" customHeight="1">
      <c r="A399" s="2084"/>
      <c r="B399" s="2084"/>
      <c r="C399" s="2084"/>
      <c r="D399" s="2084"/>
      <c r="E399" s="2084"/>
      <c r="F399" s="2084"/>
      <c r="G399" s="2084"/>
      <c r="H399" s="2084"/>
      <c r="I399" s="2084"/>
      <c r="J399" s="2084"/>
      <c r="K399" s="2084"/>
      <c r="L399" s="2084"/>
      <c r="M399" s="2084"/>
      <c r="N399" s="2086"/>
      <c r="O399" s="2085" t="s">
        <v>1678</v>
      </c>
      <c r="P399" s="2087"/>
      <c r="Q399" s="2084"/>
      <c r="R399" s="1619"/>
      <c r="S399" s="1619"/>
      <c r="T399" s="1619"/>
    </row>
    <row r="400" spans="1:20" ht="20.25" customHeight="1">
      <c r="A400" s="2084"/>
      <c r="B400" s="2084"/>
      <c r="C400" s="2084"/>
      <c r="D400" s="2084"/>
      <c r="E400" s="2084"/>
      <c r="F400" s="2084"/>
      <c r="G400" s="2084"/>
      <c r="H400" s="2084"/>
      <c r="I400" s="2084"/>
      <c r="J400" s="2084"/>
      <c r="K400" s="2084"/>
      <c r="L400" s="2084"/>
      <c r="M400" s="2084"/>
      <c r="N400" s="2084"/>
      <c r="O400" s="2085" t="s">
        <v>1679</v>
      </c>
      <c r="P400" s="2084"/>
      <c r="Q400" s="2084"/>
      <c r="R400" s="1619"/>
      <c r="S400" s="1619"/>
      <c r="T400" s="1619"/>
    </row>
    <row r="401" spans="1:20" ht="20.25" customHeight="1">
      <c r="A401" s="2084"/>
      <c r="B401" s="2084"/>
      <c r="C401" s="2088" t="s">
        <v>1680</v>
      </c>
      <c r="D401" s="2084"/>
      <c r="E401" s="2084"/>
      <c r="F401" s="2084"/>
      <c r="G401" s="2084"/>
      <c r="H401" s="2084"/>
      <c r="I401" s="2084"/>
      <c r="J401" s="2084"/>
      <c r="K401" s="2084"/>
      <c r="L401" s="2084"/>
      <c r="M401" s="2084"/>
      <c r="N401" s="2084"/>
      <c r="O401" s="2084"/>
      <c r="P401" s="2084"/>
      <c r="Q401" s="2084"/>
      <c r="R401" s="1619"/>
      <c r="S401" s="1619"/>
      <c r="T401" s="1619"/>
    </row>
    <row r="402" spans="1:20" ht="20.25" customHeight="1">
      <c r="A402" s="2084"/>
      <c r="B402" s="2084"/>
      <c r="C402" s="2084" t="s">
        <v>1681</v>
      </c>
      <c r="D402" s="2084"/>
      <c r="E402" s="2084"/>
      <c r="F402" s="2084"/>
      <c r="G402" s="2084"/>
      <c r="H402" s="2084"/>
      <c r="I402" s="2084"/>
      <c r="J402" s="2084"/>
      <c r="K402" s="2084"/>
      <c r="L402" s="2084"/>
      <c r="M402" s="2084"/>
      <c r="N402" s="2084"/>
      <c r="O402" s="2084"/>
      <c r="P402" s="2084"/>
      <c r="Q402" s="2084"/>
      <c r="R402" s="1619"/>
      <c r="S402" s="1619"/>
      <c r="T402" s="1619"/>
    </row>
    <row r="403" spans="1:20" ht="20.25" customHeight="1">
      <c r="A403" s="2084"/>
      <c r="B403" s="2084"/>
      <c r="C403" s="2085" t="s">
        <v>1682</v>
      </c>
      <c r="D403" s="2084"/>
      <c r="E403" s="2084"/>
      <c r="F403" s="2084"/>
      <c r="G403" s="2084"/>
      <c r="H403" s="2084"/>
      <c r="I403" s="2084"/>
      <c r="J403" s="2084"/>
      <c r="K403" s="2084"/>
      <c r="L403" s="2084"/>
      <c r="M403" s="2084"/>
      <c r="N403" s="2084"/>
      <c r="O403" s="2084"/>
      <c r="P403" s="2084"/>
      <c r="Q403" s="2084"/>
      <c r="R403" s="1619"/>
      <c r="S403" s="1619"/>
      <c r="T403" s="1619"/>
    </row>
    <row r="404" spans="1:20" ht="20.25" customHeight="1">
      <c r="A404" s="2084"/>
      <c r="B404" s="2084"/>
      <c r="C404" s="2085" t="s">
        <v>1683</v>
      </c>
      <c r="D404" s="2084"/>
      <c r="E404" s="2084"/>
      <c r="F404" s="2084"/>
      <c r="G404" s="2084"/>
      <c r="H404" s="2084"/>
      <c r="I404" s="2084"/>
      <c r="J404" s="2084"/>
      <c r="K404" s="2084"/>
      <c r="L404" s="2085"/>
      <c r="M404" s="2084"/>
      <c r="N404" s="2084"/>
      <c r="O404" s="2084"/>
      <c r="P404" s="2084"/>
      <c r="Q404" s="2084"/>
      <c r="R404" s="1619"/>
      <c r="S404" s="1619"/>
      <c r="T404" s="1619"/>
    </row>
    <row r="405" spans="1:20" ht="20.25" customHeight="1">
      <c r="A405" s="2084"/>
      <c r="B405" s="2084"/>
      <c r="C405" s="2085" t="s">
        <v>1684</v>
      </c>
      <c r="D405" s="2084"/>
      <c r="E405" s="2084"/>
      <c r="F405" s="2084"/>
      <c r="G405" s="2084"/>
      <c r="H405" s="2084"/>
      <c r="I405" s="2084"/>
      <c r="J405" s="2084"/>
      <c r="K405" s="2084"/>
      <c r="L405" s="2085"/>
      <c r="M405" s="2084"/>
      <c r="N405" s="2084"/>
      <c r="O405" s="2084"/>
      <c r="P405" s="2084"/>
      <c r="Q405" s="2084"/>
      <c r="R405" s="1619"/>
      <c r="S405" s="1619"/>
      <c r="T405" s="1619"/>
    </row>
    <row r="406" spans="1:20" ht="20.25" customHeight="1">
      <c r="A406" s="2084"/>
      <c r="B406" s="2084"/>
      <c r="C406" s="2085" t="s">
        <v>1685</v>
      </c>
      <c r="D406" s="2084"/>
      <c r="E406" s="2084"/>
      <c r="F406" s="2084"/>
      <c r="G406" s="2084"/>
      <c r="H406" s="2084"/>
      <c r="I406" s="2084"/>
      <c r="J406" s="2084"/>
      <c r="K406" s="2084"/>
      <c r="L406" s="2085"/>
      <c r="M406" s="2084"/>
      <c r="N406" s="2084"/>
      <c r="O406" s="2084"/>
      <c r="P406" s="2084"/>
      <c r="Q406" s="2084"/>
      <c r="R406" s="1619"/>
      <c r="S406" s="1619"/>
      <c r="T406" s="1619"/>
    </row>
    <row r="407" spans="1:20" ht="20.25" customHeight="1">
      <c r="A407" s="2084"/>
      <c r="B407" s="2084"/>
      <c r="C407" s="2085" t="s">
        <v>1686</v>
      </c>
      <c r="D407" s="2084"/>
      <c r="E407" s="2084"/>
      <c r="F407" s="2084"/>
      <c r="G407" s="2084"/>
      <c r="H407" s="2084"/>
      <c r="I407" s="2084"/>
      <c r="J407" s="2084"/>
      <c r="K407" s="2084"/>
      <c r="L407" s="2085"/>
      <c r="M407" s="2084"/>
      <c r="N407" s="2084"/>
      <c r="O407" s="2084"/>
      <c r="P407" s="2084"/>
      <c r="Q407" s="2084"/>
      <c r="R407" s="1619"/>
      <c r="S407" s="1619"/>
      <c r="T407" s="1619"/>
    </row>
    <row r="408" spans="1:20" ht="20.25" customHeight="1">
      <c r="A408" s="2084"/>
      <c r="B408" s="2084"/>
      <c r="C408" s="2084" t="s">
        <v>1687</v>
      </c>
      <c r="D408" s="2084"/>
      <c r="E408" s="2084"/>
      <c r="F408" s="2084"/>
      <c r="G408" s="2084"/>
      <c r="H408" s="2084"/>
      <c r="I408" s="2084"/>
      <c r="J408" s="2084"/>
      <c r="K408" s="2084"/>
      <c r="L408" s="2085"/>
      <c r="M408" s="2084"/>
      <c r="N408" s="2084"/>
      <c r="O408" s="2084"/>
      <c r="P408" s="2084"/>
      <c r="Q408" s="2084"/>
      <c r="R408" s="1619"/>
      <c r="S408" s="1619"/>
      <c r="T408" s="1619"/>
    </row>
    <row r="409" spans="1:20" ht="20.25" customHeight="1">
      <c r="A409" s="2084"/>
      <c r="B409" s="2084"/>
      <c r="C409" s="2084" t="s">
        <v>1688</v>
      </c>
      <c r="D409" s="2084"/>
      <c r="E409" s="2084"/>
      <c r="F409" s="2084"/>
      <c r="G409" s="2084"/>
      <c r="H409" s="2084"/>
      <c r="I409" s="2084"/>
      <c r="J409" s="2084"/>
      <c r="K409" s="2084"/>
      <c r="L409" s="2084"/>
      <c r="M409" s="2084"/>
      <c r="N409" s="2084"/>
      <c r="O409" s="2084"/>
      <c r="P409" s="2084"/>
      <c r="Q409" s="2084"/>
      <c r="R409" s="1619"/>
      <c r="S409" s="1619"/>
      <c r="T409" s="1619"/>
    </row>
    <row r="410" spans="1:20" ht="20.25" customHeight="1">
      <c r="A410" s="2084"/>
      <c r="B410" s="2084"/>
      <c r="C410" s="2085" t="s">
        <v>1689</v>
      </c>
      <c r="D410" s="2084"/>
      <c r="E410" s="2084"/>
      <c r="F410" s="2084"/>
      <c r="G410" s="2084"/>
      <c r="H410" s="2084"/>
      <c r="I410" s="2084"/>
      <c r="J410" s="2084"/>
      <c r="K410" s="2084"/>
      <c r="L410" s="2085"/>
      <c r="M410" s="2084"/>
      <c r="N410" s="2084"/>
      <c r="O410" s="2084"/>
      <c r="P410" s="2084"/>
      <c r="Q410" s="2084"/>
      <c r="R410" s="1619"/>
      <c r="S410" s="1619"/>
      <c r="T410" s="1619"/>
    </row>
    <row r="411" spans="1:20" ht="20.25" customHeight="1">
      <c r="A411" s="2084"/>
      <c r="B411" s="2084"/>
      <c r="C411" s="2084" t="s">
        <v>1690</v>
      </c>
      <c r="D411" s="2084"/>
      <c r="E411" s="2084"/>
      <c r="F411" s="2084"/>
      <c r="G411" s="2084"/>
      <c r="H411" s="2084"/>
      <c r="I411" s="2084"/>
      <c r="J411" s="2084"/>
      <c r="K411" s="2084"/>
      <c r="L411" s="2085"/>
      <c r="M411" s="2084"/>
      <c r="N411" s="2084"/>
      <c r="O411" s="2084"/>
      <c r="P411" s="2084"/>
      <c r="Q411" s="2084"/>
      <c r="R411" s="1619"/>
      <c r="S411" s="1619"/>
      <c r="T411" s="1619"/>
    </row>
    <row r="412" spans="1:20" ht="20.25" customHeight="1">
      <c r="A412" s="2084"/>
      <c r="B412" s="2084"/>
      <c r="C412" s="2084" t="s">
        <v>1686</v>
      </c>
      <c r="D412" s="2084"/>
      <c r="E412" s="2084"/>
      <c r="F412" s="2084"/>
      <c r="G412" s="2084"/>
      <c r="H412" s="2084"/>
      <c r="I412" s="2084"/>
      <c r="J412" s="2084"/>
      <c r="K412" s="2084"/>
      <c r="L412" s="2085"/>
      <c r="M412" s="2084"/>
      <c r="N412" s="2084"/>
      <c r="O412" s="2084"/>
      <c r="P412" s="2084"/>
      <c r="Q412" s="2084"/>
      <c r="R412" s="1619"/>
      <c r="S412" s="1619"/>
      <c r="T412" s="1619"/>
    </row>
    <row r="413" spans="1:20" ht="20.25" customHeight="1">
      <c r="A413" s="2084"/>
      <c r="B413" s="2084"/>
      <c r="C413" s="2084" t="s">
        <v>1691</v>
      </c>
      <c r="D413" s="2084"/>
      <c r="E413" s="2084"/>
      <c r="F413" s="2084"/>
      <c r="G413" s="2084"/>
      <c r="H413" s="2084"/>
      <c r="I413" s="2084"/>
      <c r="J413" s="2084"/>
      <c r="K413" s="2084"/>
      <c r="L413" s="2085"/>
      <c r="M413" s="2084"/>
      <c r="N413" s="2084"/>
      <c r="O413" s="2084"/>
      <c r="P413" s="2084"/>
      <c r="Q413" s="2084"/>
      <c r="R413" s="1619"/>
      <c r="S413" s="1619"/>
      <c r="T413" s="1619"/>
    </row>
    <row r="414" spans="1:20" ht="20.25" customHeight="1">
      <c r="A414" s="2084"/>
      <c r="B414" s="2084"/>
      <c r="C414" s="2084" t="s">
        <v>1692</v>
      </c>
      <c r="D414" s="2084"/>
      <c r="E414" s="2084"/>
      <c r="F414" s="2084"/>
      <c r="G414" s="2084"/>
      <c r="H414" s="2084"/>
      <c r="I414" s="2084"/>
      <c r="J414" s="2084"/>
      <c r="K414" s="2084"/>
      <c r="L414" s="2084"/>
      <c r="M414" s="2084"/>
      <c r="N414" s="2084"/>
      <c r="O414" s="2084"/>
      <c r="P414" s="2084"/>
      <c r="Q414" s="2084"/>
      <c r="R414" s="1619"/>
      <c r="S414" s="1619"/>
      <c r="T414" s="1619"/>
    </row>
    <row r="415" spans="1:20" ht="20.25" customHeight="1">
      <c r="A415" s="2084"/>
      <c r="B415" s="2084"/>
      <c r="C415" s="2085" t="s">
        <v>1693</v>
      </c>
      <c r="D415" s="2084"/>
      <c r="E415" s="2084"/>
      <c r="F415" s="2084"/>
      <c r="G415" s="2084"/>
      <c r="H415" s="2084"/>
      <c r="I415" s="2084"/>
      <c r="J415" s="2084"/>
      <c r="K415" s="2084"/>
      <c r="L415" s="2085"/>
      <c r="M415" s="2084"/>
      <c r="N415" s="2084"/>
      <c r="O415" s="2084"/>
      <c r="P415" s="2084"/>
      <c r="Q415" s="2084"/>
      <c r="R415" s="1619"/>
      <c r="S415" s="1619"/>
      <c r="T415" s="1619"/>
    </row>
    <row r="416" spans="1:20" ht="20.25" customHeight="1">
      <c r="A416" s="2084"/>
      <c r="B416" s="2084"/>
      <c r="C416" s="2084" t="s">
        <v>1694</v>
      </c>
      <c r="D416" s="2084"/>
      <c r="E416" s="2084"/>
      <c r="F416" s="2084"/>
      <c r="G416" s="2084"/>
      <c r="H416" s="2084"/>
      <c r="I416" s="2084"/>
      <c r="J416" s="2084"/>
      <c r="K416" s="2084"/>
      <c r="L416" s="2085"/>
      <c r="M416" s="2084"/>
      <c r="N416" s="2084"/>
      <c r="O416" s="2084"/>
      <c r="P416" s="2084"/>
      <c r="Q416" s="2084"/>
      <c r="R416" s="1619"/>
      <c r="S416" s="1619"/>
      <c r="T416" s="1619"/>
    </row>
    <row r="417" spans="1:28" ht="20.25" customHeight="1">
      <c r="A417" s="2084"/>
      <c r="B417" s="2084"/>
      <c r="C417" s="2084" t="s">
        <v>1695</v>
      </c>
      <c r="D417" s="2084"/>
      <c r="E417" s="2084"/>
      <c r="F417" s="2084"/>
      <c r="G417" s="2084"/>
      <c r="H417" s="2084"/>
      <c r="I417" s="2084"/>
      <c r="J417" s="2084"/>
      <c r="K417" s="2084"/>
      <c r="L417" s="2085"/>
      <c r="M417" s="2084"/>
      <c r="N417" s="2084"/>
      <c r="O417" s="2084"/>
      <c r="P417" s="2084"/>
      <c r="Q417" s="2084"/>
      <c r="R417" s="1619"/>
      <c r="S417" s="1619"/>
      <c r="T417" s="1619"/>
    </row>
    <row r="418" spans="1:28" ht="20.25" customHeight="1">
      <c r="A418" s="2084"/>
      <c r="B418" s="2084"/>
      <c r="C418" s="2084" t="s">
        <v>1696</v>
      </c>
      <c r="D418" s="2084"/>
      <c r="E418" s="2084"/>
      <c r="F418" s="2084"/>
      <c r="G418" s="2084"/>
      <c r="H418" s="2084"/>
      <c r="I418" s="2084"/>
      <c r="J418" s="2084"/>
      <c r="K418" s="2088" t="s">
        <v>1697</v>
      </c>
      <c r="L418" s="2085"/>
      <c r="M418" s="2084"/>
      <c r="N418" s="2084"/>
      <c r="O418" s="2084"/>
      <c r="P418" s="2084"/>
      <c r="Q418" s="2084"/>
      <c r="R418" s="1619"/>
      <c r="S418" s="1619"/>
      <c r="T418" s="1619"/>
    </row>
    <row r="419" spans="1:28" ht="20.25" customHeight="1">
      <c r="A419" s="2084"/>
      <c r="B419" s="2084"/>
      <c r="C419" s="2084" t="s">
        <v>1698</v>
      </c>
      <c r="D419" s="2084"/>
      <c r="E419" s="2084"/>
      <c r="F419" s="2084"/>
      <c r="G419" s="2084"/>
      <c r="H419" s="2084"/>
      <c r="I419" s="2084"/>
      <c r="J419" s="2084"/>
      <c r="K419" s="2084" t="s">
        <v>1699</v>
      </c>
      <c r="L419" s="2085"/>
      <c r="M419" s="2084"/>
      <c r="N419" s="2084"/>
      <c r="O419" s="2084"/>
      <c r="P419" s="2084"/>
      <c r="Q419" s="2084"/>
      <c r="R419" s="1619"/>
      <c r="S419" s="1619"/>
      <c r="T419" s="1619"/>
    </row>
    <row r="420" spans="1:28" ht="20.25" customHeight="1">
      <c r="A420" s="2084"/>
      <c r="B420" s="2084"/>
      <c r="C420" s="2084" t="s">
        <v>1700</v>
      </c>
      <c r="D420" s="2084"/>
      <c r="E420" s="2084"/>
      <c r="F420" s="2084"/>
      <c r="G420" s="2084"/>
      <c r="H420" s="2084"/>
      <c r="I420" s="2084"/>
      <c r="J420" s="2084"/>
      <c r="K420" s="2084" t="s">
        <v>1575</v>
      </c>
      <c r="L420" s="2084"/>
      <c r="M420" s="2084"/>
      <c r="N420" s="2084"/>
      <c r="O420" s="2084"/>
      <c r="P420" s="2084"/>
      <c r="Q420" s="2084"/>
      <c r="R420" s="1619"/>
      <c r="S420" s="1619"/>
      <c r="T420" s="1619"/>
    </row>
    <row r="421" spans="1:28" ht="20.25" customHeight="1">
      <c r="A421" s="2084"/>
      <c r="B421" s="2084"/>
      <c r="C421" s="2085" t="s">
        <v>1701</v>
      </c>
      <c r="D421" s="2084"/>
      <c r="E421" s="2084"/>
      <c r="F421" s="2084"/>
      <c r="G421" s="2084"/>
      <c r="H421" s="2084"/>
      <c r="I421" s="2084"/>
      <c r="J421" s="2084"/>
      <c r="K421" s="2084" t="s">
        <v>1702</v>
      </c>
      <c r="L421" s="2084"/>
      <c r="M421" s="2084"/>
      <c r="N421" s="2084"/>
      <c r="O421" s="2084"/>
      <c r="P421" s="2084"/>
      <c r="Q421" s="2084"/>
      <c r="R421" s="1619"/>
      <c r="S421" s="1619"/>
      <c r="T421" s="1619"/>
    </row>
    <row r="422" spans="1:28" ht="20.25" customHeight="1">
      <c r="A422" s="2084"/>
      <c r="B422" s="2084"/>
      <c r="C422" s="2084"/>
      <c r="D422" s="2084"/>
      <c r="E422" s="2084"/>
      <c r="F422" s="2084"/>
      <c r="G422" s="2084"/>
      <c r="H422" s="2084"/>
      <c r="I422" s="2084"/>
      <c r="J422" s="2084"/>
      <c r="K422" s="2084"/>
      <c r="L422" s="2084"/>
      <c r="M422" s="2084"/>
      <c r="N422" s="2084"/>
      <c r="O422" s="2084"/>
      <c r="P422" s="2084"/>
      <c r="Q422" s="2084"/>
      <c r="R422" s="1619"/>
      <c r="S422" s="1619"/>
      <c r="T422" s="1619"/>
    </row>
    <row r="423" spans="1:28" ht="20.25" customHeight="1">
      <c r="A423" s="2084"/>
      <c r="B423" s="2084"/>
      <c r="C423" s="2088" t="s">
        <v>1703</v>
      </c>
      <c r="D423" s="2084"/>
      <c r="E423" s="2084"/>
      <c r="F423" s="2084"/>
      <c r="G423" s="2084"/>
      <c r="H423" s="2084"/>
      <c r="I423" s="2084"/>
      <c r="J423" s="2084"/>
      <c r="K423" s="2088" t="s">
        <v>1704</v>
      </c>
      <c r="L423" s="2084"/>
      <c r="M423" s="2084"/>
      <c r="N423" s="2084"/>
      <c r="O423" s="2084"/>
      <c r="P423" s="2084"/>
      <c r="Q423" s="2084"/>
      <c r="R423" s="1619"/>
      <c r="S423" s="1619"/>
      <c r="T423" s="1619"/>
    </row>
    <row r="424" spans="1:28" ht="20.25" customHeight="1">
      <c r="A424" s="2084"/>
      <c r="B424" s="2084"/>
      <c r="C424" s="2084" t="s">
        <v>1705</v>
      </c>
      <c r="D424" s="2084"/>
      <c r="E424" s="2084"/>
      <c r="F424" s="2084"/>
      <c r="G424" s="2084"/>
      <c r="H424" s="2084"/>
      <c r="I424" s="2084"/>
      <c r="J424" s="2084"/>
      <c r="K424" s="2084" t="s">
        <v>1706</v>
      </c>
      <c r="L424" s="2084"/>
      <c r="M424" s="2084"/>
      <c r="N424" s="2084"/>
      <c r="O424" s="2084"/>
      <c r="P424" s="2084"/>
      <c r="Q424" s="2084"/>
      <c r="R424" s="1619"/>
      <c r="S424" s="1619"/>
      <c r="T424" s="1619"/>
    </row>
    <row r="425" spans="1:28" ht="20.25" customHeight="1">
      <c r="A425" s="2084"/>
      <c r="B425" s="2084"/>
      <c r="C425" s="2084" t="s">
        <v>1707</v>
      </c>
      <c r="D425" s="2084"/>
      <c r="E425" s="2084"/>
      <c r="F425" s="2084"/>
      <c r="G425" s="2084"/>
      <c r="H425" s="2084"/>
      <c r="I425" s="2084"/>
      <c r="J425" s="2084"/>
      <c r="K425" s="2084" t="s">
        <v>1573</v>
      </c>
      <c r="L425" s="2084"/>
      <c r="M425" s="2084"/>
      <c r="N425" s="2084"/>
      <c r="O425" s="2084"/>
      <c r="P425" s="2084"/>
      <c r="Q425" s="2084"/>
      <c r="R425" s="1619"/>
      <c r="S425" s="1619"/>
      <c r="T425" s="1619"/>
    </row>
    <row r="426" spans="1:28" ht="20.25" customHeight="1">
      <c r="A426" s="2084"/>
      <c r="B426" s="2084"/>
      <c r="C426" s="2084" t="s">
        <v>1708</v>
      </c>
      <c r="D426" s="2084"/>
      <c r="E426" s="2084"/>
      <c r="F426" s="2084"/>
      <c r="G426" s="2084"/>
      <c r="H426" s="2084"/>
      <c r="I426" s="2084"/>
      <c r="J426" s="2084"/>
      <c r="K426" s="2084" t="s">
        <v>1709</v>
      </c>
      <c r="L426" s="2084"/>
      <c r="M426" s="2084"/>
      <c r="N426" s="2084"/>
      <c r="O426" s="2084"/>
      <c r="P426" s="2084"/>
      <c r="Q426" s="2084"/>
      <c r="R426" s="1619"/>
      <c r="S426" s="1619"/>
      <c r="T426" s="1619"/>
    </row>
    <row r="427" spans="1:28" ht="20.25" customHeight="1">
      <c r="A427" s="2084"/>
      <c r="B427" s="2084"/>
      <c r="C427" s="2084" t="s">
        <v>1710</v>
      </c>
      <c r="D427" s="2084"/>
      <c r="E427" s="2084"/>
      <c r="F427" s="2084"/>
      <c r="G427" s="2084"/>
      <c r="H427" s="2084"/>
      <c r="I427" s="2084"/>
      <c r="J427" s="2084"/>
      <c r="K427" s="2084" t="s">
        <v>1711</v>
      </c>
      <c r="L427" s="2084"/>
      <c r="M427" s="2084"/>
      <c r="N427" s="2084"/>
      <c r="O427" s="2084"/>
      <c r="P427" s="2084"/>
      <c r="Q427" s="2084"/>
      <c r="R427" s="1619"/>
      <c r="S427" s="1619"/>
      <c r="T427" s="1619"/>
    </row>
    <row r="428" spans="1:28" ht="20.25" customHeight="1">
      <c r="A428" s="2084"/>
      <c r="B428" s="2084"/>
      <c r="C428" s="2084" t="s">
        <v>1712</v>
      </c>
      <c r="D428" s="2084"/>
      <c r="E428" s="2084"/>
      <c r="F428" s="2084"/>
      <c r="G428" s="2084"/>
      <c r="H428" s="2084"/>
      <c r="I428" s="2084"/>
      <c r="J428" s="2084"/>
      <c r="K428" s="2084" t="s">
        <v>1713</v>
      </c>
      <c r="L428" s="2084"/>
      <c r="M428" s="2084"/>
      <c r="N428" s="2084"/>
      <c r="O428" s="2084"/>
      <c r="P428" s="2084"/>
      <c r="Q428" s="2084"/>
      <c r="R428" s="1619"/>
      <c r="S428" s="1619"/>
      <c r="T428" s="1619"/>
    </row>
    <row r="429" spans="1:28" ht="20.25" customHeight="1">
      <c r="A429" s="2084"/>
      <c r="B429" s="2084"/>
      <c r="C429" s="2084"/>
      <c r="D429" s="2084"/>
      <c r="E429" s="2084"/>
      <c r="F429" s="2084"/>
      <c r="G429" s="2084"/>
      <c r="H429" s="2084"/>
      <c r="I429" s="2084"/>
      <c r="J429" s="2084"/>
      <c r="K429" s="2088" t="s">
        <v>1714</v>
      </c>
      <c r="L429" s="2084"/>
      <c r="M429" s="2084"/>
      <c r="N429" s="2084"/>
      <c r="O429" s="2084"/>
      <c r="P429" s="2084"/>
      <c r="Q429" s="2084"/>
      <c r="R429" s="1619"/>
      <c r="S429" s="1619"/>
      <c r="T429" s="1619"/>
    </row>
    <row r="430" spans="1:28" s="1572" customFormat="1" ht="20.25" customHeight="1">
      <c r="A430" s="2548"/>
      <c r="B430" s="2548"/>
      <c r="C430" s="2548"/>
      <c r="D430" s="2084"/>
      <c r="E430" s="2084"/>
      <c r="F430" s="2084"/>
      <c r="G430" s="2084"/>
      <c r="H430" s="2084"/>
      <c r="I430" s="2084"/>
      <c r="J430" s="2084"/>
      <c r="K430" s="2084" t="s">
        <v>1715</v>
      </c>
      <c r="L430" s="2084"/>
      <c r="M430" s="2084"/>
      <c r="N430" s="2084"/>
      <c r="O430" s="2084"/>
      <c r="P430" s="2084"/>
      <c r="Q430" s="2084"/>
      <c r="R430" s="1619"/>
      <c r="S430" s="1619"/>
      <c r="T430" s="1619"/>
      <c r="U430" s="1619"/>
      <c r="V430" s="1619"/>
      <c r="W430" s="1619"/>
      <c r="X430" s="1619"/>
      <c r="Y430" s="1619"/>
      <c r="Z430" s="1619"/>
      <c r="AA430" s="2091"/>
      <c r="AB430" s="1619"/>
    </row>
    <row r="431" spans="1:28" s="1572" customFormat="1" ht="20.25" customHeight="1">
      <c r="A431" s="2548"/>
      <c r="B431" s="2548"/>
      <c r="C431" s="2548"/>
      <c r="D431" s="2084"/>
      <c r="E431" s="2084"/>
      <c r="F431" s="2084"/>
      <c r="G431" s="2084"/>
      <c r="H431" s="2084"/>
      <c r="I431" s="2084"/>
      <c r="J431" s="2084"/>
      <c r="K431" s="2084" t="s">
        <v>1716</v>
      </c>
      <c r="L431" s="2084"/>
      <c r="M431" s="2084"/>
      <c r="N431" s="2084"/>
      <c r="O431" s="2084"/>
      <c r="P431" s="2084"/>
      <c r="Q431" s="2084"/>
      <c r="R431" s="1619"/>
      <c r="S431" s="1619"/>
      <c r="T431" s="1619"/>
      <c r="U431" s="1619"/>
      <c r="V431" s="1619"/>
      <c r="W431" s="1619"/>
      <c r="X431" s="1619"/>
      <c r="Y431" s="1619"/>
      <c r="Z431" s="1619"/>
      <c r="AA431" s="2091"/>
      <c r="AB431" s="1619"/>
    </row>
    <row r="432" spans="1:28" s="1572" customFormat="1" ht="20.25" customHeight="1">
      <c r="A432" s="2548"/>
      <c r="B432" s="2548"/>
      <c r="C432" s="2548"/>
      <c r="D432" s="2084"/>
      <c r="E432" s="2084"/>
      <c r="F432" s="2084"/>
      <c r="G432" s="2084"/>
      <c r="H432" s="2084"/>
      <c r="I432" s="2084"/>
      <c r="J432" s="2084"/>
      <c r="K432" s="2084" t="s">
        <v>1717</v>
      </c>
      <c r="L432" s="2084"/>
      <c r="M432" s="2084"/>
      <c r="N432" s="2084"/>
      <c r="O432" s="2084"/>
      <c r="P432" s="2084"/>
      <c r="Q432" s="2084"/>
      <c r="R432" s="1619"/>
      <c r="S432" s="1619"/>
      <c r="T432" s="1619"/>
      <c r="U432" s="1619"/>
      <c r="V432" s="1619"/>
      <c r="W432" s="1619"/>
      <c r="X432" s="1619"/>
      <c r="Y432" s="1619"/>
      <c r="Z432" s="1619"/>
      <c r="AA432" s="2091"/>
      <c r="AB432" s="1619"/>
    </row>
    <row r="433" spans="2:28" s="1572" customFormat="1" ht="20.25" customHeight="1">
      <c r="B433" s="2548"/>
      <c r="C433" s="2548"/>
      <c r="D433" s="2084"/>
      <c r="E433" s="2084"/>
      <c r="F433" s="2084"/>
      <c r="G433" s="2084"/>
      <c r="H433" s="2084"/>
      <c r="I433" s="2084"/>
      <c r="J433" s="2084"/>
      <c r="K433" s="2084" t="s">
        <v>1718</v>
      </c>
      <c r="L433" s="2084"/>
      <c r="M433" s="2084"/>
      <c r="N433" s="2084"/>
      <c r="O433" s="2084"/>
      <c r="P433" s="2084"/>
      <c r="Q433" s="2084"/>
      <c r="R433" s="1619"/>
      <c r="S433" s="1619"/>
      <c r="T433" s="1619"/>
      <c r="U433" s="1619"/>
      <c r="V433" s="1619"/>
      <c r="W433" s="1619"/>
      <c r="X433" s="1619"/>
      <c r="Y433" s="1619"/>
      <c r="Z433" s="1619"/>
      <c r="AA433" s="2091"/>
      <c r="AB433" s="1619"/>
    </row>
    <row r="434" spans="2:28" s="1572" customFormat="1" ht="20.25" customHeight="1">
      <c r="B434" s="2548"/>
      <c r="C434" s="2548"/>
      <c r="D434" s="2084"/>
      <c r="E434" s="2084"/>
      <c r="F434" s="2084"/>
      <c r="G434" s="2084"/>
      <c r="H434" s="2084"/>
      <c r="I434" s="2084"/>
      <c r="J434" s="2084"/>
      <c r="K434" s="2084" t="s">
        <v>1719</v>
      </c>
      <c r="L434" s="2084"/>
      <c r="M434" s="2084"/>
      <c r="N434" s="2084"/>
      <c r="O434" s="2084"/>
      <c r="P434" s="2084"/>
      <c r="Q434" s="2084"/>
      <c r="R434" s="1619"/>
      <c r="S434" s="1619"/>
      <c r="T434" s="1619"/>
      <c r="U434" s="1619"/>
      <c r="V434" s="1619"/>
      <c r="W434" s="1619"/>
      <c r="X434" s="1619"/>
      <c r="Y434" s="1619"/>
      <c r="Z434" s="1619"/>
      <c r="AA434" s="2091"/>
      <c r="AB434" s="1619"/>
    </row>
    <row r="435" spans="2:28" s="1572" customFormat="1" ht="20.25" customHeight="1">
      <c r="B435" s="2084"/>
      <c r="C435" s="2084"/>
      <c r="D435" s="2084"/>
      <c r="E435" s="2084"/>
      <c r="F435" s="2084"/>
      <c r="G435" s="2084"/>
      <c r="H435" s="2084"/>
      <c r="I435" s="2084"/>
      <c r="J435" s="2084"/>
      <c r="K435" s="2084"/>
      <c r="L435" s="2084"/>
      <c r="M435" s="2084"/>
      <c r="N435" s="2084"/>
      <c r="O435" s="2084"/>
      <c r="P435" s="2084"/>
      <c r="Q435" s="2084"/>
      <c r="R435" s="1619"/>
      <c r="S435" s="1619"/>
      <c r="T435" s="1619"/>
      <c r="U435" s="1619"/>
      <c r="V435" s="1619"/>
      <c r="W435" s="1619"/>
      <c r="X435" s="1619"/>
      <c r="Y435" s="1619"/>
      <c r="Z435" s="1619"/>
      <c r="AA435" s="2091"/>
      <c r="AB435" s="1619"/>
    </row>
    <row r="436" spans="2:28" s="1572" customFormat="1" ht="20.25" customHeight="1">
      <c r="B436" s="2084"/>
      <c r="C436" s="2088" t="s">
        <v>1720</v>
      </c>
      <c r="D436" s="2084"/>
      <c r="E436" s="2084"/>
      <c r="F436" s="2084"/>
      <c r="G436" s="2084"/>
      <c r="H436" s="2084"/>
      <c r="I436" s="2084"/>
      <c r="J436" s="2084"/>
      <c r="K436" s="2084"/>
      <c r="L436" s="2084"/>
      <c r="M436" s="2088" t="s">
        <v>1721</v>
      </c>
      <c r="N436" s="2084"/>
      <c r="O436" s="2084"/>
      <c r="P436" s="2084"/>
      <c r="Q436" s="2084"/>
      <c r="R436" s="1619"/>
      <c r="S436" s="1619"/>
      <c r="T436" s="1619"/>
      <c r="U436" s="1619"/>
      <c r="V436" s="1619"/>
      <c r="W436" s="1619"/>
      <c r="X436" s="1619"/>
      <c r="Y436" s="1619"/>
      <c r="Z436" s="1619"/>
      <c r="AA436" s="2091"/>
      <c r="AB436" s="1619"/>
    </row>
    <row r="437" spans="2:28" s="1572" customFormat="1" ht="20.25" customHeight="1">
      <c r="B437" s="2084"/>
      <c r="C437" s="2084" t="s">
        <v>1527</v>
      </c>
      <c r="D437" s="2084"/>
      <c r="E437" s="2084"/>
      <c r="F437" s="2084"/>
      <c r="G437" s="2084"/>
      <c r="H437" s="2084"/>
      <c r="I437" s="2084"/>
      <c r="J437" s="2084"/>
      <c r="K437" s="2084"/>
      <c r="L437" s="2084"/>
      <c r="M437" s="2084" t="s">
        <v>1527</v>
      </c>
      <c r="N437" s="2084"/>
      <c r="O437" s="2084"/>
      <c r="P437" s="2084"/>
      <c r="Q437" s="2084"/>
      <c r="R437" s="1619"/>
      <c r="S437" s="1619"/>
      <c r="T437" s="1619"/>
      <c r="U437" s="1619"/>
      <c r="V437" s="1619"/>
      <c r="W437" s="1619"/>
      <c r="X437" s="1619"/>
      <c r="Y437" s="1619"/>
      <c r="Z437" s="1619"/>
      <c r="AA437" s="2091"/>
      <c r="AB437" s="1619"/>
    </row>
    <row r="438" spans="2:28" s="1572" customFormat="1" ht="20.25" customHeight="1">
      <c r="B438" s="2084"/>
      <c r="C438" s="2084" t="s">
        <v>1722</v>
      </c>
      <c r="D438" s="2084"/>
      <c r="E438" s="2084"/>
      <c r="F438" s="2084"/>
      <c r="G438" s="2084"/>
      <c r="H438" s="2084"/>
      <c r="I438" s="2084"/>
      <c r="J438" s="2084"/>
      <c r="K438" s="2084"/>
      <c r="L438" s="2084"/>
      <c r="M438" s="2084" t="s">
        <v>1723</v>
      </c>
      <c r="N438" s="2084"/>
      <c r="O438" s="2084"/>
      <c r="P438" s="2084"/>
      <c r="Q438" s="2084"/>
      <c r="R438" s="1619"/>
      <c r="S438" s="1619"/>
      <c r="T438" s="1619"/>
      <c r="U438" s="1619"/>
      <c r="V438" s="1619"/>
      <c r="W438" s="1619"/>
      <c r="X438" s="1619"/>
      <c r="Y438" s="1619"/>
      <c r="Z438" s="1619"/>
      <c r="AA438" s="2091"/>
      <c r="AB438" s="1619"/>
    </row>
    <row r="439" spans="2:28" s="1572" customFormat="1" ht="20.25" customHeight="1">
      <c r="B439" s="2084"/>
      <c r="C439" s="2084" t="s">
        <v>1724</v>
      </c>
      <c r="D439" s="2084"/>
      <c r="E439" s="2084"/>
      <c r="F439" s="2084"/>
      <c r="G439" s="2084"/>
      <c r="H439" s="2084"/>
      <c r="I439" s="2084"/>
      <c r="J439" s="2084"/>
      <c r="K439" s="2084"/>
      <c r="L439" s="2084"/>
      <c r="M439" s="2084" t="s">
        <v>1725</v>
      </c>
      <c r="N439" s="2084"/>
      <c r="O439" s="2084"/>
      <c r="P439" s="2084"/>
      <c r="Q439" s="2084"/>
      <c r="R439" s="1619"/>
      <c r="S439" s="1619"/>
      <c r="T439" s="1619"/>
      <c r="U439" s="1619"/>
      <c r="V439" s="1619"/>
      <c r="W439" s="1619"/>
      <c r="X439" s="1619"/>
      <c r="Y439" s="1619"/>
      <c r="Z439" s="1619"/>
      <c r="AA439" s="2091"/>
      <c r="AB439" s="1619"/>
    </row>
    <row r="440" spans="2:28" s="1572" customFormat="1" ht="20.25" customHeight="1">
      <c r="B440" s="2084"/>
      <c r="C440" s="2084" t="s">
        <v>1726</v>
      </c>
      <c r="D440" s="2084"/>
      <c r="E440" s="2084"/>
      <c r="F440" s="2084"/>
      <c r="G440" s="2084"/>
      <c r="H440" s="2084"/>
      <c r="I440" s="2084"/>
      <c r="J440" s="2084"/>
      <c r="K440" s="2084"/>
      <c r="L440" s="2084"/>
      <c r="M440" s="2084" t="s">
        <v>1727</v>
      </c>
      <c r="N440" s="2084"/>
      <c r="O440" s="2084"/>
      <c r="P440" s="2084"/>
      <c r="Q440" s="2084"/>
      <c r="R440" s="1619"/>
      <c r="S440" s="1619"/>
      <c r="T440" s="1619"/>
      <c r="U440" s="1619"/>
      <c r="V440" s="1619"/>
      <c r="W440" s="1619"/>
      <c r="X440" s="1619"/>
      <c r="Y440" s="1619"/>
      <c r="Z440" s="1619"/>
      <c r="AA440" s="2091"/>
      <c r="AB440" s="1619"/>
    </row>
    <row r="441" spans="2:28" s="1572" customFormat="1" ht="20.25" customHeight="1">
      <c r="B441" s="2084"/>
      <c r="C441" s="2084" t="s">
        <v>1728</v>
      </c>
      <c r="D441" s="2084"/>
      <c r="E441" s="2084"/>
      <c r="F441" s="2084"/>
      <c r="G441" s="2084"/>
      <c r="H441" s="2084"/>
      <c r="I441" s="2084"/>
      <c r="J441" s="2084"/>
      <c r="K441" s="2084"/>
      <c r="L441" s="2084"/>
      <c r="M441" s="2084" t="s">
        <v>1729</v>
      </c>
      <c r="N441" s="2084"/>
      <c r="O441" s="2084"/>
      <c r="P441" s="2084"/>
      <c r="Q441" s="2084"/>
      <c r="R441" s="1619"/>
      <c r="S441" s="1619"/>
      <c r="T441" s="1619"/>
      <c r="U441" s="1619"/>
      <c r="V441" s="1619"/>
      <c r="W441" s="1619"/>
      <c r="X441" s="1619"/>
      <c r="Y441" s="1619"/>
      <c r="Z441" s="1619"/>
      <c r="AA441" s="2091"/>
      <c r="AB441" s="1619"/>
    </row>
    <row r="442" spans="2:28" s="1572" customFormat="1" ht="20.25" customHeight="1">
      <c r="B442" s="2084"/>
      <c r="C442" s="2084" t="s">
        <v>1730</v>
      </c>
      <c r="D442" s="2084"/>
      <c r="E442" s="2084"/>
      <c r="F442" s="2084"/>
      <c r="G442" s="2084"/>
      <c r="H442" s="2084"/>
      <c r="I442" s="2084"/>
      <c r="J442" s="2084"/>
      <c r="K442" s="2084"/>
      <c r="L442" s="2084"/>
      <c r="M442" s="2084" t="s">
        <v>1731</v>
      </c>
      <c r="N442" s="2084"/>
      <c r="O442" s="2084"/>
      <c r="P442" s="2084"/>
      <c r="Q442" s="2084"/>
      <c r="R442" s="1619"/>
      <c r="S442" s="1619"/>
      <c r="T442" s="1619"/>
      <c r="U442" s="1619"/>
      <c r="V442" s="1619"/>
      <c r="W442" s="1619"/>
      <c r="X442" s="1619"/>
      <c r="Y442" s="1619"/>
      <c r="Z442" s="1619"/>
      <c r="AA442" s="2091"/>
      <c r="AB442" s="1619"/>
    </row>
    <row r="443" spans="2:28" s="1572" customFormat="1" ht="20.25" customHeight="1">
      <c r="B443" s="2084"/>
      <c r="C443" s="2084" t="s">
        <v>1732</v>
      </c>
      <c r="D443" s="2084"/>
      <c r="E443" s="2084"/>
      <c r="F443" s="2084"/>
      <c r="G443" s="2084"/>
      <c r="H443" s="2084"/>
      <c r="I443" s="2084"/>
      <c r="J443" s="2084"/>
      <c r="K443" s="2084"/>
      <c r="L443" s="2084"/>
      <c r="M443" s="2084" t="s">
        <v>1522</v>
      </c>
      <c r="N443" s="2084"/>
      <c r="O443" s="2084"/>
      <c r="P443" s="2084"/>
      <c r="Q443" s="2084"/>
      <c r="R443" s="1619"/>
      <c r="S443" s="1619"/>
      <c r="T443" s="1619"/>
      <c r="U443" s="1619"/>
      <c r="V443" s="1619"/>
      <c r="W443" s="1619"/>
      <c r="X443" s="1619"/>
      <c r="Y443" s="1619"/>
      <c r="Z443" s="1619"/>
      <c r="AA443" s="2091"/>
      <c r="AB443" s="1619"/>
    </row>
    <row r="444" spans="2:28" s="1572" customFormat="1" ht="20.25" customHeight="1">
      <c r="B444" s="2084"/>
      <c r="C444" s="2084" t="s">
        <v>1733</v>
      </c>
      <c r="D444" s="2084"/>
      <c r="E444" s="2084"/>
      <c r="F444" s="2084"/>
      <c r="G444" s="2084"/>
      <c r="H444" s="2084"/>
      <c r="I444" s="2084"/>
      <c r="J444" s="2084"/>
      <c r="K444" s="2084"/>
      <c r="L444" s="2084"/>
      <c r="M444" s="2084" t="s">
        <v>1525</v>
      </c>
      <c r="N444" s="2084"/>
      <c r="O444" s="2084"/>
      <c r="P444" s="2084"/>
      <c r="Q444" s="2084"/>
      <c r="R444" s="1619"/>
      <c r="S444" s="1619"/>
      <c r="T444" s="1619"/>
      <c r="U444" s="1619"/>
      <c r="V444" s="1619"/>
      <c r="W444" s="1619"/>
      <c r="X444" s="1619"/>
      <c r="Y444" s="1619"/>
      <c r="Z444" s="1619"/>
      <c r="AA444" s="2091"/>
      <c r="AB444" s="1619"/>
    </row>
    <row r="445" spans="2:28" s="1572" customFormat="1" ht="20.25" customHeight="1">
      <c r="B445" s="2548"/>
      <c r="C445" s="2548"/>
      <c r="D445" s="2084"/>
      <c r="E445" s="2084"/>
      <c r="F445" s="2084"/>
      <c r="G445" s="2084"/>
      <c r="H445" s="2084"/>
      <c r="I445" s="2084"/>
      <c r="J445" s="2084"/>
      <c r="K445" s="2084"/>
      <c r="L445" s="2084"/>
      <c r="M445" s="2084" t="s">
        <v>1675</v>
      </c>
      <c r="N445" s="2084"/>
      <c r="O445" s="2084"/>
      <c r="P445" s="2084"/>
      <c r="Q445" s="2084"/>
      <c r="R445" s="1619"/>
      <c r="S445" s="1619"/>
      <c r="T445" s="1619"/>
      <c r="U445" s="1619"/>
      <c r="V445" s="1619"/>
      <c r="W445" s="1619"/>
      <c r="X445" s="1619"/>
      <c r="Y445" s="1619"/>
      <c r="Z445" s="1619"/>
      <c r="AA445" s="2091"/>
      <c r="AB445" s="1619"/>
    </row>
    <row r="446" spans="2:28" s="1572" customFormat="1" ht="20.25" customHeight="1">
      <c r="B446" s="2548"/>
      <c r="C446" s="2548"/>
      <c r="D446" s="2084"/>
      <c r="E446" s="2084"/>
      <c r="F446" s="2084"/>
      <c r="G446" s="2084"/>
      <c r="H446" s="2084"/>
      <c r="I446" s="2084"/>
      <c r="J446" s="2084"/>
      <c r="K446" s="2084"/>
      <c r="L446" s="2084"/>
      <c r="M446" s="2084" t="s">
        <v>1734</v>
      </c>
      <c r="N446" s="2084"/>
      <c r="O446" s="2084"/>
      <c r="P446" s="2084"/>
      <c r="Q446" s="2084"/>
      <c r="R446" s="1619"/>
      <c r="S446" s="1619"/>
      <c r="T446" s="1619"/>
      <c r="U446" s="1619"/>
      <c r="V446" s="1619"/>
      <c r="W446" s="1619"/>
      <c r="X446" s="1619"/>
      <c r="Y446" s="1619"/>
      <c r="Z446" s="1619"/>
      <c r="AA446" s="2091"/>
      <c r="AB446" s="1619"/>
    </row>
    <row r="447" spans="2:28" s="1572" customFormat="1" ht="20.25" customHeight="1">
      <c r="B447" s="2548"/>
      <c r="C447" s="2548"/>
      <c r="D447" s="2084"/>
      <c r="E447" s="2084"/>
      <c r="F447" s="2084"/>
      <c r="G447" s="2084"/>
      <c r="H447" s="2084"/>
      <c r="I447" s="2084"/>
      <c r="J447" s="2084"/>
      <c r="K447" s="2084"/>
      <c r="L447" s="2084"/>
      <c r="M447" s="2084"/>
      <c r="N447" s="2084"/>
      <c r="O447" s="2084"/>
      <c r="P447" s="2084"/>
      <c r="Q447" s="2084"/>
      <c r="R447" s="1619"/>
      <c r="S447" s="1619"/>
      <c r="T447" s="1619"/>
      <c r="U447" s="1619"/>
      <c r="V447" s="1619"/>
      <c r="W447" s="1619"/>
      <c r="X447" s="1619"/>
      <c r="Y447" s="1619"/>
      <c r="Z447" s="1619"/>
      <c r="AA447" s="2091"/>
      <c r="AB447" s="1619"/>
    </row>
    <row r="448" spans="2:28" s="1572" customFormat="1" ht="20.25" customHeight="1">
      <c r="B448" s="2548"/>
      <c r="C448" s="2548"/>
      <c r="D448" s="2084"/>
      <c r="E448" s="2084"/>
      <c r="F448" s="2084"/>
      <c r="G448" s="2084"/>
      <c r="H448" s="2084"/>
      <c r="I448" s="2084"/>
      <c r="J448" s="2084"/>
      <c r="K448" s="2084"/>
      <c r="L448" s="2084"/>
      <c r="M448" s="2089" t="s">
        <v>1544</v>
      </c>
      <c r="N448" s="2084"/>
      <c r="O448" s="2084"/>
      <c r="P448" s="2084"/>
      <c r="Q448" s="2084"/>
      <c r="R448" s="1619"/>
      <c r="S448" s="1619"/>
      <c r="T448" s="1619"/>
      <c r="U448" s="1619"/>
      <c r="V448" s="1619"/>
      <c r="W448" s="1619"/>
      <c r="X448" s="1619"/>
      <c r="Y448" s="1619"/>
      <c r="Z448" s="1619"/>
      <c r="AA448" s="2091"/>
      <c r="AB448" s="1619"/>
    </row>
    <row r="449" spans="4:28" s="1572" customFormat="1" ht="20.25" customHeight="1">
      <c r="D449" s="2084"/>
      <c r="E449" s="2084"/>
      <c r="F449" s="2084"/>
      <c r="G449" s="2084"/>
      <c r="H449" s="2084"/>
      <c r="I449" s="2084"/>
      <c r="J449" s="2084"/>
      <c r="K449" s="2084"/>
      <c r="L449" s="2084"/>
      <c r="M449" s="2084" t="s">
        <v>1735</v>
      </c>
      <c r="N449" s="2084"/>
      <c r="O449" s="2084"/>
      <c r="P449" s="2084"/>
      <c r="Q449" s="2084"/>
      <c r="R449" s="1619"/>
      <c r="S449" s="1619"/>
      <c r="T449" s="1619"/>
      <c r="U449" s="1619"/>
      <c r="V449" s="1619"/>
      <c r="W449" s="1619"/>
      <c r="X449" s="1619"/>
      <c r="Y449" s="1619"/>
      <c r="Z449" s="1619"/>
      <c r="AA449" s="2091"/>
      <c r="AB449" s="1619"/>
    </row>
    <row r="450" spans="4:28" s="1572" customFormat="1" ht="20.25" customHeight="1">
      <c r="D450" s="2084"/>
      <c r="E450" s="2084"/>
      <c r="F450" s="2084"/>
      <c r="G450" s="2084"/>
      <c r="H450" s="2084"/>
      <c r="I450" s="2084"/>
      <c r="J450" s="2084"/>
      <c r="K450" s="2084"/>
      <c r="L450" s="2084"/>
      <c r="M450" s="2084" t="s">
        <v>1736</v>
      </c>
      <c r="N450" s="2084"/>
      <c r="O450" s="2084"/>
      <c r="P450" s="2084"/>
      <c r="Q450" s="2084"/>
      <c r="R450" s="1619"/>
      <c r="S450" s="1619"/>
      <c r="T450" s="1619"/>
      <c r="U450" s="1619"/>
      <c r="V450" s="1619"/>
      <c r="W450" s="1619"/>
      <c r="X450" s="1619"/>
      <c r="Y450" s="1619"/>
      <c r="Z450" s="1619"/>
      <c r="AA450" s="2091"/>
      <c r="AB450" s="1619"/>
    </row>
    <row r="451" spans="4:28" s="1572" customFormat="1" ht="20.25" customHeight="1">
      <c r="D451" s="2084"/>
      <c r="E451" s="2084"/>
      <c r="F451" s="2084"/>
      <c r="G451" s="2084"/>
      <c r="H451" s="2084"/>
      <c r="I451" s="2084"/>
      <c r="J451" s="2084"/>
      <c r="K451" s="2084"/>
      <c r="L451" s="2084"/>
      <c r="M451" s="2084" t="s">
        <v>1737</v>
      </c>
      <c r="N451" s="2084"/>
      <c r="O451" s="2084"/>
      <c r="P451" s="2084"/>
      <c r="Q451" s="2084"/>
      <c r="R451" s="1619"/>
      <c r="S451" s="1619"/>
      <c r="T451" s="1619"/>
      <c r="U451" s="1619"/>
      <c r="V451" s="1619"/>
      <c r="W451" s="1619"/>
      <c r="X451" s="1619"/>
      <c r="Y451" s="1619"/>
      <c r="Z451" s="1619"/>
      <c r="AA451" s="2091"/>
      <c r="AB451" s="1619"/>
    </row>
    <row r="452" spans="4:28" s="1572" customFormat="1" ht="20.25" customHeight="1">
      <c r="D452" s="2084"/>
      <c r="E452" s="2084"/>
      <c r="F452" s="2084"/>
      <c r="G452" s="2084"/>
      <c r="H452" s="2084"/>
      <c r="I452" s="2084"/>
      <c r="J452" s="2084"/>
      <c r="K452" s="2084"/>
      <c r="L452" s="2084"/>
      <c r="M452" s="2084" t="s">
        <v>1738</v>
      </c>
      <c r="N452" s="2084"/>
      <c r="O452" s="2084"/>
      <c r="P452" s="2084"/>
      <c r="Q452" s="2084"/>
      <c r="R452" s="1619"/>
      <c r="S452" s="1619"/>
      <c r="T452" s="1619"/>
      <c r="U452" s="1619"/>
      <c r="V452" s="1619"/>
      <c r="W452" s="1619"/>
      <c r="X452" s="1619"/>
      <c r="Y452" s="1619"/>
      <c r="Z452" s="1619"/>
      <c r="AA452" s="2091"/>
      <c r="AB452" s="1619"/>
    </row>
    <row r="453" spans="4:28" s="1572" customFormat="1" ht="20.25" customHeight="1">
      <c r="D453" s="2089" t="s">
        <v>1739</v>
      </c>
      <c r="E453" s="2084"/>
      <c r="F453" s="2084"/>
      <c r="G453" s="2084"/>
      <c r="H453" s="2084"/>
      <c r="I453" s="2084"/>
      <c r="J453" s="2084"/>
      <c r="K453" s="2084"/>
      <c r="L453" s="2084"/>
      <c r="M453" s="2084" t="s">
        <v>1740</v>
      </c>
      <c r="N453" s="2084"/>
      <c r="O453" s="2084"/>
      <c r="P453" s="2084"/>
      <c r="Q453" s="2084"/>
      <c r="R453" s="1619"/>
      <c r="S453" s="1619"/>
      <c r="T453" s="1619"/>
      <c r="U453" s="1619"/>
      <c r="V453" s="1619"/>
      <c r="W453" s="1619"/>
      <c r="X453" s="1619"/>
      <c r="Y453" s="1619"/>
      <c r="Z453" s="1619"/>
      <c r="AA453" s="2091"/>
      <c r="AB453" s="1619"/>
    </row>
    <row r="454" spans="4:28" s="1572" customFormat="1" ht="20.25" customHeight="1">
      <c r="D454" s="2084"/>
      <c r="E454" s="2084"/>
      <c r="F454" s="2084"/>
      <c r="G454" s="2084"/>
      <c r="H454" s="2084"/>
      <c r="I454" s="2084"/>
      <c r="J454" s="2084"/>
      <c r="K454" s="2084"/>
      <c r="L454" s="2084"/>
      <c r="M454" s="2084" t="s">
        <v>1741</v>
      </c>
      <c r="N454" s="2084"/>
      <c r="O454" s="2084"/>
      <c r="P454" s="2084"/>
      <c r="Q454" s="2084"/>
      <c r="R454" s="1619"/>
      <c r="S454" s="1619"/>
      <c r="T454" s="1619"/>
      <c r="U454" s="1619"/>
      <c r="V454" s="1619"/>
      <c r="W454" s="1619"/>
      <c r="X454" s="1619"/>
      <c r="Y454" s="1619"/>
      <c r="Z454" s="1619"/>
      <c r="AA454" s="2091"/>
      <c r="AB454" s="1619"/>
    </row>
    <row r="455" spans="4:28" s="1572" customFormat="1" ht="20.25" customHeight="1">
      <c r="D455" s="2084"/>
      <c r="E455" s="2084"/>
      <c r="F455" s="2084"/>
      <c r="G455" s="2084"/>
      <c r="H455" s="2084"/>
      <c r="I455" s="2084"/>
      <c r="J455" s="2084"/>
      <c r="K455" s="2084"/>
      <c r="L455" s="2084"/>
      <c r="M455" s="2084" t="s">
        <v>1742</v>
      </c>
      <c r="N455" s="2084"/>
      <c r="O455" s="2084"/>
      <c r="P455" s="2084"/>
      <c r="Q455" s="2084"/>
      <c r="R455" s="1619"/>
      <c r="S455" s="1619"/>
      <c r="T455" s="1619"/>
      <c r="U455" s="1619"/>
      <c r="V455" s="1619"/>
      <c r="W455" s="1619"/>
      <c r="X455" s="1619"/>
      <c r="Y455" s="1619"/>
      <c r="Z455" s="1619"/>
      <c r="AA455" s="2091"/>
      <c r="AB455" s="1619"/>
    </row>
    <row r="456" spans="4:28" s="1572" customFormat="1" ht="20.25" customHeight="1">
      <c r="D456" s="2084"/>
      <c r="E456" s="2084"/>
      <c r="F456" s="2084"/>
      <c r="G456" s="2084"/>
      <c r="H456" s="2084"/>
      <c r="I456" s="2084"/>
      <c r="J456" s="2084"/>
      <c r="K456" s="2084"/>
      <c r="L456" s="2084"/>
      <c r="M456" s="2084" t="s">
        <v>1743</v>
      </c>
      <c r="N456" s="2084"/>
      <c r="O456" s="2084"/>
      <c r="P456" s="2084"/>
      <c r="Q456" s="2084"/>
      <c r="R456" s="1619"/>
      <c r="S456" s="1619"/>
      <c r="T456" s="1619"/>
      <c r="U456" s="1619"/>
      <c r="V456" s="1619"/>
      <c r="W456" s="1619"/>
      <c r="X456" s="1619"/>
      <c r="Y456" s="1619"/>
      <c r="Z456" s="1619"/>
      <c r="AA456" s="2091"/>
      <c r="AB456" s="1619"/>
    </row>
    <row r="457" spans="4:28" s="1572" customFormat="1" ht="20.25" customHeight="1">
      <c r="D457" s="2084"/>
      <c r="E457" s="2084"/>
      <c r="F457" s="2084"/>
      <c r="G457" s="2084"/>
      <c r="H457" s="2084"/>
      <c r="I457" s="2084"/>
      <c r="J457" s="2084"/>
      <c r="K457" s="2084"/>
      <c r="L457" s="2084"/>
      <c r="M457" s="2084" t="s">
        <v>1744</v>
      </c>
      <c r="N457" s="2084"/>
      <c r="O457" s="2084"/>
      <c r="P457" s="2084"/>
      <c r="Q457" s="2084"/>
      <c r="R457" s="1619"/>
      <c r="S457" s="1619"/>
      <c r="T457" s="1619"/>
      <c r="U457" s="1619"/>
      <c r="V457" s="1619"/>
      <c r="W457" s="1619"/>
      <c r="X457" s="1619"/>
      <c r="Y457" s="1619"/>
      <c r="Z457" s="1619"/>
      <c r="AA457" s="2091"/>
      <c r="AB457" s="1619"/>
    </row>
    <row r="458" spans="4:28" s="1572" customFormat="1" ht="20.25" customHeight="1">
      <c r="D458" s="2084"/>
      <c r="E458" s="2084"/>
      <c r="F458" s="2084"/>
      <c r="G458" s="2084"/>
      <c r="H458" s="2084"/>
      <c r="I458" s="2084"/>
      <c r="J458" s="2084"/>
      <c r="K458" s="2084"/>
      <c r="L458" s="2084"/>
      <c r="M458" s="2084" t="s">
        <v>1745</v>
      </c>
      <c r="N458" s="2084"/>
      <c r="O458" s="2084"/>
      <c r="P458" s="2084"/>
      <c r="Q458" s="2084"/>
      <c r="R458" s="1619"/>
      <c r="S458" s="1619"/>
      <c r="T458" s="1619"/>
      <c r="U458" s="1619"/>
      <c r="V458" s="1619"/>
      <c r="W458" s="1619"/>
      <c r="X458" s="1619"/>
      <c r="Y458" s="1619"/>
      <c r="Z458" s="1619"/>
      <c r="AA458" s="2091"/>
      <c r="AB458" s="1619"/>
    </row>
    <row r="459" spans="4:28" s="1572" customFormat="1" ht="20.25" customHeight="1">
      <c r="D459" s="2084"/>
      <c r="E459" s="2084"/>
      <c r="F459" s="2084"/>
      <c r="G459" s="2084"/>
      <c r="H459" s="2084"/>
      <c r="I459" s="2084"/>
      <c r="J459" s="2084"/>
      <c r="K459" s="2084"/>
      <c r="L459" s="2084"/>
      <c r="M459" s="2084" t="s">
        <v>1545</v>
      </c>
      <c r="N459" s="2084"/>
      <c r="O459" s="2084"/>
      <c r="P459" s="2084"/>
      <c r="Q459" s="2084"/>
      <c r="R459" s="1619"/>
      <c r="S459" s="1619"/>
      <c r="T459" s="1619"/>
      <c r="U459" s="1619"/>
      <c r="V459" s="1619"/>
      <c r="W459" s="1619"/>
      <c r="X459" s="1619"/>
      <c r="Y459" s="1619"/>
      <c r="Z459" s="1619"/>
      <c r="AA459" s="2091"/>
      <c r="AB459" s="1619"/>
    </row>
    <row r="460" spans="4:28" s="1572" customFormat="1" ht="20.25" customHeight="1">
      <c r="D460" s="2084"/>
      <c r="E460" s="2084"/>
      <c r="F460" s="2084"/>
      <c r="G460" s="2084"/>
      <c r="H460" s="2084"/>
      <c r="I460" s="2084"/>
      <c r="J460" s="2084"/>
      <c r="K460" s="2084"/>
      <c r="L460" s="2084"/>
      <c r="M460" s="2084"/>
      <c r="N460" s="2084"/>
      <c r="O460" s="2084"/>
      <c r="P460" s="2084"/>
      <c r="Q460" s="2084"/>
      <c r="R460" s="1619"/>
      <c r="S460" s="1619"/>
      <c r="T460" s="1619"/>
      <c r="U460" s="1619"/>
      <c r="V460" s="1619"/>
      <c r="W460" s="1619"/>
      <c r="X460" s="1619"/>
      <c r="Y460" s="1619"/>
      <c r="Z460" s="1619"/>
      <c r="AA460" s="2091"/>
      <c r="AB460" s="1619"/>
    </row>
    <row r="461" spans="4:28" s="1572" customFormat="1" ht="20.25" customHeight="1">
      <c r="D461" s="2084"/>
      <c r="E461" s="2084"/>
      <c r="F461" s="2084"/>
      <c r="G461" s="2084"/>
      <c r="H461" s="2084"/>
      <c r="I461" s="2084"/>
      <c r="J461" s="2084"/>
      <c r="K461" s="2084"/>
      <c r="L461" s="2084"/>
      <c r="M461" s="2084"/>
      <c r="N461" s="2084"/>
      <c r="O461" s="2084"/>
      <c r="P461" s="2084"/>
      <c r="Q461" s="2084"/>
      <c r="R461" s="1619"/>
      <c r="S461" s="1619"/>
      <c r="T461" s="1619"/>
      <c r="U461" s="1619"/>
      <c r="V461" s="1619"/>
      <c r="W461" s="1619"/>
      <c r="X461" s="1619"/>
      <c r="Y461" s="1619"/>
      <c r="Z461" s="1619"/>
      <c r="AA461" s="2091"/>
      <c r="AB461" s="1619"/>
    </row>
    <row r="462" spans="4:28" s="1572" customFormat="1" ht="20.25" customHeight="1">
      <c r="D462" s="2084"/>
      <c r="E462" s="2084"/>
      <c r="F462" s="2084"/>
      <c r="G462" s="2084"/>
      <c r="H462" s="2084"/>
      <c r="I462" s="2084"/>
      <c r="J462" s="2084"/>
      <c r="K462" s="2084"/>
      <c r="L462" s="2084"/>
      <c r="M462" s="2084"/>
      <c r="N462" s="2084"/>
      <c r="O462" s="2084"/>
      <c r="P462" s="2084"/>
      <c r="Q462" s="2084"/>
      <c r="R462" s="1619"/>
      <c r="S462" s="1619"/>
      <c r="T462" s="1619"/>
      <c r="U462" s="1619"/>
      <c r="V462" s="1619"/>
      <c r="W462" s="1619"/>
      <c r="X462" s="1619"/>
      <c r="Y462" s="1619"/>
      <c r="Z462" s="1619"/>
      <c r="AA462" s="2091"/>
      <c r="AB462" s="1619"/>
    </row>
    <row r="463" spans="4:28" s="1572" customFormat="1" ht="20.25" customHeight="1">
      <c r="D463" s="2084"/>
      <c r="E463" s="2084"/>
      <c r="F463" s="2084"/>
      <c r="G463" s="2084"/>
      <c r="H463" s="2084"/>
      <c r="I463" s="2084"/>
      <c r="J463" s="2084"/>
      <c r="K463" s="2084"/>
      <c r="L463" s="2084"/>
      <c r="M463" s="2084"/>
      <c r="N463" s="2084"/>
      <c r="O463" s="2084"/>
      <c r="P463" s="2084"/>
      <c r="Q463" s="2084"/>
      <c r="R463" s="1619"/>
      <c r="S463" s="1619"/>
      <c r="T463" s="1619"/>
      <c r="U463" s="1619"/>
      <c r="V463" s="1619"/>
      <c r="W463" s="1619"/>
      <c r="X463" s="1619"/>
      <c r="Y463" s="1619"/>
      <c r="Z463" s="1619"/>
      <c r="AA463" s="2091"/>
      <c r="AB463" s="1619"/>
    </row>
    <row r="464" spans="4:28" s="1572" customFormat="1" ht="20.25" customHeight="1">
      <c r="D464" s="2084"/>
      <c r="E464" s="2084"/>
      <c r="F464" s="2084"/>
      <c r="G464" s="2084"/>
      <c r="H464" s="2084"/>
      <c r="I464" s="2084"/>
      <c r="J464" s="2084"/>
      <c r="K464" s="2084"/>
      <c r="L464" s="2084"/>
      <c r="M464" s="2084"/>
      <c r="N464" s="2084"/>
      <c r="O464" s="2084"/>
      <c r="P464" s="2084"/>
      <c r="Q464" s="2084"/>
      <c r="R464" s="1619"/>
      <c r="S464" s="1619"/>
      <c r="T464" s="1619"/>
      <c r="U464" s="1619"/>
      <c r="V464" s="1619"/>
      <c r="W464" s="1619"/>
      <c r="X464" s="1619"/>
      <c r="Y464" s="1619"/>
      <c r="Z464" s="1619"/>
      <c r="AA464" s="2091"/>
      <c r="AB464" s="1619"/>
    </row>
    <row r="465" spans="4:28" s="1572" customFormat="1" ht="20.25" customHeight="1">
      <c r="D465" s="2084"/>
      <c r="E465" s="2084"/>
      <c r="F465" s="2084"/>
      <c r="G465" s="2084"/>
      <c r="H465" s="2084"/>
      <c r="I465" s="2084"/>
      <c r="J465" s="2084"/>
      <c r="K465" s="2084"/>
      <c r="L465" s="2084"/>
      <c r="M465" s="2084"/>
      <c r="N465" s="2084"/>
      <c r="O465" s="2084"/>
      <c r="P465" s="2084"/>
      <c r="Q465" s="2084"/>
      <c r="R465" s="1619"/>
      <c r="S465" s="1619"/>
      <c r="T465" s="1619"/>
      <c r="U465" s="1619"/>
      <c r="V465" s="1619"/>
      <c r="W465" s="1619"/>
      <c r="X465" s="1619"/>
      <c r="Y465" s="1619"/>
      <c r="Z465" s="1619"/>
      <c r="AA465" s="2091"/>
      <c r="AB465" s="1619"/>
    </row>
    <row r="466" spans="4:28" s="1572" customFormat="1" ht="20.25" customHeight="1">
      <c r="D466" s="2084"/>
      <c r="E466" s="2084"/>
      <c r="F466" s="2084"/>
      <c r="G466" s="2084"/>
      <c r="H466" s="2084"/>
      <c r="I466" s="2084"/>
      <c r="J466" s="2084"/>
      <c r="K466" s="2084"/>
      <c r="L466" s="2084"/>
      <c r="M466" s="2084"/>
      <c r="N466" s="2084"/>
      <c r="O466" s="2084"/>
      <c r="P466" s="2084"/>
      <c r="Q466" s="2084"/>
      <c r="R466" s="1619"/>
      <c r="S466" s="1619"/>
      <c r="T466" s="1619"/>
      <c r="U466" s="1619"/>
      <c r="V466" s="1619"/>
      <c r="W466" s="1619"/>
      <c r="X466" s="1619"/>
      <c r="Y466" s="1619"/>
      <c r="Z466" s="1619"/>
      <c r="AA466" s="2091"/>
      <c r="AB466" s="1619"/>
    </row>
    <row r="467" spans="4:28" s="1572" customFormat="1" ht="20.25" customHeight="1">
      <c r="D467" s="2084"/>
      <c r="E467" s="2084"/>
      <c r="F467" s="2084"/>
      <c r="G467" s="2084"/>
      <c r="H467" s="2084"/>
      <c r="I467" s="2084"/>
      <c r="J467" s="2084"/>
      <c r="K467" s="2084"/>
      <c r="L467" s="2084"/>
      <c r="M467" s="2084"/>
      <c r="N467" s="2084"/>
      <c r="O467" s="2084"/>
      <c r="P467" s="2084"/>
      <c r="Q467" s="2084"/>
      <c r="R467" s="1619"/>
      <c r="S467" s="1619"/>
      <c r="T467" s="1619"/>
      <c r="U467" s="1619"/>
      <c r="V467" s="1619"/>
      <c r="W467" s="1619"/>
      <c r="X467" s="1619"/>
      <c r="Y467" s="1619"/>
      <c r="Z467" s="1619"/>
      <c r="AA467" s="2091"/>
      <c r="AB467" s="1619"/>
    </row>
    <row r="468" spans="4:28" s="1572" customFormat="1" ht="20.25" customHeight="1">
      <c r="D468" s="2084"/>
      <c r="E468" s="2084"/>
      <c r="F468" s="2084"/>
      <c r="G468" s="2084"/>
      <c r="H468" s="2084"/>
      <c r="I468" s="2084"/>
      <c r="J468" s="2084"/>
      <c r="K468" s="2084"/>
      <c r="L468" s="2084"/>
      <c r="M468" s="2084"/>
      <c r="N468" s="2084"/>
      <c r="O468" s="2084"/>
      <c r="P468" s="2084"/>
      <c r="Q468" s="2084"/>
      <c r="R468" s="1619"/>
      <c r="S468" s="1619"/>
      <c r="T468" s="1619"/>
      <c r="U468" s="1619"/>
      <c r="V468" s="1619"/>
      <c r="W468" s="1619"/>
      <c r="X468" s="1619"/>
      <c r="Y468" s="1619"/>
      <c r="Z468" s="1619"/>
      <c r="AA468" s="2091"/>
      <c r="AB468" s="1619"/>
    </row>
    <row r="469" spans="4:28" s="1572" customFormat="1" ht="20.25" customHeight="1">
      <c r="D469" s="2084"/>
      <c r="E469" s="2084"/>
      <c r="F469" s="2084"/>
      <c r="G469" s="2084"/>
      <c r="H469" s="2084"/>
      <c r="I469" s="2084"/>
      <c r="J469" s="2084"/>
      <c r="K469" s="2084"/>
      <c r="L469" s="2084"/>
      <c r="M469" s="2084"/>
      <c r="N469" s="2084"/>
      <c r="O469" s="2084"/>
      <c r="P469" s="2084"/>
      <c r="Q469" s="2084"/>
      <c r="R469" s="1619"/>
      <c r="S469" s="1619"/>
      <c r="T469" s="1619"/>
      <c r="U469" s="1619"/>
      <c r="V469" s="1619"/>
      <c r="W469" s="1619"/>
      <c r="X469" s="1619"/>
      <c r="Y469" s="1619"/>
      <c r="Z469" s="1619"/>
      <c r="AA469" s="2091"/>
      <c r="AB469" s="1619"/>
    </row>
    <row r="470" spans="4:28" s="1572" customFormat="1" ht="20.25" customHeight="1">
      <c r="D470" s="2084"/>
      <c r="E470" s="2084"/>
      <c r="F470" s="2084"/>
      <c r="G470" s="2084"/>
      <c r="H470" s="2084"/>
      <c r="I470" s="2084"/>
      <c r="J470" s="2084"/>
      <c r="K470" s="2084"/>
      <c r="L470" s="2084"/>
      <c r="M470" s="2084"/>
      <c r="N470" s="2084"/>
      <c r="O470" s="2084"/>
      <c r="P470" s="2084"/>
      <c r="Q470" s="2084"/>
      <c r="R470" s="1619"/>
      <c r="S470" s="1619"/>
      <c r="T470" s="1619"/>
      <c r="U470" s="1619"/>
      <c r="V470" s="1619"/>
      <c r="W470" s="1619"/>
      <c r="X470" s="1619"/>
      <c r="Y470" s="1619"/>
      <c r="Z470" s="1619"/>
      <c r="AA470" s="2091"/>
      <c r="AB470" s="1619"/>
    </row>
    <row r="471" spans="4:28" s="1572" customFormat="1" ht="20.25" customHeight="1">
      <c r="D471" s="2084"/>
      <c r="E471" s="2084"/>
      <c r="F471" s="2084"/>
      <c r="G471" s="2084"/>
      <c r="H471" s="2084"/>
      <c r="I471" s="2084"/>
      <c r="J471" s="2084"/>
      <c r="K471" s="2084"/>
      <c r="L471" s="2084"/>
      <c r="M471" s="2084"/>
      <c r="N471" s="2084"/>
      <c r="O471" s="2084"/>
      <c r="P471" s="2084"/>
      <c r="Q471" s="2084"/>
      <c r="R471" s="1619"/>
      <c r="S471" s="1619"/>
      <c r="T471" s="1619"/>
      <c r="U471" s="1619"/>
      <c r="V471" s="1619"/>
      <c r="W471" s="1619"/>
      <c r="X471" s="1619"/>
      <c r="Y471" s="1619"/>
      <c r="Z471" s="1619"/>
      <c r="AA471" s="2091"/>
      <c r="AB471" s="1619"/>
    </row>
    <row r="472" spans="4:28" s="1572" customFormat="1" ht="20.25" customHeight="1">
      <c r="D472" s="2084"/>
      <c r="E472" s="2084"/>
      <c r="F472" s="2084"/>
      <c r="G472" s="2084"/>
      <c r="H472" s="2084"/>
      <c r="I472" s="2084"/>
      <c r="J472" s="2084"/>
      <c r="K472" s="2084"/>
      <c r="L472" s="2084"/>
      <c r="M472" s="2084"/>
      <c r="N472" s="2084"/>
      <c r="O472" s="2084"/>
      <c r="P472" s="2084"/>
      <c r="Q472" s="2084"/>
      <c r="R472" s="1619"/>
      <c r="S472" s="1619"/>
      <c r="T472" s="1619"/>
      <c r="U472" s="1619"/>
      <c r="V472" s="1619"/>
      <c r="W472" s="1619"/>
      <c r="X472" s="1619"/>
      <c r="Y472" s="1619"/>
      <c r="Z472" s="1619"/>
      <c r="AA472" s="2091"/>
      <c r="AB472" s="1619"/>
    </row>
    <row r="473" spans="4:28" s="1572" customFormat="1" ht="20.25" customHeight="1">
      <c r="D473" s="2084"/>
      <c r="E473" s="2084"/>
      <c r="F473" s="2084"/>
      <c r="G473" s="2084"/>
      <c r="H473" s="2084"/>
      <c r="I473" s="2084"/>
      <c r="J473" s="2084"/>
      <c r="K473" s="2084"/>
      <c r="L473" s="2084"/>
      <c r="M473" s="2084"/>
      <c r="N473" s="2084"/>
      <c r="O473" s="2084"/>
      <c r="P473" s="2084"/>
      <c r="Q473" s="2084"/>
      <c r="R473" s="1619"/>
      <c r="S473" s="1619"/>
      <c r="T473" s="1619"/>
      <c r="U473" s="1619"/>
      <c r="V473" s="1619"/>
      <c r="W473" s="1619"/>
      <c r="X473" s="1619"/>
      <c r="Y473" s="1619"/>
      <c r="Z473" s="1619"/>
      <c r="AA473" s="2091"/>
      <c r="AB473" s="1619"/>
    </row>
    <row r="474" spans="4:28" s="1572" customFormat="1" ht="20.25" customHeight="1">
      <c r="D474" s="2084"/>
      <c r="E474" s="2084"/>
      <c r="F474" s="2084"/>
      <c r="G474" s="2084"/>
      <c r="H474" s="2084"/>
      <c r="I474" s="2084"/>
      <c r="J474" s="2084"/>
      <c r="K474" s="2084"/>
      <c r="L474" s="2084"/>
      <c r="M474" s="2084"/>
      <c r="N474" s="2084"/>
      <c r="O474" s="2084"/>
      <c r="P474" s="2084"/>
      <c r="Q474" s="2084"/>
      <c r="R474" s="1619"/>
      <c r="S474" s="1619"/>
      <c r="T474" s="1619"/>
      <c r="U474" s="1619"/>
      <c r="V474" s="1619"/>
      <c r="W474" s="1619"/>
      <c r="X474" s="1619"/>
      <c r="Y474" s="1619"/>
      <c r="Z474" s="1619"/>
      <c r="AA474" s="2091"/>
      <c r="AB474" s="1619"/>
    </row>
    <row r="475" spans="4:28" s="1572" customFormat="1" ht="20.25" customHeight="1">
      <c r="D475" s="2084"/>
      <c r="E475" s="2084"/>
      <c r="F475" s="2084"/>
      <c r="G475" s="2084"/>
      <c r="H475" s="2084"/>
      <c r="I475" s="2084"/>
      <c r="J475" s="2084"/>
      <c r="K475" s="2084"/>
      <c r="L475" s="2084"/>
      <c r="M475" s="2084"/>
      <c r="N475" s="2084"/>
      <c r="O475" s="2084"/>
      <c r="P475" s="2084"/>
      <c r="Q475" s="2084"/>
      <c r="R475" s="1619"/>
      <c r="S475" s="1619"/>
      <c r="T475" s="1619"/>
      <c r="U475" s="1619"/>
      <c r="V475" s="1619"/>
      <c r="W475" s="1619"/>
      <c r="X475" s="1619"/>
      <c r="Y475" s="1619"/>
      <c r="Z475" s="1619"/>
      <c r="AA475" s="2091"/>
      <c r="AB475" s="1619"/>
    </row>
    <row r="476" spans="4:28" s="1572" customFormat="1" ht="20.25" customHeight="1">
      <c r="D476" s="2084"/>
      <c r="E476" s="2084"/>
      <c r="F476" s="2084"/>
      <c r="G476" s="2084"/>
      <c r="H476" s="2084"/>
      <c r="I476" s="2084"/>
      <c r="J476" s="2084"/>
      <c r="K476" s="2084"/>
      <c r="L476" s="2084"/>
      <c r="M476" s="2084"/>
      <c r="N476" s="2084"/>
      <c r="O476" s="2084"/>
      <c r="P476" s="2084"/>
      <c r="Q476" s="2084"/>
      <c r="R476" s="1619"/>
      <c r="S476" s="1619"/>
      <c r="T476" s="1619"/>
      <c r="U476" s="1619"/>
      <c r="V476" s="1619"/>
      <c r="W476" s="1619"/>
      <c r="X476" s="1619"/>
      <c r="Y476" s="1619"/>
      <c r="Z476" s="1619"/>
      <c r="AA476" s="2091"/>
      <c r="AB476" s="1619"/>
    </row>
    <row r="477" spans="4:28" s="1572" customFormat="1" ht="20.25" customHeight="1">
      <c r="D477" s="2084"/>
      <c r="E477" s="2084"/>
      <c r="F477" s="2084"/>
      <c r="G477" s="2084"/>
      <c r="H477" s="2084"/>
      <c r="I477" s="2084"/>
      <c r="J477" s="2084"/>
      <c r="K477" s="2084"/>
      <c r="L477" s="2084"/>
      <c r="M477" s="2084"/>
      <c r="N477" s="2084"/>
      <c r="O477" s="2084"/>
      <c r="P477" s="2084"/>
      <c r="Q477" s="2084"/>
      <c r="R477" s="1619"/>
      <c r="S477" s="1619"/>
      <c r="T477" s="1619"/>
      <c r="U477" s="1619"/>
      <c r="V477" s="1619"/>
      <c r="W477" s="1619"/>
      <c r="X477" s="1619"/>
      <c r="Y477" s="1619"/>
      <c r="Z477" s="1619"/>
      <c r="AA477" s="2091"/>
      <c r="AB477" s="1619"/>
    </row>
    <row r="478" spans="4:28" s="1572" customFormat="1" ht="20.25" customHeight="1">
      <c r="D478" s="2084"/>
      <c r="E478" s="2084"/>
      <c r="F478" s="2084"/>
      <c r="G478" s="2084"/>
      <c r="H478" s="2084"/>
      <c r="I478" s="2084"/>
      <c r="J478" s="2084"/>
      <c r="K478" s="2084"/>
      <c r="L478" s="2084"/>
      <c r="M478" s="2084"/>
      <c r="N478" s="2084"/>
      <c r="O478" s="2084"/>
      <c r="P478" s="2084"/>
      <c r="Q478" s="2084"/>
      <c r="R478" s="1619"/>
      <c r="S478" s="1619"/>
      <c r="T478" s="1619"/>
      <c r="U478" s="1619"/>
      <c r="V478" s="1619"/>
      <c r="W478" s="1619"/>
      <c r="X478" s="1619"/>
      <c r="Y478" s="1619"/>
      <c r="Z478" s="1619"/>
      <c r="AA478" s="2091"/>
      <c r="AB478" s="1619"/>
    </row>
    <row r="479" spans="4:28" s="1572" customFormat="1" ht="20.25" customHeight="1">
      <c r="D479" s="2084"/>
      <c r="E479" s="2084"/>
      <c r="F479" s="2084"/>
      <c r="G479" s="2084"/>
      <c r="H479" s="2084"/>
      <c r="I479" s="2084"/>
      <c r="J479" s="2084"/>
      <c r="K479" s="2084"/>
      <c r="L479" s="2084"/>
      <c r="M479" s="2084"/>
      <c r="N479" s="2084"/>
      <c r="O479" s="2084"/>
      <c r="P479" s="2084"/>
      <c r="Q479" s="2084"/>
      <c r="R479" s="1619"/>
      <c r="S479" s="1619"/>
      <c r="T479" s="1619"/>
      <c r="U479" s="1619"/>
      <c r="V479" s="1619"/>
      <c r="W479" s="1619"/>
      <c r="X479" s="1619"/>
      <c r="Y479" s="1619"/>
      <c r="Z479" s="1619"/>
      <c r="AA479" s="2091"/>
      <c r="AB479" s="1619"/>
    </row>
    <row r="480" spans="4:28" s="1572" customFormat="1" ht="20.25" customHeight="1">
      <c r="D480" s="2084"/>
      <c r="E480" s="2084"/>
      <c r="F480" s="2084"/>
      <c r="G480" s="2084"/>
      <c r="H480" s="2084"/>
      <c r="I480" s="2084"/>
      <c r="J480" s="2084"/>
      <c r="K480" s="2084"/>
      <c r="L480" s="2084"/>
      <c r="M480" s="2084"/>
      <c r="N480" s="2084"/>
      <c r="O480" s="2084"/>
      <c r="P480" s="2084"/>
      <c r="Q480" s="2084"/>
      <c r="R480" s="1619"/>
      <c r="S480" s="1619"/>
      <c r="T480" s="1619"/>
      <c r="U480" s="1619"/>
      <c r="V480" s="1619"/>
      <c r="W480" s="1619"/>
      <c r="X480" s="1619"/>
      <c r="Y480" s="1619"/>
      <c r="Z480" s="1619"/>
      <c r="AA480" s="2091"/>
      <c r="AB480" s="1619"/>
    </row>
    <row r="481" spans="4:28" s="1572" customFormat="1" ht="20.25" customHeight="1">
      <c r="D481" s="2084"/>
      <c r="E481" s="2084"/>
      <c r="F481" s="2084"/>
      <c r="G481" s="2084"/>
      <c r="H481" s="2084"/>
      <c r="I481" s="2084"/>
      <c r="J481" s="2084"/>
      <c r="K481" s="2084"/>
      <c r="L481" s="2084"/>
      <c r="M481" s="2084"/>
      <c r="N481" s="2084"/>
      <c r="O481" s="2084"/>
      <c r="P481" s="2084"/>
      <c r="Q481" s="2084"/>
      <c r="R481" s="1619"/>
      <c r="S481" s="1619"/>
      <c r="T481" s="1619"/>
      <c r="U481" s="1619"/>
      <c r="V481" s="1619"/>
      <c r="W481" s="1619"/>
      <c r="X481" s="1619"/>
      <c r="Y481" s="1619"/>
      <c r="Z481" s="1619"/>
      <c r="AA481" s="2091"/>
      <c r="AB481" s="1619"/>
    </row>
    <row r="482" spans="4:28" s="1572" customFormat="1" ht="20.25" customHeight="1">
      <c r="D482" s="2084"/>
      <c r="E482" s="2084"/>
      <c r="F482" s="2084"/>
      <c r="G482" s="2084"/>
      <c r="H482" s="2084"/>
      <c r="I482" s="2084"/>
      <c r="J482" s="2084"/>
      <c r="K482" s="2084"/>
      <c r="L482" s="2084"/>
      <c r="M482" s="2084"/>
      <c r="N482" s="2084"/>
      <c r="O482" s="2084"/>
      <c r="P482" s="2084"/>
      <c r="Q482" s="2084"/>
      <c r="R482" s="1619"/>
      <c r="S482" s="1619"/>
      <c r="T482" s="1619"/>
      <c r="U482" s="1619"/>
      <c r="V482" s="1619"/>
      <c r="W482" s="1619"/>
      <c r="X482" s="1619"/>
      <c r="Y482" s="1619"/>
      <c r="Z482" s="1619"/>
      <c r="AA482" s="2091"/>
      <c r="AB482" s="1619"/>
    </row>
    <row r="483" spans="4:28" s="1572" customFormat="1" ht="20.25" customHeight="1">
      <c r="D483" s="2084"/>
      <c r="E483" s="2084"/>
      <c r="F483" s="2084"/>
      <c r="G483" s="2084"/>
      <c r="H483" s="2084"/>
      <c r="I483" s="2084"/>
      <c r="J483" s="2084"/>
      <c r="K483" s="2084"/>
      <c r="L483" s="2084"/>
      <c r="M483" s="2084"/>
      <c r="N483" s="2084"/>
      <c r="O483" s="2084"/>
      <c r="P483" s="2084"/>
      <c r="Q483" s="2084"/>
      <c r="R483" s="1619"/>
      <c r="S483" s="1619"/>
      <c r="T483" s="1619"/>
      <c r="U483" s="1619"/>
      <c r="V483" s="1619"/>
      <c r="W483" s="1619"/>
      <c r="X483" s="1619"/>
      <c r="Y483" s="1619"/>
      <c r="Z483" s="1619"/>
      <c r="AA483" s="2091"/>
      <c r="AB483" s="1619"/>
    </row>
    <row r="484" spans="4:28" s="1572" customFormat="1" ht="20.25" customHeight="1">
      <c r="D484" s="2084"/>
      <c r="E484" s="2084"/>
      <c r="F484" s="2084"/>
      <c r="G484" s="2084"/>
      <c r="H484" s="2084"/>
      <c r="I484" s="2084"/>
      <c r="J484" s="2084"/>
      <c r="K484" s="2084"/>
      <c r="L484" s="2084"/>
      <c r="M484" s="2084"/>
      <c r="N484" s="2084"/>
      <c r="O484" s="2084"/>
      <c r="P484" s="2084"/>
      <c r="Q484" s="2084"/>
      <c r="R484" s="1619"/>
      <c r="S484" s="1619"/>
      <c r="T484" s="1619"/>
      <c r="U484" s="1619"/>
      <c r="V484" s="1619"/>
      <c r="W484" s="1619"/>
      <c r="X484" s="1619"/>
      <c r="Y484" s="1619"/>
      <c r="Z484" s="1619"/>
      <c r="AA484" s="2091"/>
      <c r="AB484" s="1619"/>
    </row>
    <row r="485" spans="4:28" s="1572" customFormat="1" ht="20.25" customHeight="1">
      <c r="D485" s="2084"/>
      <c r="E485" s="2084"/>
      <c r="F485" s="2084"/>
      <c r="G485" s="2084"/>
      <c r="H485" s="2084"/>
      <c r="I485" s="2084"/>
      <c r="J485" s="2084"/>
      <c r="K485" s="2084"/>
      <c r="L485" s="2084"/>
      <c r="M485" s="2084"/>
      <c r="N485" s="2084"/>
      <c r="O485" s="2084"/>
      <c r="P485" s="2084"/>
      <c r="Q485" s="2084"/>
      <c r="R485" s="1619"/>
      <c r="S485" s="1619"/>
      <c r="T485" s="1619"/>
      <c r="U485" s="1619"/>
      <c r="V485" s="1619"/>
      <c r="W485" s="1619"/>
      <c r="X485" s="1619"/>
      <c r="Y485" s="1619"/>
      <c r="Z485" s="1619"/>
      <c r="AA485" s="2091"/>
      <c r="AB485" s="1619"/>
    </row>
    <row r="486" spans="4:28" s="1572" customFormat="1" ht="20.25" customHeight="1">
      <c r="D486" s="2084"/>
      <c r="E486" s="2084"/>
      <c r="F486" s="2084"/>
      <c r="G486" s="2084"/>
      <c r="H486" s="2084"/>
      <c r="I486" s="2084"/>
      <c r="J486" s="2084"/>
      <c r="K486" s="2084"/>
      <c r="L486" s="2084"/>
      <c r="M486" s="2084"/>
      <c r="N486" s="2084"/>
      <c r="O486" s="2084"/>
      <c r="P486" s="2084"/>
      <c r="Q486" s="2084"/>
      <c r="R486" s="1619"/>
      <c r="S486" s="1619"/>
      <c r="T486" s="1619"/>
      <c r="U486" s="1619"/>
      <c r="V486" s="1619"/>
      <c r="W486" s="1619"/>
      <c r="X486" s="1619"/>
      <c r="Y486" s="1619"/>
      <c r="Z486" s="1619"/>
      <c r="AA486" s="2091"/>
      <c r="AB486" s="1619"/>
    </row>
    <row r="487" spans="4:28" s="1572" customFormat="1" ht="20.25" customHeight="1">
      <c r="D487" s="2084"/>
      <c r="E487" s="2084"/>
      <c r="F487" s="2084"/>
      <c r="G487" s="2084"/>
      <c r="H487" s="2084"/>
      <c r="I487" s="2084"/>
      <c r="J487" s="2084"/>
      <c r="K487" s="2084"/>
      <c r="L487" s="2084"/>
      <c r="M487" s="2084"/>
      <c r="N487" s="2084"/>
      <c r="O487" s="2084"/>
      <c r="P487" s="2084"/>
      <c r="Q487" s="2084"/>
      <c r="R487" s="1619"/>
      <c r="S487" s="1619"/>
      <c r="T487" s="1619"/>
      <c r="U487" s="1619"/>
      <c r="V487" s="1619"/>
      <c r="W487" s="1619"/>
      <c r="X487" s="1619"/>
      <c r="Y487" s="1619"/>
      <c r="Z487" s="1619"/>
      <c r="AA487" s="2091"/>
      <c r="AB487" s="1619"/>
    </row>
    <row r="488" spans="4:28" s="1572" customFormat="1" ht="20.25" customHeight="1">
      <c r="D488" s="2084"/>
      <c r="E488" s="2084"/>
      <c r="F488" s="2084"/>
      <c r="G488" s="2084"/>
      <c r="H488" s="2084"/>
      <c r="I488" s="2084"/>
      <c r="J488" s="2084"/>
      <c r="K488" s="2084"/>
      <c r="L488" s="2084"/>
      <c r="M488" s="2084"/>
      <c r="N488" s="2084"/>
      <c r="O488" s="2084"/>
      <c r="P488" s="2084"/>
      <c r="Q488" s="2084"/>
      <c r="R488" s="1619"/>
      <c r="S488" s="1619"/>
      <c r="T488" s="1619"/>
      <c r="U488" s="1619"/>
      <c r="V488" s="1619"/>
      <c r="W488" s="1619"/>
      <c r="X488" s="1619"/>
      <c r="Y488" s="1619"/>
      <c r="Z488" s="1619"/>
      <c r="AA488" s="2091"/>
      <c r="AB488" s="1619"/>
    </row>
    <row r="489" spans="4:28" s="1572" customFormat="1" ht="20.25" customHeight="1">
      <c r="D489" s="2084"/>
      <c r="E489" s="2084"/>
      <c r="F489" s="2084"/>
      <c r="G489" s="2084"/>
      <c r="H489" s="2084"/>
      <c r="I489" s="2084"/>
      <c r="J489" s="2084"/>
      <c r="K489" s="2084"/>
      <c r="L489" s="2084"/>
      <c r="M489" s="2084"/>
      <c r="N489" s="2084"/>
      <c r="O489" s="2084"/>
      <c r="P489" s="2084"/>
      <c r="Q489" s="2084"/>
      <c r="R489" s="1619"/>
      <c r="S489" s="1619"/>
      <c r="T489" s="1619"/>
      <c r="U489" s="1619"/>
      <c r="V489" s="1619"/>
      <c r="W489" s="1619"/>
      <c r="X489" s="1619"/>
      <c r="Y489" s="1619"/>
      <c r="Z489" s="1619"/>
      <c r="AA489" s="2091"/>
      <c r="AB489" s="1619"/>
    </row>
    <row r="490" spans="4:28" s="1572" customFormat="1" ht="20.25" customHeight="1">
      <c r="D490" s="2084"/>
      <c r="E490" s="2084"/>
      <c r="F490" s="2084"/>
      <c r="G490" s="2084"/>
      <c r="H490" s="2084"/>
      <c r="I490" s="2084"/>
      <c r="J490" s="2084"/>
      <c r="K490" s="2084"/>
      <c r="L490" s="2084"/>
      <c r="M490" s="2084"/>
      <c r="N490" s="2084"/>
      <c r="O490" s="2084"/>
      <c r="P490" s="2084"/>
      <c r="Q490" s="2084"/>
      <c r="R490" s="1619"/>
      <c r="S490" s="1619"/>
      <c r="T490" s="1619"/>
      <c r="U490" s="1619"/>
      <c r="V490" s="1619"/>
      <c r="W490" s="1619"/>
      <c r="X490" s="1619"/>
      <c r="Y490" s="1619"/>
      <c r="Z490" s="1619"/>
      <c r="AA490" s="2091"/>
      <c r="AB490" s="1619"/>
    </row>
    <row r="491" spans="4:28" s="1572" customFormat="1" ht="20.25" customHeight="1">
      <c r="D491" s="2084"/>
      <c r="E491" s="2084"/>
      <c r="F491" s="2084"/>
      <c r="G491" s="2084"/>
      <c r="H491" s="2084"/>
      <c r="I491" s="2084"/>
      <c r="J491" s="2084"/>
      <c r="K491" s="2084"/>
      <c r="L491" s="2084"/>
      <c r="M491" s="2084"/>
      <c r="N491" s="2084"/>
      <c r="O491" s="2084"/>
      <c r="P491" s="2084"/>
      <c r="Q491" s="2084"/>
      <c r="R491" s="1619"/>
      <c r="S491" s="1619"/>
      <c r="T491" s="1619"/>
      <c r="U491" s="1619"/>
      <c r="V491" s="1619"/>
      <c r="W491" s="1619"/>
      <c r="X491" s="1619"/>
      <c r="Y491" s="1619"/>
      <c r="Z491" s="1619"/>
      <c r="AA491" s="2091"/>
      <c r="AB491" s="1619"/>
    </row>
    <row r="492" spans="4:28" s="1572" customFormat="1" ht="20.25" customHeight="1">
      <c r="D492" s="2084"/>
      <c r="E492" s="2084"/>
      <c r="F492" s="2084"/>
      <c r="G492" s="2084"/>
      <c r="H492" s="2084"/>
      <c r="I492" s="2084"/>
      <c r="J492" s="2084"/>
      <c r="K492" s="2084"/>
      <c r="L492" s="2084"/>
      <c r="M492" s="2084"/>
      <c r="N492" s="2084"/>
      <c r="O492" s="2084"/>
      <c r="P492" s="2084"/>
      <c r="Q492" s="2084"/>
      <c r="R492" s="1619"/>
      <c r="S492" s="1619"/>
      <c r="T492" s="1619"/>
      <c r="U492" s="1619"/>
      <c r="V492" s="1619"/>
      <c r="W492" s="1619"/>
      <c r="X492" s="1619"/>
      <c r="Y492" s="1619"/>
      <c r="Z492" s="1619"/>
      <c r="AA492" s="2091"/>
      <c r="AB492" s="1619"/>
    </row>
    <row r="493" spans="4:28" s="1572" customFormat="1" ht="20.25" customHeight="1">
      <c r="D493" s="2084"/>
      <c r="E493" s="2084"/>
      <c r="F493" s="2084"/>
      <c r="G493" s="2084"/>
      <c r="H493" s="2084"/>
      <c r="I493" s="2084"/>
      <c r="J493" s="2084"/>
      <c r="K493" s="2084"/>
      <c r="L493" s="2084"/>
      <c r="M493" s="2084"/>
      <c r="N493" s="2084"/>
      <c r="O493" s="2084"/>
      <c r="P493" s="2084"/>
      <c r="Q493" s="2084"/>
      <c r="R493" s="1619"/>
      <c r="S493" s="1619"/>
      <c r="T493" s="1619"/>
      <c r="U493" s="1619"/>
      <c r="V493" s="1619"/>
      <c r="W493" s="1619"/>
      <c r="X493" s="1619"/>
      <c r="Y493" s="1619"/>
      <c r="Z493" s="1619"/>
      <c r="AA493" s="2091"/>
      <c r="AB493" s="1619"/>
    </row>
    <row r="494" spans="4:28" s="1572" customFormat="1" ht="20.25" customHeight="1">
      <c r="D494" s="2084"/>
      <c r="E494" s="2084"/>
      <c r="F494" s="2084"/>
      <c r="G494" s="2084"/>
      <c r="H494" s="2084"/>
      <c r="I494" s="2084"/>
      <c r="J494" s="2084"/>
      <c r="K494" s="2084"/>
      <c r="L494" s="2084"/>
      <c r="M494" s="2084"/>
      <c r="N494" s="2084"/>
      <c r="O494" s="2084"/>
      <c r="P494" s="2084"/>
      <c r="Q494" s="2084"/>
      <c r="R494" s="1619"/>
      <c r="S494" s="1619"/>
      <c r="T494" s="1619"/>
      <c r="U494" s="1619"/>
      <c r="V494" s="1619"/>
      <c r="W494" s="1619"/>
      <c r="X494" s="1619"/>
      <c r="Y494" s="1619"/>
      <c r="Z494" s="1619"/>
      <c r="AA494" s="2091"/>
      <c r="AB494" s="1619"/>
    </row>
    <row r="495" spans="4:28" s="1572" customFormat="1" ht="20.25" customHeight="1">
      <c r="D495" s="2548"/>
      <c r="E495" s="2548"/>
      <c r="F495" s="2548"/>
      <c r="G495" s="2548"/>
      <c r="H495" s="2548"/>
      <c r="I495" s="2548"/>
      <c r="J495" s="2548"/>
      <c r="K495" s="2548"/>
      <c r="L495" s="2548"/>
      <c r="M495" s="2548"/>
      <c r="N495" s="2548"/>
      <c r="O495" s="2548"/>
      <c r="P495" s="2548"/>
      <c r="Q495" s="2548"/>
      <c r="R495" s="1619"/>
      <c r="S495" s="1619"/>
      <c r="T495" s="1619"/>
      <c r="U495" s="1619"/>
      <c r="V495" s="1619"/>
      <c r="W495" s="1619"/>
      <c r="X495" s="1619"/>
      <c r="Y495" s="1619"/>
      <c r="Z495" s="1619"/>
      <c r="AA495" s="2091"/>
      <c r="AB495" s="1619"/>
    </row>
    <row r="496" spans="4:28" s="1572" customFormat="1" ht="20.25" customHeight="1">
      <c r="D496" s="2548"/>
      <c r="E496" s="2548"/>
      <c r="F496" s="2548"/>
      <c r="G496" s="2548"/>
      <c r="H496" s="2548"/>
      <c r="I496" s="2548"/>
      <c r="J496" s="2548"/>
      <c r="K496" s="2548"/>
      <c r="L496" s="2548"/>
      <c r="M496" s="2548"/>
      <c r="N496" s="2548"/>
      <c r="O496" s="2548"/>
      <c r="P496" s="2548"/>
      <c r="Q496" s="2548"/>
      <c r="R496" s="1619"/>
      <c r="S496" s="1619"/>
      <c r="T496" s="1619"/>
      <c r="U496" s="1619"/>
      <c r="V496" s="1619"/>
      <c r="W496" s="1619"/>
      <c r="X496" s="1619"/>
      <c r="Y496" s="1619"/>
      <c r="Z496" s="1619"/>
      <c r="AA496" s="2091"/>
      <c r="AB496" s="1619"/>
    </row>
    <row r="497" spans="18:28" s="1572" customFormat="1" ht="20.25" customHeight="1">
      <c r="R497" s="1619"/>
      <c r="S497" s="1619"/>
      <c r="T497" s="1619"/>
      <c r="U497" s="1619"/>
      <c r="V497" s="1619"/>
      <c r="W497" s="1619"/>
      <c r="X497" s="1619"/>
      <c r="Y497" s="1619"/>
      <c r="Z497" s="1619"/>
      <c r="AA497" s="2091"/>
      <c r="AB497" s="1619"/>
    </row>
    <row r="498" spans="18:28" s="1572" customFormat="1" ht="20.25" customHeight="1">
      <c r="R498" s="1619"/>
      <c r="S498" s="1619"/>
      <c r="T498" s="1619"/>
      <c r="U498" s="1619"/>
      <c r="V498" s="1619"/>
      <c r="W498" s="1619"/>
      <c r="X498" s="1619"/>
      <c r="Y498" s="1619"/>
      <c r="Z498" s="1619"/>
      <c r="AA498" s="2091"/>
      <c r="AB498" s="1619"/>
    </row>
    <row r="499" spans="18:28" s="1572" customFormat="1" ht="20.25" customHeight="1">
      <c r="R499" s="1619"/>
      <c r="S499" s="1619"/>
      <c r="T499" s="1619"/>
      <c r="U499" s="1619"/>
      <c r="V499" s="1619"/>
      <c r="W499" s="1619"/>
      <c r="X499" s="1619"/>
      <c r="Y499" s="1619"/>
      <c r="Z499" s="1619"/>
      <c r="AA499" s="2091"/>
      <c r="AB499" s="1619"/>
    </row>
    <row r="500" spans="18:28" s="1572" customFormat="1" ht="20.25" customHeight="1">
      <c r="R500" s="1619"/>
      <c r="S500" s="1619"/>
      <c r="T500" s="1619"/>
      <c r="U500" s="1619"/>
      <c r="V500" s="1619"/>
      <c r="W500" s="1619"/>
      <c r="X500" s="1619"/>
      <c r="Y500" s="1619"/>
      <c r="Z500" s="1619"/>
      <c r="AA500" s="2091"/>
      <c r="AB500" s="1619"/>
    </row>
    <row r="501" spans="18:28" s="1572" customFormat="1" ht="20.25" customHeight="1">
      <c r="R501" s="1619"/>
      <c r="S501" s="1619"/>
      <c r="T501" s="1619"/>
      <c r="U501" s="1619"/>
      <c r="V501" s="1619"/>
      <c r="W501" s="1619"/>
      <c r="X501" s="1619"/>
      <c r="Y501" s="1619"/>
      <c r="Z501" s="1619"/>
      <c r="AA501" s="2091"/>
      <c r="AB501" s="1619"/>
    </row>
    <row r="502" spans="18:28" s="1572" customFormat="1" ht="20.25" customHeight="1">
      <c r="R502" s="1619"/>
      <c r="S502" s="1619"/>
      <c r="T502" s="1619"/>
      <c r="U502" s="1619"/>
      <c r="V502" s="1619"/>
      <c r="W502" s="1619"/>
      <c r="X502" s="1619"/>
      <c r="Y502" s="1619"/>
      <c r="Z502" s="1619"/>
      <c r="AA502" s="2091"/>
      <c r="AB502" s="1619"/>
    </row>
    <row r="503" spans="18:28" s="1572" customFormat="1" ht="20.25" customHeight="1">
      <c r="R503" s="1619"/>
      <c r="S503" s="1619"/>
      <c r="T503" s="1619"/>
      <c r="U503" s="1619"/>
      <c r="V503" s="1619"/>
      <c r="W503" s="1619"/>
      <c r="X503" s="1619"/>
      <c r="Y503" s="1619"/>
      <c r="Z503" s="1619"/>
      <c r="AA503" s="2091"/>
      <c r="AB503" s="1619"/>
    </row>
    <row r="504" spans="18:28" s="1572" customFormat="1" ht="20.25" customHeight="1">
      <c r="R504" s="1619"/>
      <c r="S504" s="1619"/>
      <c r="T504" s="1619"/>
      <c r="U504" s="1619"/>
      <c r="V504" s="1619"/>
      <c r="W504" s="1619"/>
      <c r="X504" s="1619"/>
      <c r="Y504" s="1619"/>
      <c r="Z504" s="1619"/>
      <c r="AA504" s="2091"/>
      <c r="AB504" s="1619"/>
    </row>
    <row r="505" spans="18:28" s="1572" customFormat="1" ht="20.25" customHeight="1">
      <c r="R505" s="1619"/>
      <c r="S505" s="1619"/>
      <c r="T505" s="1619"/>
      <c r="U505" s="1619"/>
      <c r="V505" s="1619"/>
      <c r="W505" s="1619"/>
      <c r="X505" s="1619"/>
      <c r="Y505" s="1619"/>
      <c r="Z505" s="1619"/>
      <c r="AA505" s="2091"/>
      <c r="AB505" s="1619"/>
    </row>
    <row r="506" spans="18:28" s="1572" customFormat="1" ht="20.25" customHeight="1">
      <c r="R506" s="1619"/>
      <c r="S506" s="1619"/>
      <c r="T506" s="1619"/>
      <c r="U506" s="1619"/>
      <c r="V506" s="1619"/>
      <c r="W506" s="1619"/>
      <c r="X506" s="1619"/>
      <c r="Y506" s="1619"/>
      <c r="Z506" s="1619"/>
      <c r="AA506" s="2091"/>
      <c r="AB506" s="1619"/>
    </row>
    <row r="507" spans="18:28" s="1572" customFormat="1" ht="20.25" customHeight="1">
      <c r="R507" s="1619"/>
      <c r="S507" s="1619"/>
      <c r="T507" s="1619"/>
      <c r="U507" s="1619"/>
      <c r="V507" s="1619"/>
      <c r="W507" s="1619"/>
      <c r="X507" s="1619"/>
      <c r="Y507" s="1619"/>
      <c r="Z507" s="1619"/>
      <c r="AA507" s="2091"/>
      <c r="AB507" s="1619"/>
    </row>
    <row r="508" spans="18:28" s="1572" customFormat="1" ht="20.25" customHeight="1">
      <c r="R508" s="1619"/>
      <c r="S508" s="1619"/>
      <c r="T508" s="1619"/>
      <c r="U508" s="1619"/>
      <c r="V508" s="1619"/>
      <c r="W508" s="1619"/>
      <c r="X508" s="1619"/>
      <c r="Y508" s="1619"/>
      <c r="Z508" s="1619"/>
      <c r="AA508" s="2091"/>
      <c r="AB508" s="1619"/>
    </row>
    <row r="509" spans="18:28" s="1572" customFormat="1" ht="20.25" customHeight="1">
      <c r="R509" s="1619"/>
      <c r="S509" s="1619"/>
      <c r="T509" s="1619"/>
      <c r="U509" s="1619"/>
      <c r="V509" s="1619"/>
      <c r="W509" s="1619"/>
      <c r="X509" s="1619"/>
      <c r="Y509" s="1619"/>
      <c r="Z509" s="1619"/>
      <c r="AA509" s="2091"/>
      <c r="AB509" s="1619"/>
    </row>
    <row r="510" spans="18:28" s="1572" customFormat="1" ht="20.25" customHeight="1">
      <c r="R510" s="1619"/>
      <c r="S510" s="1619"/>
      <c r="T510" s="1619"/>
      <c r="U510" s="1619"/>
      <c r="V510" s="1619"/>
      <c r="W510" s="1619"/>
      <c r="X510" s="1619"/>
      <c r="Y510" s="1619"/>
      <c r="Z510" s="1619"/>
      <c r="AA510" s="2091"/>
      <c r="AB510" s="1619"/>
    </row>
    <row r="511" spans="18:28" s="1572" customFormat="1" ht="20.25" customHeight="1">
      <c r="R511" s="1619"/>
      <c r="S511" s="1619"/>
      <c r="T511" s="1619"/>
      <c r="U511" s="1619"/>
      <c r="V511" s="1619"/>
      <c r="W511" s="1619"/>
      <c r="X511" s="1619"/>
      <c r="Y511" s="1619"/>
      <c r="Z511" s="1619"/>
      <c r="AA511" s="2091"/>
      <c r="AB511" s="1619"/>
    </row>
    <row r="512" spans="18:28" s="1572" customFormat="1" ht="20.25" customHeight="1">
      <c r="R512" s="1619"/>
      <c r="S512" s="1619"/>
      <c r="T512" s="1619"/>
      <c r="U512" s="1619"/>
      <c r="V512" s="1619"/>
      <c r="W512" s="1619"/>
      <c r="X512" s="1619"/>
      <c r="Y512" s="1619"/>
      <c r="Z512" s="1619"/>
      <c r="AA512" s="2091"/>
      <c r="AB512" s="1619"/>
    </row>
    <row r="513" spans="18:28" s="1572" customFormat="1" ht="20.25" customHeight="1">
      <c r="R513" s="1619"/>
      <c r="S513" s="1619"/>
      <c r="T513" s="1619"/>
      <c r="U513" s="1619"/>
      <c r="V513" s="1619"/>
      <c r="W513" s="1619"/>
      <c r="X513" s="1619"/>
      <c r="Y513" s="1619"/>
      <c r="Z513" s="1619"/>
      <c r="AA513" s="2091"/>
      <c r="AB513" s="1619"/>
    </row>
    <row r="514" spans="18:28" s="1572" customFormat="1" ht="20.25" customHeight="1">
      <c r="R514" s="1619"/>
      <c r="S514" s="1619"/>
      <c r="T514" s="1619"/>
      <c r="U514" s="1619"/>
      <c r="V514" s="1619"/>
      <c r="W514" s="1619"/>
      <c r="X514" s="1619"/>
      <c r="Y514" s="1619"/>
      <c r="Z514" s="1619"/>
      <c r="AA514" s="2091"/>
      <c r="AB514" s="1619"/>
    </row>
    <row r="515" spans="18:28" s="1572" customFormat="1" ht="20.25" customHeight="1">
      <c r="R515" s="1619"/>
      <c r="S515" s="1619"/>
      <c r="T515" s="1619"/>
      <c r="U515" s="1619"/>
      <c r="V515" s="1619"/>
      <c r="W515" s="1619"/>
      <c r="X515" s="1619"/>
      <c r="Y515" s="1619"/>
      <c r="Z515" s="1619"/>
      <c r="AA515" s="2091"/>
      <c r="AB515" s="1619"/>
    </row>
    <row r="516" spans="18:28" s="1572" customFormat="1" ht="20.25" customHeight="1">
      <c r="R516" s="1619"/>
      <c r="S516" s="1619"/>
      <c r="T516" s="1619"/>
      <c r="U516" s="1619"/>
      <c r="V516" s="1619"/>
      <c r="W516" s="1619"/>
      <c r="X516" s="1619"/>
      <c r="Y516" s="1619"/>
      <c r="Z516" s="1619"/>
      <c r="AA516" s="2091"/>
      <c r="AB516" s="1619"/>
    </row>
    <row r="517" spans="18:28" s="1572" customFormat="1" ht="20.25" customHeight="1">
      <c r="R517" s="1619"/>
      <c r="S517" s="1619"/>
      <c r="T517" s="1619"/>
      <c r="U517" s="1619"/>
      <c r="V517" s="1619"/>
      <c r="W517" s="1619"/>
      <c r="X517" s="1619"/>
      <c r="Y517" s="1619"/>
      <c r="Z517" s="1619"/>
      <c r="AA517" s="2091"/>
      <c r="AB517" s="1619"/>
    </row>
    <row r="518" spans="18:28" s="1572" customFormat="1" ht="20.25" customHeight="1">
      <c r="R518" s="1619"/>
      <c r="S518" s="1619"/>
      <c r="T518" s="1619"/>
      <c r="U518" s="1619"/>
      <c r="V518" s="1619"/>
      <c r="W518" s="1619"/>
      <c r="X518" s="1619"/>
      <c r="Y518" s="1619"/>
      <c r="Z518" s="1619"/>
      <c r="AA518" s="2091"/>
      <c r="AB518" s="1619"/>
    </row>
    <row r="519" spans="18:28" s="1572" customFormat="1" ht="20.25" customHeight="1">
      <c r="R519" s="1619"/>
      <c r="S519" s="1619"/>
      <c r="T519" s="1619"/>
      <c r="U519" s="1619"/>
      <c r="V519" s="1619"/>
      <c r="W519" s="1619"/>
      <c r="X519" s="1619"/>
      <c r="Y519" s="1619"/>
      <c r="Z519" s="1619"/>
      <c r="AA519" s="2091"/>
      <c r="AB519" s="1619"/>
    </row>
    <row r="520" spans="18:28" s="1572" customFormat="1" ht="20.25" customHeight="1">
      <c r="R520" s="1619"/>
      <c r="S520" s="1619"/>
      <c r="T520" s="1619"/>
      <c r="U520" s="1619"/>
      <c r="V520" s="1619"/>
      <c r="W520" s="1619"/>
      <c r="X520" s="1619"/>
      <c r="Y520" s="1619"/>
      <c r="Z520" s="1619"/>
      <c r="AA520" s="2091"/>
      <c r="AB520" s="1619"/>
    </row>
    <row r="521" spans="18:28" s="1572" customFormat="1" ht="20.25" customHeight="1">
      <c r="R521" s="1619"/>
      <c r="S521" s="1619"/>
      <c r="T521" s="1619"/>
      <c r="U521" s="1619"/>
      <c r="V521" s="1619"/>
      <c r="W521" s="1619"/>
      <c r="X521" s="1619"/>
      <c r="Y521" s="1619"/>
      <c r="Z521" s="1619"/>
      <c r="AA521" s="2091"/>
      <c r="AB521" s="1619"/>
    </row>
    <row r="522" spans="18:28" s="1572" customFormat="1" ht="20.25" customHeight="1">
      <c r="R522" s="1619"/>
      <c r="S522" s="1619"/>
      <c r="T522" s="1619"/>
      <c r="U522" s="1619"/>
      <c r="V522" s="1619"/>
      <c r="W522" s="1619"/>
      <c r="X522" s="1619"/>
      <c r="Y522" s="1619"/>
      <c r="Z522" s="1619"/>
      <c r="AA522" s="2091"/>
      <c r="AB522" s="1619"/>
    </row>
    <row r="523" spans="18:28" s="1572" customFormat="1" ht="20.25" customHeight="1">
      <c r="R523" s="1619"/>
      <c r="S523" s="1619"/>
      <c r="T523" s="1619"/>
      <c r="U523" s="1619"/>
      <c r="V523" s="1619"/>
      <c r="W523" s="1619"/>
      <c r="X523" s="1619"/>
      <c r="Y523" s="1619"/>
      <c r="Z523" s="1619"/>
      <c r="AA523" s="2091"/>
      <c r="AB523" s="1619"/>
    </row>
    <row r="524" spans="18:28" s="1572" customFormat="1" ht="20.25" customHeight="1">
      <c r="R524" s="1619"/>
      <c r="S524" s="1619"/>
      <c r="T524" s="1619"/>
      <c r="U524" s="1619"/>
      <c r="V524" s="1619"/>
      <c r="W524" s="1619"/>
      <c r="X524" s="1619"/>
      <c r="Y524" s="1619"/>
      <c r="Z524" s="1619"/>
      <c r="AA524" s="2091"/>
      <c r="AB524" s="1619"/>
    </row>
    <row r="525" spans="18:28" s="1572" customFormat="1" ht="20.25" customHeight="1">
      <c r="R525" s="1619"/>
      <c r="S525" s="1619"/>
      <c r="T525" s="1619"/>
      <c r="U525" s="1619"/>
      <c r="V525" s="1619"/>
      <c r="W525" s="1619"/>
      <c r="X525" s="1619"/>
      <c r="Y525" s="1619"/>
      <c r="Z525" s="1619"/>
      <c r="AA525" s="2091"/>
      <c r="AB525" s="1619"/>
    </row>
    <row r="526" spans="18:28" s="1572" customFormat="1" ht="20.25" customHeight="1">
      <c r="R526" s="1619"/>
      <c r="S526" s="1619"/>
      <c r="T526" s="1619"/>
      <c r="U526" s="1619"/>
      <c r="V526" s="1619"/>
      <c r="W526" s="1619"/>
      <c r="X526" s="1619"/>
      <c r="Y526" s="1619"/>
      <c r="Z526" s="1619"/>
      <c r="AA526" s="2091"/>
      <c r="AB526" s="1619"/>
    </row>
    <row r="527" spans="18:28" s="1572" customFormat="1" ht="20.25" customHeight="1">
      <c r="R527" s="1619"/>
      <c r="S527" s="1619"/>
      <c r="T527" s="1619"/>
      <c r="U527" s="1619"/>
      <c r="V527" s="1619"/>
      <c r="W527" s="1619"/>
      <c r="X527" s="1619"/>
      <c r="Y527" s="1619"/>
      <c r="Z527" s="1619"/>
      <c r="AA527" s="2091"/>
      <c r="AB527" s="1619"/>
    </row>
    <row r="528" spans="18:28" s="1572" customFormat="1" ht="20.25" customHeight="1">
      <c r="R528" s="1619"/>
      <c r="S528" s="1619"/>
      <c r="T528" s="1619"/>
      <c r="U528" s="1619"/>
      <c r="V528" s="1619"/>
      <c r="W528" s="1619"/>
      <c r="X528" s="1619"/>
      <c r="Y528" s="1619"/>
      <c r="Z528" s="1619"/>
      <c r="AA528" s="2091"/>
      <c r="AB528" s="1619"/>
    </row>
    <row r="529" spans="18:28" s="1572" customFormat="1" ht="20.25" customHeight="1">
      <c r="R529" s="1619"/>
      <c r="S529" s="1619"/>
      <c r="T529" s="1619"/>
      <c r="U529" s="1619"/>
      <c r="V529" s="1619"/>
      <c r="W529" s="1619"/>
      <c r="X529" s="1619"/>
      <c r="Y529" s="1619"/>
      <c r="Z529" s="1619"/>
      <c r="AA529" s="2091"/>
      <c r="AB529" s="1619"/>
    </row>
    <row r="530" spans="18:28" s="1572" customFormat="1" ht="20.25" customHeight="1">
      <c r="R530" s="1619"/>
      <c r="S530" s="1619"/>
      <c r="T530" s="1619"/>
      <c r="U530" s="1619"/>
      <c r="V530" s="1619"/>
      <c r="W530" s="1619"/>
      <c r="X530" s="1619"/>
      <c r="Y530" s="1619"/>
      <c r="Z530" s="1619"/>
      <c r="AA530" s="2091"/>
      <c r="AB530" s="1619"/>
    </row>
    <row r="531" spans="18:28" s="1572" customFormat="1" ht="20.25" customHeight="1">
      <c r="R531" s="1619"/>
      <c r="S531" s="1619"/>
      <c r="T531" s="1619"/>
      <c r="U531" s="1619"/>
      <c r="V531" s="1619"/>
      <c r="W531" s="1619"/>
      <c r="X531" s="1619"/>
      <c r="Y531" s="1619"/>
      <c r="Z531" s="1619"/>
      <c r="AA531" s="2091"/>
      <c r="AB531" s="1619"/>
    </row>
    <row r="532" spans="18:28" s="1572" customFormat="1" ht="20.25" customHeight="1">
      <c r="R532" s="1619"/>
      <c r="S532" s="1619"/>
      <c r="T532" s="1619"/>
      <c r="U532" s="1619"/>
      <c r="V532" s="1619"/>
      <c r="W532" s="1619"/>
      <c r="X532" s="1619"/>
      <c r="Y532" s="1619"/>
      <c r="Z532" s="1619"/>
      <c r="AA532" s="2091"/>
      <c r="AB532" s="1619"/>
    </row>
    <row r="533" spans="18:28" s="1572" customFormat="1" ht="20.25" customHeight="1">
      <c r="R533" s="1619"/>
      <c r="S533" s="1619"/>
      <c r="T533" s="1619"/>
      <c r="U533" s="1619"/>
      <c r="V533" s="1619"/>
      <c r="W533" s="1619"/>
      <c r="X533" s="1619"/>
      <c r="Y533" s="1619"/>
      <c r="Z533" s="1619"/>
      <c r="AA533" s="2091"/>
      <c r="AB533" s="1619"/>
    </row>
    <row r="534" spans="18:28" s="1572" customFormat="1" ht="20.25" customHeight="1">
      <c r="R534" s="1619"/>
      <c r="S534" s="1619"/>
      <c r="T534" s="1619"/>
      <c r="U534" s="1619"/>
      <c r="V534" s="1619"/>
      <c r="W534" s="1619"/>
      <c r="X534" s="1619"/>
      <c r="Y534" s="1619"/>
      <c r="Z534" s="1619"/>
      <c r="AA534" s="2091"/>
      <c r="AB534" s="1619"/>
    </row>
    <row r="535" spans="18:28" s="1572" customFormat="1" ht="20.25" customHeight="1">
      <c r="R535" s="1619"/>
      <c r="S535" s="1619"/>
      <c r="T535" s="1619"/>
      <c r="U535" s="1619"/>
      <c r="V535" s="1619"/>
      <c r="W535" s="1619"/>
      <c r="X535" s="1619"/>
      <c r="Y535" s="1619"/>
      <c r="Z535" s="1619"/>
      <c r="AA535" s="2091"/>
      <c r="AB535" s="1619"/>
    </row>
    <row r="536" spans="18:28" s="1572" customFormat="1" ht="20.25" customHeight="1">
      <c r="R536" s="1619"/>
      <c r="S536" s="1619"/>
      <c r="T536" s="1619"/>
      <c r="U536" s="1619"/>
      <c r="V536" s="1619"/>
      <c r="W536" s="1619"/>
      <c r="X536" s="1619"/>
      <c r="Y536" s="1619"/>
      <c r="Z536" s="1619"/>
      <c r="AA536" s="2091"/>
      <c r="AB536" s="1619"/>
    </row>
    <row r="537" spans="18:28" s="1572" customFormat="1" ht="20.25" customHeight="1">
      <c r="R537" s="1619"/>
      <c r="S537" s="1619"/>
      <c r="T537" s="1619"/>
      <c r="U537" s="1619"/>
      <c r="V537" s="1619"/>
      <c r="W537" s="1619"/>
      <c r="X537" s="1619"/>
      <c r="Y537" s="1619"/>
      <c r="Z537" s="1619"/>
      <c r="AA537" s="2091"/>
      <c r="AB537" s="1619"/>
    </row>
    <row r="538" spans="18:28" s="1572" customFormat="1" ht="20.25" customHeight="1">
      <c r="R538" s="1619"/>
      <c r="S538" s="1619"/>
      <c r="T538" s="1619"/>
      <c r="U538" s="1619"/>
      <c r="V538" s="1619"/>
      <c r="W538" s="1619"/>
      <c r="X538" s="1619"/>
      <c r="Y538" s="1619"/>
      <c r="Z538" s="1619"/>
      <c r="AA538" s="2091"/>
      <c r="AB538" s="1619"/>
    </row>
    <row r="539" spans="18:28" s="1572" customFormat="1" ht="20.25" customHeight="1">
      <c r="R539" s="1619"/>
      <c r="S539" s="1619"/>
      <c r="T539" s="1619"/>
      <c r="U539" s="1619"/>
      <c r="V539" s="1619"/>
      <c r="W539" s="1619"/>
      <c r="X539" s="1619"/>
      <c r="Y539" s="1619"/>
      <c r="Z539" s="1619"/>
      <c r="AA539" s="2091"/>
      <c r="AB539" s="1619"/>
    </row>
    <row r="540" spans="18:28" s="1572" customFormat="1" ht="20.25" customHeight="1">
      <c r="R540" s="1619"/>
      <c r="S540" s="1619"/>
      <c r="T540" s="1619"/>
      <c r="U540" s="1619"/>
      <c r="V540" s="1619"/>
      <c r="W540" s="1619"/>
      <c r="X540" s="1619"/>
      <c r="Y540" s="1619"/>
      <c r="Z540" s="1619"/>
      <c r="AA540" s="2091"/>
      <c r="AB540" s="1619"/>
    </row>
    <row r="541" spans="18:28" s="1572" customFormat="1" ht="20.25" customHeight="1">
      <c r="R541" s="1619"/>
      <c r="S541" s="1619"/>
      <c r="T541" s="1619"/>
      <c r="U541" s="1619"/>
      <c r="V541" s="1619"/>
      <c r="W541" s="1619"/>
      <c r="X541" s="1619"/>
      <c r="Y541" s="1619"/>
      <c r="Z541" s="1619"/>
      <c r="AA541" s="2091"/>
      <c r="AB541" s="1619"/>
    </row>
    <row r="542" spans="18:28" s="1572" customFormat="1" ht="20.25" customHeight="1">
      <c r="R542" s="1619"/>
      <c r="S542" s="1619"/>
      <c r="T542" s="1619"/>
      <c r="U542" s="1619"/>
      <c r="V542" s="1619"/>
      <c r="W542" s="1619"/>
      <c r="X542" s="1619"/>
      <c r="Y542" s="1619"/>
      <c r="Z542" s="1619"/>
      <c r="AA542" s="2091"/>
      <c r="AB542" s="1619"/>
    </row>
    <row r="543" spans="18:28" s="1572" customFormat="1" ht="20.25" customHeight="1">
      <c r="R543" s="1619"/>
      <c r="S543" s="1619"/>
      <c r="T543" s="1619"/>
      <c r="U543" s="1619"/>
      <c r="V543" s="1619"/>
      <c r="W543" s="1619"/>
      <c r="X543" s="1619"/>
      <c r="Y543" s="1619"/>
      <c r="Z543" s="1619"/>
      <c r="AA543" s="2091"/>
      <c r="AB543" s="1619"/>
    </row>
    <row r="544" spans="18:28" s="1572" customFormat="1" ht="20.25" customHeight="1">
      <c r="R544" s="1619"/>
      <c r="S544" s="1619"/>
      <c r="T544" s="1619"/>
      <c r="U544" s="1619"/>
      <c r="V544" s="1619"/>
      <c r="W544" s="1619"/>
      <c r="X544" s="1619"/>
      <c r="Y544" s="1619"/>
      <c r="Z544" s="1619"/>
      <c r="AA544" s="2091"/>
      <c r="AB544" s="1619"/>
    </row>
    <row r="545" spans="10:28" s="1572" customFormat="1" ht="20.25" customHeight="1">
      <c r="J545" s="2548"/>
      <c r="K545" s="2548"/>
      <c r="L545" s="2548"/>
      <c r="M545" s="2548"/>
      <c r="N545" s="2548"/>
      <c r="O545" s="2548"/>
      <c r="P545" s="2548"/>
      <c r="Q545" s="2548"/>
      <c r="R545" s="1619"/>
      <c r="S545" s="1619"/>
      <c r="T545" s="1619"/>
      <c r="U545" s="1619"/>
      <c r="V545" s="1619"/>
      <c r="W545" s="1619"/>
      <c r="X545" s="1619"/>
      <c r="Y545" s="1619"/>
      <c r="Z545" s="1619"/>
      <c r="AA545" s="2091"/>
      <c r="AB545" s="1619"/>
    </row>
    <row r="546" spans="10:28" s="1572" customFormat="1" ht="20.25" customHeight="1">
      <c r="J546" s="2548"/>
      <c r="K546" s="2548"/>
      <c r="L546" s="2548"/>
      <c r="M546" s="2548"/>
      <c r="N546" s="2548"/>
      <c r="O546" s="2548"/>
      <c r="P546" s="2548"/>
      <c r="Q546" s="2548"/>
      <c r="R546" s="1619"/>
      <c r="S546" s="1619"/>
      <c r="T546" s="1619"/>
      <c r="U546" s="1619"/>
      <c r="V546" s="1619"/>
      <c r="W546" s="1619"/>
      <c r="X546" s="1619"/>
      <c r="Y546" s="1619"/>
      <c r="Z546" s="1619"/>
      <c r="AA546" s="2091"/>
      <c r="AB546" s="1619"/>
    </row>
    <row r="547" spans="10:28" s="1572" customFormat="1" ht="20.25" customHeight="1">
      <c r="J547" s="2548"/>
      <c r="K547" s="2548"/>
      <c r="L547" s="2548"/>
      <c r="M547" s="2548"/>
      <c r="N547" s="2548"/>
      <c r="O547" s="2548"/>
      <c r="P547" s="2548"/>
      <c r="Q547" s="2548"/>
      <c r="R547" s="1619"/>
      <c r="S547" s="1619"/>
      <c r="T547" s="1619"/>
      <c r="U547" s="1619"/>
      <c r="V547" s="1619"/>
      <c r="W547" s="1619"/>
      <c r="X547" s="1619"/>
      <c r="Y547" s="1619"/>
      <c r="Z547" s="1619"/>
      <c r="AA547" s="2091"/>
      <c r="AB547" s="1619"/>
    </row>
    <row r="548" spans="10:28" s="1572" customFormat="1" ht="20.25" customHeight="1">
      <c r="J548" s="2548"/>
      <c r="K548" s="2548"/>
      <c r="L548" s="2548"/>
      <c r="M548" s="2548"/>
      <c r="N548" s="2548"/>
      <c r="O548" s="2548"/>
      <c r="P548" s="2548"/>
      <c r="Q548" s="2548"/>
      <c r="R548" s="1619"/>
      <c r="S548" s="1619"/>
      <c r="T548" s="1619"/>
      <c r="U548" s="1619"/>
      <c r="V548" s="1619"/>
      <c r="W548" s="1619"/>
      <c r="X548" s="1619"/>
      <c r="Y548" s="1619"/>
      <c r="Z548" s="1619"/>
      <c r="AA548" s="2091"/>
      <c r="AB548" s="1619"/>
    </row>
    <row r="549" spans="10:28" s="1572" customFormat="1" ht="20.25" customHeight="1">
      <c r="J549" s="2548"/>
      <c r="K549" s="2548"/>
      <c r="L549" s="2548"/>
      <c r="M549" s="2548"/>
      <c r="N549" s="2548"/>
      <c r="O549" s="2548"/>
      <c r="P549" s="2548"/>
      <c r="Q549" s="2548"/>
      <c r="R549" s="1619"/>
      <c r="S549" s="1619"/>
      <c r="T549" s="1619"/>
      <c r="U549" s="1619"/>
      <c r="V549" s="1619"/>
      <c r="W549" s="1619"/>
      <c r="X549" s="1619"/>
      <c r="Y549" s="1619"/>
      <c r="Z549" s="1619"/>
      <c r="AA549" s="2091"/>
      <c r="AB549" s="1619"/>
    </row>
    <row r="550" spans="10:28" s="1572" customFormat="1" ht="20.25" customHeight="1">
      <c r="J550" s="2548"/>
      <c r="K550" s="2548"/>
      <c r="L550" s="2548"/>
      <c r="M550" s="2548"/>
      <c r="N550" s="2548"/>
      <c r="O550" s="2548"/>
      <c r="P550" s="2548"/>
      <c r="Q550" s="2548"/>
      <c r="R550" s="1619"/>
      <c r="S550" s="1619"/>
      <c r="T550" s="1619"/>
      <c r="U550" s="1619"/>
      <c r="V550" s="1619"/>
      <c r="W550" s="1619"/>
      <c r="X550" s="1619"/>
      <c r="Y550" s="1619"/>
      <c r="Z550" s="1619"/>
      <c r="AA550" s="2091"/>
      <c r="AB550" s="1619"/>
    </row>
    <row r="551" spans="10:28" s="1572" customFormat="1" ht="20.25" customHeight="1">
      <c r="J551" s="2548"/>
      <c r="K551" s="2548"/>
      <c r="L551" s="2548"/>
      <c r="M551" s="2548"/>
      <c r="N551" s="2548"/>
      <c r="O551" s="2548"/>
      <c r="P551" s="2548"/>
      <c r="Q551" s="2548"/>
      <c r="R551" s="1619"/>
      <c r="S551" s="1619"/>
      <c r="T551" s="1619"/>
      <c r="U551" s="1619"/>
      <c r="V551" s="1619"/>
      <c r="W551" s="1619"/>
      <c r="X551" s="1619"/>
      <c r="Y551" s="1619"/>
      <c r="Z551" s="1619"/>
      <c r="AA551" s="2091"/>
      <c r="AB551" s="1619"/>
    </row>
    <row r="552" spans="10:28" s="1572" customFormat="1" ht="20.25" customHeight="1">
      <c r="J552" s="2548"/>
      <c r="K552" s="2548"/>
      <c r="L552" s="2548"/>
      <c r="M552" s="2548"/>
      <c r="N552" s="2548"/>
      <c r="O552" s="2548"/>
      <c r="P552" s="2548"/>
      <c r="Q552" s="2548"/>
      <c r="R552" s="1619"/>
      <c r="S552" s="1619"/>
      <c r="T552" s="1619"/>
      <c r="U552" s="1619"/>
      <c r="V552" s="1619"/>
      <c r="W552" s="1619"/>
      <c r="X552" s="1619"/>
      <c r="Y552" s="1619"/>
      <c r="Z552" s="1619"/>
      <c r="AA552" s="2091"/>
      <c r="AB552" s="1619"/>
    </row>
    <row r="553" spans="10:28" s="1572" customFormat="1" ht="20.25" customHeight="1">
      <c r="J553" s="2548"/>
      <c r="K553" s="2548"/>
      <c r="L553" s="2548"/>
      <c r="M553" s="2548"/>
      <c r="N553" s="2548"/>
      <c r="O553" s="2548"/>
      <c r="P553" s="2548"/>
      <c r="Q553" s="2548"/>
      <c r="R553" s="1619"/>
      <c r="S553" s="1619"/>
      <c r="T553" s="1619"/>
      <c r="U553" s="1619"/>
      <c r="V553" s="1619"/>
      <c r="W553" s="1619"/>
      <c r="X553" s="1619"/>
      <c r="Y553" s="1619"/>
      <c r="Z553" s="1619"/>
      <c r="AA553" s="2091"/>
      <c r="AB553" s="1619"/>
    </row>
    <row r="554" spans="10:28" s="1572" customFormat="1" ht="20.25" customHeight="1">
      <c r="J554" s="2548"/>
      <c r="K554" s="2548"/>
      <c r="L554" s="2548"/>
      <c r="M554" s="2548"/>
      <c r="N554" s="2548"/>
      <c r="O554" s="2548"/>
      <c r="P554" s="2548"/>
      <c r="Q554" s="2548"/>
      <c r="R554" s="1619"/>
      <c r="S554" s="1619"/>
      <c r="T554" s="1619"/>
      <c r="U554" s="1619"/>
      <c r="V554" s="1619"/>
      <c r="W554" s="1619"/>
      <c r="X554" s="1619"/>
      <c r="Y554" s="1619"/>
      <c r="Z554" s="1619"/>
      <c r="AA554" s="2091"/>
      <c r="AB554" s="1619"/>
    </row>
    <row r="555" spans="10:28" s="1572" customFormat="1" ht="20.25" customHeight="1">
      <c r="J555" s="2548"/>
      <c r="K555" s="2548"/>
      <c r="L555" s="2548"/>
      <c r="M555" s="2548"/>
      <c r="N555" s="2548"/>
      <c r="O555" s="2548"/>
      <c r="P555" s="2548"/>
      <c r="Q555" s="2548"/>
      <c r="R555" s="1619"/>
      <c r="S555" s="1619"/>
      <c r="T555" s="1619"/>
      <c r="U555" s="1619"/>
      <c r="V555" s="1619"/>
      <c r="W555" s="1619"/>
      <c r="X555" s="1619"/>
      <c r="Y555" s="1619"/>
      <c r="Z555" s="1619"/>
      <c r="AA555" s="2091"/>
      <c r="AB555" s="1619"/>
    </row>
    <row r="556" spans="10:28" s="1572" customFormat="1" ht="20.25" customHeight="1">
      <c r="J556" s="2548"/>
      <c r="K556" s="2548"/>
      <c r="L556" s="2548"/>
      <c r="M556" s="2548"/>
      <c r="N556" s="2548"/>
      <c r="O556" s="2548"/>
      <c r="P556" s="2548"/>
      <c r="Q556" s="2548"/>
      <c r="R556" s="1619"/>
      <c r="S556" s="1619"/>
      <c r="T556" s="1619"/>
      <c r="U556" s="1619"/>
      <c r="V556" s="1619"/>
      <c r="W556" s="1619"/>
      <c r="X556" s="1619"/>
      <c r="Y556" s="1619"/>
      <c r="Z556" s="1619"/>
      <c r="AA556" s="2091"/>
      <c r="AB556" s="1619"/>
    </row>
    <row r="557" spans="10:28" s="1572" customFormat="1" ht="20.25" customHeight="1">
      <c r="J557" s="2548"/>
      <c r="K557" s="2548"/>
      <c r="L557" s="2548"/>
      <c r="M557" s="2548"/>
      <c r="N557" s="2548"/>
      <c r="O557" s="2548"/>
      <c r="P557" s="2548"/>
      <c r="Q557" s="2548"/>
      <c r="R557" s="1619"/>
      <c r="S557" s="1619"/>
      <c r="T557" s="1619"/>
      <c r="U557" s="1619"/>
      <c r="V557" s="1619"/>
      <c r="W557" s="1619"/>
      <c r="X557" s="1619"/>
      <c r="Y557" s="1619"/>
      <c r="Z557" s="1619"/>
      <c r="AA557" s="2091"/>
      <c r="AB557" s="1619"/>
    </row>
    <row r="558" spans="10:28" s="1572" customFormat="1" ht="20.25" customHeight="1">
      <c r="J558" s="2548"/>
      <c r="K558" s="2548"/>
      <c r="L558" s="2548"/>
      <c r="M558" s="2548"/>
      <c r="N558" s="2548"/>
      <c r="O558" s="2548"/>
      <c r="P558" s="2548"/>
      <c r="Q558" s="2548"/>
      <c r="R558" s="1619"/>
      <c r="S558" s="1619"/>
      <c r="T558" s="1619"/>
      <c r="U558" s="1619"/>
      <c r="V558" s="1619"/>
      <c r="W558" s="1619"/>
      <c r="X558" s="1619"/>
      <c r="Y558" s="1619"/>
      <c r="Z558" s="1619"/>
      <c r="AA558" s="2091"/>
      <c r="AB558" s="1619"/>
    </row>
    <row r="559" spans="10:28" s="1572" customFormat="1" ht="20.25" customHeight="1">
      <c r="J559" s="2548"/>
      <c r="K559" s="2548"/>
      <c r="L559" s="2548"/>
      <c r="M559" s="2548"/>
      <c r="N559" s="2548"/>
      <c r="O559" s="2548"/>
      <c r="P559" s="2548"/>
      <c r="Q559" s="2548"/>
      <c r="R559" s="1619"/>
      <c r="S559" s="1619"/>
      <c r="T559" s="1619"/>
      <c r="U559" s="1619"/>
      <c r="V559" s="1619"/>
      <c r="W559" s="1619"/>
      <c r="X559" s="1619"/>
      <c r="Y559" s="1619"/>
      <c r="Z559" s="1619"/>
      <c r="AA559" s="2091"/>
      <c r="AB559" s="1619"/>
    </row>
    <row r="560" spans="10:28" s="1572" customFormat="1" ht="20.25" customHeight="1">
      <c r="J560" s="2550"/>
      <c r="K560" s="2548"/>
      <c r="L560" s="2548"/>
      <c r="M560" s="2548"/>
      <c r="N560" s="2548"/>
      <c r="O560" s="2548"/>
      <c r="P560" s="2548"/>
      <c r="Q560" s="2548"/>
      <c r="R560" s="1619"/>
      <c r="S560" s="1619"/>
      <c r="T560" s="1619"/>
      <c r="U560" s="1619"/>
      <c r="V560" s="1619"/>
      <c r="W560" s="1619"/>
      <c r="X560" s="1619"/>
      <c r="Y560" s="1619"/>
      <c r="Z560" s="1619"/>
      <c r="AA560" s="2091"/>
      <c r="AB560" s="1619"/>
    </row>
    <row r="561" spans="1:28" s="1572" customFormat="1" ht="20.25" customHeight="1">
      <c r="A561" s="1570"/>
      <c r="B561" s="1570"/>
      <c r="C561" s="1570"/>
      <c r="D561" s="2548"/>
      <c r="E561" s="2548"/>
      <c r="F561" s="2548"/>
      <c r="G561" s="2550"/>
      <c r="H561" s="2550"/>
      <c r="I561" s="2550"/>
      <c r="J561" s="2550"/>
      <c r="K561" s="1570"/>
      <c r="L561" s="1570"/>
      <c r="M561" s="1570"/>
      <c r="N561" s="2548"/>
      <c r="O561" s="2548"/>
      <c r="P561" s="2550"/>
      <c r="Q561" s="1570"/>
      <c r="R561" s="1619"/>
      <c r="S561" s="1619"/>
      <c r="T561" s="1619"/>
      <c r="U561" s="1619"/>
      <c r="V561" s="1619"/>
      <c r="W561" s="1619"/>
      <c r="X561" s="1619"/>
      <c r="Y561" s="1619"/>
      <c r="Z561" s="1619"/>
      <c r="AA561" s="2091"/>
      <c r="AB561" s="1619"/>
    </row>
    <row r="562" spans="1:28" s="1572" customFormat="1" ht="20.25" customHeight="1">
      <c r="A562" s="2550"/>
      <c r="B562" s="2550"/>
      <c r="C562" s="2550"/>
      <c r="D562" s="2548"/>
      <c r="E562" s="2548"/>
      <c r="F562" s="2548"/>
      <c r="G562" s="2550"/>
      <c r="H562" s="2550"/>
      <c r="I562" s="2550"/>
      <c r="J562" s="2550"/>
      <c r="K562" s="2550"/>
      <c r="L562" s="2550"/>
      <c r="M562" s="2550"/>
      <c r="N562" s="2548"/>
      <c r="O562" s="2550"/>
      <c r="P562" s="2550"/>
      <c r="Q562" s="2550"/>
      <c r="R562" s="1619"/>
      <c r="S562" s="1619"/>
      <c r="T562" s="1619"/>
      <c r="U562" s="1619"/>
      <c r="V562" s="1619"/>
      <c r="W562" s="1619"/>
      <c r="X562" s="1619"/>
      <c r="Y562" s="1619"/>
      <c r="Z562" s="1619"/>
      <c r="AA562" s="2091"/>
      <c r="AB562" s="1619"/>
    </row>
    <row r="563" spans="1:28" ht="20.25" customHeight="1">
      <c r="A563" s="2550"/>
      <c r="B563" s="2550"/>
      <c r="C563" s="2550"/>
      <c r="D563" s="2548"/>
      <c r="E563" s="2548"/>
      <c r="F563" s="2548"/>
      <c r="G563" s="2550"/>
      <c r="H563" s="2550"/>
      <c r="I563" s="2550"/>
      <c r="J563" s="2550"/>
      <c r="K563" s="2550"/>
      <c r="L563" s="2550"/>
      <c r="M563" s="2550"/>
      <c r="N563" s="2548"/>
      <c r="O563" s="2550"/>
      <c r="P563" s="2550"/>
      <c r="Q563" s="2550"/>
      <c r="R563" s="1619"/>
      <c r="S563" s="1619"/>
    </row>
    <row r="564" spans="1:28" ht="20.25" customHeight="1">
      <c r="A564" s="2550"/>
      <c r="B564" s="2550"/>
      <c r="C564" s="2550"/>
      <c r="D564" s="2548"/>
      <c r="E564" s="2548"/>
      <c r="F564" s="2548"/>
      <c r="G564" s="2550"/>
      <c r="H564" s="2550"/>
      <c r="I564" s="2550"/>
      <c r="J564" s="2550"/>
      <c r="K564" s="2550"/>
      <c r="L564" s="2550"/>
      <c r="M564" s="2550"/>
      <c r="N564" s="2548"/>
      <c r="O564" s="2550"/>
      <c r="P564" s="2550"/>
      <c r="Q564" s="2550"/>
      <c r="R564" s="1619"/>
      <c r="S564" s="1619"/>
    </row>
    <row r="565" spans="1:28" ht="20.25" customHeight="1">
      <c r="A565" s="2550"/>
      <c r="B565" s="2550"/>
      <c r="C565" s="2550"/>
      <c r="D565" s="2548"/>
      <c r="E565" s="2548"/>
      <c r="F565" s="2548"/>
      <c r="G565" s="2548"/>
      <c r="H565" s="2548"/>
      <c r="I565" s="2550"/>
      <c r="J565" s="2548"/>
      <c r="K565" s="2550"/>
      <c r="L565" s="2550"/>
      <c r="M565" s="2550"/>
      <c r="N565" s="2548"/>
      <c r="O565" s="2550"/>
      <c r="P565" s="2548"/>
      <c r="Q565" s="2550"/>
      <c r="R565" s="1619"/>
      <c r="S565" s="1619"/>
    </row>
    <row r="566" spans="1:28" ht="20.25" customHeight="1">
      <c r="A566" s="2550"/>
      <c r="B566" s="2550"/>
      <c r="C566" s="2550"/>
      <c r="D566" s="2548"/>
      <c r="E566" s="2548"/>
      <c r="F566" s="2548"/>
      <c r="G566" s="2548"/>
      <c r="H566" s="2548"/>
      <c r="I566" s="2548"/>
      <c r="J566" s="2548"/>
      <c r="K566" s="2550"/>
      <c r="L566" s="2550"/>
      <c r="M566" s="2550"/>
      <c r="N566" s="2548"/>
      <c r="O566" s="2550"/>
      <c r="P566" s="2548"/>
      <c r="Q566" s="2550"/>
      <c r="R566" s="1619"/>
      <c r="S566" s="1619"/>
    </row>
    <row r="567" spans="1:28">
      <c r="A567" s="2548"/>
      <c r="B567" s="2548"/>
      <c r="C567" s="2548"/>
      <c r="D567" s="2548"/>
      <c r="E567" s="2548"/>
      <c r="F567" s="2548"/>
      <c r="G567" s="2548"/>
      <c r="H567" s="2548"/>
      <c r="I567" s="2548"/>
      <c r="J567" s="2548"/>
      <c r="K567" s="2548"/>
      <c r="L567" s="2548"/>
      <c r="M567" s="2548"/>
      <c r="N567" s="2548"/>
      <c r="O567" s="2548"/>
      <c r="P567" s="2548"/>
      <c r="Q567" s="2548"/>
      <c r="R567" s="1619"/>
      <c r="S567" s="1619"/>
    </row>
    <row r="568" spans="1:28">
      <c r="A568" s="2548"/>
      <c r="B568" s="2548"/>
      <c r="C568" s="2548"/>
      <c r="D568" s="2548"/>
      <c r="E568" s="2548"/>
      <c r="F568" s="2548"/>
      <c r="G568" s="2548"/>
      <c r="H568" s="2548"/>
      <c r="I568" s="2548"/>
      <c r="J568" s="2548"/>
      <c r="K568" s="2548"/>
      <c r="L568" s="2548"/>
      <c r="M568" s="2548"/>
      <c r="N568" s="2548"/>
      <c r="O568" s="2548"/>
      <c r="P568" s="2548"/>
      <c r="Q568" s="2548"/>
      <c r="R568" s="1619"/>
      <c r="S568" s="1619"/>
    </row>
  </sheetData>
  <sheetProtection algorithmName="SHA-512" hashValue="Kc8UeBmLYMcijnLgy/We9gfOxQc8M/PlTl2xL+Rylw2KCBCG8i8w79TbeanRztaK2xdYERUD6FUYHLFGUaAe3A==" saltValue="suI4zXvj4RP3OlGJZ1Zg9w==" spinCount="100000" sheet="1" objects="1" scenarios="1" formatRows="0"/>
  <mergeCells count="219">
    <mergeCell ref="A302:Q302"/>
    <mergeCell ref="A304:Q304"/>
    <mergeCell ref="P307:Q307"/>
    <mergeCell ref="A309:Q309"/>
    <mergeCell ref="A311:Q311"/>
    <mergeCell ref="A295:Q295"/>
    <mergeCell ref="P298:Q298"/>
    <mergeCell ref="B299:O299"/>
    <mergeCell ref="P299:Q299"/>
    <mergeCell ref="B300:O300"/>
    <mergeCell ref="P300:Q300"/>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36:Q236"/>
    <mergeCell ref="P239:Q239"/>
    <mergeCell ref="B240:F240"/>
    <mergeCell ref="G240:Q240"/>
    <mergeCell ref="B241:F241"/>
    <mergeCell ref="G241:Q241"/>
    <mergeCell ref="G228:O228"/>
    <mergeCell ref="C229:F229"/>
    <mergeCell ref="G229:O229"/>
    <mergeCell ref="B230:O230"/>
    <mergeCell ref="B232:O232"/>
    <mergeCell ref="A234:Q234"/>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B168:O168"/>
    <mergeCell ref="P168:Q168"/>
    <mergeCell ref="H169:Q169"/>
    <mergeCell ref="A171:Q171"/>
    <mergeCell ref="A173:Q173"/>
    <mergeCell ref="P176:Q176"/>
    <mergeCell ref="A154:Q154"/>
    <mergeCell ref="A156:Q156"/>
    <mergeCell ref="P159:Q159"/>
    <mergeCell ref="A161:Q161"/>
    <mergeCell ref="A163:Q163"/>
    <mergeCell ref="P166:Q166"/>
    <mergeCell ref="A144:Q144"/>
    <mergeCell ref="A146:Q146"/>
    <mergeCell ref="P149:Q149"/>
    <mergeCell ref="P150:Q150"/>
    <mergeCell ref="H151:Q151"/>
    <mergeCell ref="H152:Q152"/>
    <mergeCell ref="C140:H140"/>
    <mergeCell ref="J140:Q140"/>
    <mergeCell ref="C141:H141"/>
    <mergeCell ref="J141:Q141"/>
    <mergeCell ref="C142:H142"/>
    <mergeCell ref="J142:Q142"/>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J114:Q114"/>
    <mergeCell ref="A116:Q116"/>
    <mergeCell ref="A118:Q118"/>
    <mergeCell ref="P121:Q121"/>
    <mergeCell ref="J122:Q122"/>
    <mergeCell ref="J123:Q123"/>
    <mergeCell ref="B105:D105"/>
    <mergeCell ref="P105:Q105"/>
    <mergeCell ref="A107:Q107"/>
    <mergeCell ref="A109:Q109"/>
    <mergeCell ref="P112:Q112"/>
    <mergeCell ref="J113:Q113"/>
    <mergeCell ref="G91:Q91"/>
    <mergeCell ref="A93:Q93"/>
    <mergeCell ref="A95:Q95"/>
    <mergeCell ref="P98:Q98"/>
    <mergeCell ref="A100:Q100"/>
    <mergeCell ref="A102:Q102"/>
    <mergeCell ref="B81:Q81"/>
    <mergeCell ref="B82:Q82"/>
    <mergeCell ref="A84:Q84"/>
    <mergeCell ref="A86:Q86"/>
    <mergeCell ref="P89:Q89"/>
    <mergeCell ref="L90:N90"/>
    <mergeCell ref="O90:Q90"/>
    <mergeCell ref="C65:O65"/>
    <mergeCell ref="A67:Q67"/>
    <mergeCell ref="A69:Q69"/>
    <mergeCell ref="P72:Q72"/>
    <mergeCell ref="B73:K73"/>
    <mergeCell ref="L73:Q73"/>
    <mergeCell ref="I55:K55"/>
    <mergeCell ref="N55:O55"/>
    <mergeCell ref="A57:Q57"/>
    <mergeCell ref="A59:Q59"/>
    <mergeCell ref="P62:Q62"/>
    <mergeCell ref="J63:Q63"/>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0"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workbookViewId="0">
      <selection activeCell="S286" sqref="S286"/>
    </sheetView>
  </sheetViews>
  <sheetFormatPr defaultColWidth="9.28515625" defaultRowHeight="15"/>
  <cols>
    <col min="1" max="1" width="6" style="1724" customWidth="1"/>
    <col min="2" max="2" width="3.42578125" style="1724" customWidth="1"/>
    <col min="3" max="3" width="12.42578125" style="1724" customWidth="1"/>
    <col min="4" max="4" width="12.140625" style="1724" customWidth="1"/>
    <col min="5" max="5" width="7.42578125" style="1724" customWidth="1"/>
    <col min="6" max="6" width="13.5703125" style="1724" customWidth="1"/>
    <col min="7" max="9" width="14.140625" style="1724" customWidth="1"/>
    <col min="10" max="10" width="10.5703125" style="1724" customWidth="1"/>
    <col min="11" max="11" width="13.42578125" style="1724" customWidth="1"/>
    <col min="12" max="12" width="14.7109375" style="1724" customWidth="1"/>
    <col min="13" max="13" width="6.7109375" style="1724" customWidth="1"/>
    <col min="14" max="14" width="2.7109375" style="1743" customWidth="1"/>
    <col min="15" max="15" width="7.7109375" style="1735" customWidth="1"/>
    <col min="16" max="16" width="8" style="1735" customWidth="1"/>
    <col min="17" max="17" width="6" style="1724" customWidth="1"/>
    <col min="18" max="20" width="9.28515625" style="1724"/>
    <col min="21" max="21" width="10" style="1724" customWidth="1"/>
    <col min="22" max="22" width="10.85546875" style="1724" customWidth="1"/>
    <col min="23" max="23" width="10" style="1724" customWidth="1"/>
    <col min="24" max="24" width="12.42578125" style="1724" customWidth="1"/>
    <col min="25" max="25" width="10.42578125" style="1724" customWidth="1"/>
    <col min="26" max="27" width="9.28515625" style="1724"/>
    <col min="28" max="32" width="10.42578125" style="1724" customWidth="1"/>
    <col min="33" max="38" width="9.28515625" style="1724"/>
    <col min="39" max="39" width="9.28515625" style="1743"/>
    <col min="40" max="42" width="9.28515625" style="1724"/>
    <col min="43" max="47" width="10.42578125" style="1724" customWidth="1"/>
    <col min="48" max="16384" width="9.28515625" style="1724"/>
  </cols>
  <sheetData>
    <row r="1" spans="1:39" ht="14.1" customHeight="1">
      <c r="A1" s="3643" t="str">
        <f>CONCATENATE("PART EIGHT - SCORING CRITERIA","  -  ",'Part I-Project Identification'!$O$7," ",'Part I-Project Identification'!$F$26,", ",'Part I-Project Identification'!F27,", ",'Part I-Project Identification'!J27," County")</f>
        <v>PART EIGHT - SCORING CRITERIA  -  2024-0 Finley Place, Austell, Cobb County</v>
      </c>
      <c r="B1" s="3644"/>
      <c r="C1" s="3644"/>
      <c r="D1" s="3644"/>
      <c r="E1" s="3644"/>
      <c r="F1" s="3644"/>
      <c r="G1" s="3644"/>
      <c r="H1" s="3644"/>
      <c r="I1" s="3644"/>
      <c r="J1" s="3644"/>
      <c r="K1" s="3644"/>
      <c r="L1" s="3644"/>
      <c r="M1" s="3644"/>
      <c r="N1" s="3644"/>
      <c r="O1" s="3644"/>
      <c r="P1" s="3645"/>
      <c r="Q1" s="1722"/>
      <c r="R1" s="1722"/>
      <c r="S1" s="1722"/>
      <c r="T1" s="1722"/>
      <c r="U1" s="1722"/>
      <c r="V1" s="1722"/>
      <c r="W1" s="1722"/>
      <c r="X1" s="1723"/>
      <c r="AM1" s="2094">
        <v>1</v>
      </c>
    </row>
    <row r="2" spans="1:39" ht="4.3499999999999996" customHeight="1">
      <c r="A2" s="1725"/>
      <c r="B2" s="1725"/>
      <c r="C2" s="1726"/>
      <c r="D2" s="1725"/>
      <c r="E2" s="1725"/>
      <c r="F2" s="1725"/>
      <c r="G2" s="1725"/>
      <c r="H2" s="1725"/>
      <c r="I2" s="1725"/>
      <c r="J2" s="1725"/>
      <c r="K2" s="1725"/>
      <c r="L2" s="1725"/>
      <c r="M2" s="2559"/>
      <c r="N2" s="2559"/>
      <c r="O2" s="1727"/>
      <c r="P2" s="1727"/>
      <c r="Q2" s="1722"/>
      <c r="R2" s="1722"/>
      <c r="S2" s="1722"/>
      <c r="T2" s="1722"/>
      <c r="U2" s="1722"/>
      <c r="V2" s="1722"/>
      <c r="W2" s="1722"/>
      <c r="X2" s="1723"/>
      <c r="AM2" s="2094">
        <v>2</v>
      </c>
    </row>
    <row r="3" spans="1:39" s="1725" customFormat="1" ht="20.45" customHeight="1">
      <c r="A3" s="3646" t="s">
        <v>1746</v>
      </c>
      <c r="B3" s="3646"/>
      <c r="C3" s="3646"/>
      <c r="D3" s="3646"/>
      <c r="E3" s="3646"/>
      <c r="F3" s="3646"/>
      <c r="G3" s="3646"/>
      <c r="H3" s="3646"/>
      <c r="I3" s="3646"/>
      <c r="J3" s="3646"/>
      <c r="K3" s="3646"/>
      <c r="L3" s="3646"/>
      <c r="M3" s="1728" t="s">
        <v>1747</v>
      </c>
      <c r="N3" s="2559"/>
      <c r="O3" s="2567" t="s">
        <v>1748</v>
      </c>
      <c r="P3" s="1728" t="s">
        <v>1749</v>
      </c>
      <c r="Q3" s="1722"/>
      <c r="R3" s="1722"/>
      <c r="S3" s="1722"/>
      <c r="T3" s="1722"/>
      <c r="U3" s="1722"/>
      <c r="V3" s="1729"/>
      <c r="W3" s="1729"/>
      <c r="X3" s="1730"/>
      <c r="AM3" s="2095">
        <v>3</v>
      </c>
    </row>
    <row r="4" spans="1:39" s="1725" customFormat="1" ht="16.5" customHeight="1">
      <c r="A4" s="3646"/>
      <c r="B4" s="3646"/>
      <c r="C4" s="3646"/>
      <c r="D4" s="3646"/>
      <c r="E4" s="3646"/>
      <c r="F4" s="3646"/>
      <c r="G4" s="3646"/>
      <c r="H4" s="3646"/>
      <c r="I4" s="3646"/>
      <c r="J4" s="3646"/>
      <c r="K4" s="3646"/>
      <c r="L4" s="3646"/>
      <c r="M4" s="1731" t="s">
        <v>1750</v>
      </c>
      <c r="N4" s="1732"/>
      <c r="O4" s="1731" t="s">
        <v>1750</v>
      </c>
      <c r="P4" s="1731" t="s">
        <v>1750</v>
      </c>
      <c r="Q4" s="1722"/>
      <c r="R4" s="1722"/>
      <c r="S4" s="1722"/>
      <c r="T4" s="1722"/>
      <c r="U4" s="1722"/>
      <c r="V4" s="1729"/>
      <c r="AM4" s="2095">
        <v>4</v>
      </c>
    </row>
    <row r="5" spans="1:39" s="1725" customFormat="1" ht="3" customHeight="1" thickBot="1">
      <c r="M5" s="1733"/>
      <c r="N5" s="1734"/>
      <c r="O5" s="1727"/>
      <c r="P5" s="1735"/>
      <c r="Q5" s="1722"/>
      <c r="R5" s="1722"/>
      <c r="S5" s="1722"/>
      <c r="T5" s="1722"/>
      <c r="U5" s="1722"/>
      <c r="V5" s="1729"/>
      <c r="AM5" s="2095">
        <v>5</v>
      </c>
    </row>
    <row r="6" spans="1:39" s="1725" customFormat="1" ht="13.5" customHeight="1" thickTop="1" thickBot="1">
      <c r="B6" s="3647" t="str">
        <f>'Part I-Project Identification'!$A$6</f>
        <v>2024 May 7</v>
      </c>
      <c r="C6" s="3647"/>
      <c r="D6" s="3647"/>
      <c r="E6" s="3647"/>
      <c r="F6" s="3647"/>
      <c r="L6" s="1727" t="s">
        <v>1751</v>
      </c>
      <c r="M6" s="1736"/>
      <c r="N6" s="1737"/>
      <c r="O6" s="1738">
        <f>O407</f>
        <v>86.5</v>
      </c>
      <c r="P6" s="1738">
        <f>P407</f>
        <v>12</v>
      </c>
      <c r="Q6" s="1739" t="s">
        <v>1752</v>
      </c>
      <c r="R6" s="1740"/>
      <c r="S6" s="1740"/>
      <c r="T6" s="1740"/>
      <c r="U6" s="1740"/>
      <c r="V6" s="1741"/>
      <c r="W6" s="1741"/>
      <c r="X6" s="1741"/>
      <c r="Y6" s="1741"/>
      <c r="AM6" s="2095">
        <v>6</v>
      </c>
    </row>
    <row r="7" spans="1:39" ht="3.6" customHeight="1" thickTop="1">
      <c r="A7" s="1725"/>
      <c r="B7" s="1742"/>
      <c r="C7" s="1725"/>
      <c r="D7" s="1725"/>
      <c r="E7" s="1725"/>
      <c r="F7" s="1725"/>
      <c r="G7" s="1725"/>
      <c r="H7" s="1725"/>
      <c r="I7" s="1725"/>
      <c r="J7" s="1725"/>
      <c r="K7" s="1725"/>
      <c r="L7" s="1725"/>
      <c r="M7" s="2559"/>
      <c r="N7" s="2558"/>
      <c r="O7" s="1736"/>
      <c r="P7" s="1727"/>
      <c r="Q7" s="1740"/>
      <c r="R7" s="1740"/>
      <c r="S7" s="1740"/>
      <c r="T7" s="1740"/>
      <c r="U7" s="1740"/>
      <c r="V7" s="1741"/>
      <c r="W7" s="1741"/>
      <c r="X7" s="1741"/>
      <c r="Y7" s="1741"/>
      <c r="AM7" s="2094">
        <v>7</v>
      </c>
    </row>
    <row r="8" spans="1:39" s="1725" customFormat="1">
      <c r="A8" s="1746" t="s">
        <v>25</v>
      </c>
      <c r="B8" s="1747" t="s">
        <v>1753</v>
      </c>
      <c r="C8" s="1734"/>
      <c r="G8" s="1745"/>
      <c r="I8" s="1745"/>
      <c r="J8" s="1745"/>
      <c r="K8" s="1745"/>
      <c r="L8" s="1745"/>
      <c r="M8" s="1745"/>
      <c r="N8" s="1745"/>
      <c r="O8" s="1745"/>
      <c r="P8" s="1745"/>
      <c r="Q8" s="1740"/>
      <c r="AM8" s="2095">
        <v>8</v>
      </c>
    </row>
    <row r="9" spans="1:39" ht="8.1" customHeight="1">
      <c r="N9" s="2558"/>
      <c r="Q9" s="1748"/>
      <c r="AM9" s="2094">
        <v>9</v>
      </c>
    </row>
    <row r="10" spans="1:39" ht="13.5" customHeight="1">
      <c r="A10" s="3648" t="s">
        <v>1754</v>
      </c>
      <c r="B10" s="3648"/>
      <c r="C10" s="3648"/>
      <c r="D10" s="3648"/>
      <c r="E10" s="3649" t="str">
        <f>IF(OR((C12-A12&gt;0),(D12-A12&gt;0)),"Points Exceed Max!","")</f>
        <v/>
      </c>
      <c r="F10" s="3650" t="s">
        <v>1755</v>
      </c>
      <c r="G10" s="3651"/>
      <c r="H10" s="3651"/>
      <c r="I10" s="4718"/>
      <c r="J10" s="3655" t="s">
        <v>1756</v>
      </c>
      <c r="K10" s="3656"/>
      <c r="L10" s="3656"/>
      <c r="M10" s="4719"/>
      <c r="N10" s="2558"/>
      <c r="O10" s="3660" t="s">
        <v>1757</v>
      </c>
      <c r="P10" s="3660"/>
      <c r="Q10" s="1748"/>
      <c r="AM10" s="2094">
        <v>10</v>
      </c>
    </row>
    <row r="11" spans="1:39" ht="13.5" customHeight="1">
      <c r="A11" s="3662" t="s">
        <v>1747</v>
      </c>
      <c r="B11" s="3663"/>
      <c r="C11" s="1749" t="s">
        <v>1758</v>
      </c>
      <c r="D11" s="1750" t="s">
        <v>1749</v>
      </c>
      <c r="E11" s="3649"/>
      <c r="F11" s="3652"/>
      <c r="G11" s="3653"/>
      <c r="H11" s="3653"/>
      <c r="I11" s="3654"/>
      <c r="J11" s="3657"/>
      <c r="K11" s="3658"/>
      <c r="L11" s="3658"/>
      <c r="M11" s="3659"/>
      <c r="N11" s="2558"/>
      <c r="O11" s="3661"/>
      <c r="P11" s="3661"/>
      <c r="AM11" s="2094">
        <v>11</v>
      </c>
    </row>
    <row r="12" spans="1:39" ht="10.5" customHeight="1">
      <c r="A12" s="3664">
        <v>33</v>
      </c>
      <c r="B12" s="3665"/>
      <c r="C12" s="3683">
        <f>IF($O$12="4%",O160+O169+O190+O206+O238+O265,0)</f>
        <v>0</v>
      </c>
      <c r="D12" s="3685">
        <f>IF($O$12="4%",P160+P169+P190+P206+P238+P265,0)</f>
        <v>0</v>
      </c>
      <c r="E12" s="3649"/>
      <c r="F12" s="3687" t="s">
        <v>1248</v>
      </c>
      <c r="G12" s="3688"/>
      <c r="H12" s="3691" t="s">
        <v>1759</v>
      </c>
      <c r="I12" s="4720"/>
      <c r="J12" s="3694" t="s">
        <v>1760</v>
      </c>
      <c r="K12" s="3694"/>
      <c r="L12" s="3691" t="s">
        <v>1761</v>
      </c>
      <c r="M12" s="4720"/>
      <c r="N12" s="2558"/>
      <c r="O12" s="366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669"/>
      <c r="AM12" s="2094">
        <v>12</v>
      </c>
    </row>
    <row r="13" spans="1:39" ht="10.5" customHeight="1">
      <c r="A13" s="3666"/>
      <c r="B13" s="3667"/>
      <c r="C13" s="3684"/>
      <c r="D13" s="3686"/>
      <c r="E13" s="3649"/>
      <c r="F13" s="3689"/>
      <c r="G13" s="3690"/>
      <c r="H13" s="3692"/>
      <c r="I13" s="3693"/>
      <c r="J13" s="3695"/>
      <c r="K13" s="3695"/>
      <c r="L13" s="3692"/>
      <c r="M13" s="3693"/>
      <c r="N13" s="2558"/>
      <c r="O13" s="3668"/>
      <c r="P13" s="3669"/>
      <c r="AM13" s="2094">
        <v>13</v>
      </c>
    </row>
    <row r="14" spans="1:39" ht="9" customHeight="1">
      <c r="A14" s="1725"/>
      <c r="B14" s="1742"/>
      <c r="C14" s="1725"/>
      <c r="D14" s="1628"/>
      <c r="E14" s="1629"/>
      <c r="F14" s="1629"/>
      <c r="G14" s="1751"/>
      <c r="H14" s="1751"/>
      <c r="I14" s="1751"/>
      <c r="J14" s="1751"/>
      <c r="K14" s="1751"/>
      <c r="L14" s="1751"/>
      <c r="M14" s="2559"/>
      <c r="N14" s="2558"/>
      <c r="O14" s="1736"/>
      <c r="P14" s="1727"/>
      <c r="R14" s="1725"/>
      <c r="S14" s="1725"/>
      <c r="T14" s="1725"/>
      <c r="U14" s="1725"/>
      <c r="V14" s="1725"/>
      <c r="W14" s="1725"/>
      <c r="X14" s="1752"/>
      <c r="Y14" s="1752"/>
      <c r="Z14" s="1752"/>
      <c r="AA14" s="1752"/>
      <c r="AB14" s="1752"/>
      <c r="AC14" s="1752"/>
      <c r="AD14" s="1752"/>
      <c r="AE14" s="1752"/>
      <c r="AF14" s="1752"/>
      <c r="AG14" s="1752"/>
      <c r="AH14" s="1752"/>
      <c r="AI14" s="1752"/>
      <c r="AM14" s="2094">
        <v>14</v>
      </c>
    </row>
    <row r="15" spans="1:39" ht="15.95" customHeight="1">
      <c r="A15" s="1725"/>
      <c r="B15" s="1742"/>
      <c r="C15" s="3670" t="s">
        <v>1762</v>
      </c>
      <c r="D15" s="3671"/>
      <c r="E15" s="3671"/>
      <c r="F15" s="3671"/>
      <c r="G15" s="3671"/>
      <c r="H15" s="3671"/>
      <c r="I15" s="3671"/>
      <c r="J15" s="3671"/>
      <c r="K15" s="3671"/>
      <c r="L15" s="3672"/>
      <c r="M15" s="2559"/>
      <c r="N15" s="2558"/>
      <c r="O15" s="1736"/>
      <c r="P15" s="1727"/>
      <c r="Q15" s="1740"/>
      <c r="R15" s="1740"/>
      <c r="S15" s="1740"/>
      <c r="T15" s="1740"/>
      <c r="U15" s="1740"/>
      <c r="V15" s="1740"/>
      <c r="W15" s="1740"/>
      <c r="X15" s="1740"/>
      <c r="Y15" s="1740"/>
      <c r="Z15" s="1740"/>
      <c r="AA15" s="1740"/>
      <c r="AB15" s="1740"/>
      <c r="AC15" s="1740"/>
      <c r="AD15" s="1740"/>
      <c r="AE15" s="1740"/>
      <c r="AF15" s="1752"/>
      <c r="AG15" s="1752"/>
      <c r="AH15" s="1752"/>
      <c r="AI15" s="1752"/>
      <c r="AM15" s="2095">
        <v>15</v>
      </c>
    </row>
    <row r="16" spans="1:39" ht="15.95" customHeight="1">
      <c r="A16" s="1725"/>
      <c r="B16" s="1742"/>
      <c r="C16" s="3673" t="s">
        <v>1763</v>
      </c>
      <c r="D16" s="3674"/>
      <c r="E16" s="3674"/>
      <c r="F16" s="3674"/>
      <c r="G16" s="3675"/>
      <c r="H16" s="3676" t="s">
        <v>1764</v>
      </c>
      <c r="I16" s="3677"/>
      <c r="J16" s="3677"/>
      <c r="K16" s="3677"/>
      <c r="L16" s="3678"/>
      <c r="M16" s="2559"/>
      <c r="N16" s="2558"/>
      <c r="O16" s="1736"/>
      <c r="P16" s="1727"/>
      <c r="Q16" s="1740"/>
      <c r="R16" s="1740"/>
      <c r="S16" s="1740"/>
      <c r="T16" s="1740"/>
      <c r="U16" s="1740"/>
      <c r="V16" s="1740"/>
      <c r="W16" s="1740"/>
      <c r="X16" s="1740"/>
      <c r="Y16" s="1740"/>
      <c r="Z16" s="1740"/>
      <c r="AA16" s="1740"/>
      <c r="AB16" s="1740"/>
      <c r="AC16" s="1740"/>
      <c r="AD16" s="1740"/>
      <c r="AE16" s="1740"/>
      <c r="AF16" s="1752"/>
      <c r="AG16" s="1752"/>
      <c r="AH16" s="1752"/>
      <c r="AI16" s="1752"/>
      <c r="AM16" s="2095">
        <v>16</v>
      </c>
    </row>
    <row r="17" spans="1:39" ht="15.95" customHeight="1">
      <c r="N17" s="2558"/>
      <c r="Q17" s="1740"/>
      <c r="R17" s="1740"/>
      <c r="S17" s="1740"/>
      <c r="T17" s="1740"/>
      <c r="U17" s="1740"/>
      <c r="V17" s="1740"/>
      <c r="W17" s="1740"/>
      <c r="X17" s="1740"/>
      <c r="Y17" s="1740"/>
      <c r="Z17" s="1740"/>
      <c r="AA17" s="1740"/>
      <c r="AB17" s="1740"/>
      <c r="AC17" s="1740"/>
      <c r="AD17" s="1740"/>
      <c r="AE17" s="1740"/>
      <c r="AM17" s="2095">
        <v>17</v>
      </c>
    </row>
    <row r="18" spans="1:39" ht="54" customHeight="1">
      <c r="C18" s="3679" t="s">
        <v>1765</v>
      </c>
      <c r="D18" s="3680"/>
      <c r="E18" s="3680"/>
      <c r="F18" s="3680"/>
      <c r="G18" s="3680"/>
      <c r="H18" s="3680"/>
      <c r="I18" s="3680"/>
      <c r="J18" s="3680"/>
      <c r="K18" s="3680"/>
      <c r="L18" s="3680"/>
      <c r="M18" s="3681"/>
      <c r="N18" s="2558"/>
      <c r="Q18" s="1740"/>
      <c r="R18" s="1740"/>
      <c r="S18" s="1740"/>
      <c r="T18" s="1740"/>
      <c r="U18" s="1740"/>
      <c r="V18" s="1740"/>
      <c r="W18" s="1740"/>
      <c r="X18" s="1740"/>
      <c r="Y18" s="1740"/>
      <c r="Z18" s="1740"/>
      <c r="AA18" s="1740"/>
      <c r="AB18" s="1740"/>
      <c r="AC18" s="1740"/>
      <c r="AD18" s="1740"/>
      <c r="AE18" s="1740"/>
      <c r="AM18" s="2094">
        <v>18</v>
      </c>
    </row>
    <row r="19" spans="1:39" ht="15.95" customHeight="1" thickBot="1">
      <c r="N19" s="2558"/>
      <c r="Q19" s="1740"/>
      <c r="R19" s="1740"/>
      <c r="S19" s="1740"/>
      <c r="T19" s="1740"/>
      <c r="U19" s="1740"/>
      <c r="V19" s="1740"/>
      <c r="W19" s="1740"/>
      <c r="X19" s="1740"/>
      <c r="Y19" s="1740"/>
      <c r="Z19" s="1740"/>
      <c r="AA19" s="1740"/>
      <c r="AB19" s="1740"/>
      <c r="AC19" s="1740"/>
      <c r="AD19" s="1740"/>
      <c r="AE19" s="1740"/>
      <c r="AM19" s="2094">
        <v>19</v>
      </c>
    </row>
    <row r="20" spans="1:39" ht="15.95" customHeight="1" thickBot="1">
      <c r="A20" s="1746" t="s">
        <v>32</v>
      </c>
      <c r="B20" s="1747" t="s">
        <v>1766</v>
      </c>
      <c r="H20" s="1754"/>
      <c r="J20" s="2559"/>
      <c r="K20" s="1725"/>
      <c r="L20" s="1755" t="s">
        <v>1767</v>
      </c>
      <c r="M20" s="1727">
        <v>6</v>
      </c>
      <c r="N20" s="2559"/>
      <c r="O20" s="1756">
        <f>IF(AND(O21&gt;0,O25&gt;0),"AorB?",MIN($M20,SUM(O21,O25,O27)))</f>
        <v>6</v>
      </c>
      <c r="P20" s="1756">
        <f>IF(AND(P21&gt;0,P25&gt;0),"AorB?",MIN($M20,SUM(P21,P25,P27)))</f>
        <v>0</v>
      </c>
      <c r="Q20" s="1757" t="s">
        <v>795</v>
      </c>
      <c r="T20" s="1753"/>
      <c r="U20" s="1753"/>
      <c r="AM20" s="2095">
        <v>20</v>
      </c>
    </row>
    <row r="21" spans="1:39" s="1725" customFormat="1" ht="15.95" customHeight="1">
      <c r="A21" s="1727" t="s">
        <v>197</v>
      </c>
      <c r="B21" s="1734" t="s">
        <v>1768</v>
      </c>
      <c r="D21" s="1758"/>
      <c r="E21" s="1758"/>
      <c r="G21" s="1724"/>
      <c r="L21" s="1759"/>
      <c r="M21" s="2559">
        <v>5</v>
      </c>
      <c r="N21" s="1760"/>
      <c r="O21" s="1761">
        <f>IF(OR(AND(O22="Yes",O23="Yes",O24="Yes"),AND(O22="Yes",O24="Yes"),AND(O23="Yes",O24="Yes"),AND(O22="Yes",O23="Yes")),"choose",IF(O22="Yes",$M$22,IF(O23="Yes",$M$23, IF(O24="Yes",$M$24,0))))</f>
        <v>5</v>
      </c>
      <c r="P21" s="1761">
        <f>IF(OR(AND(P22="Yes",P23="Yes",P24="Yes"),AND(P22="Yes",P24="Yes"),AND(P23="Yes",P24="Yes"),AND(P22="Yes",P23="Yes")),"choose",IF(P22="Yes",$M$22,IF(P23="Yes",$M$23, IF(P24="Yes",$M$24,0))))</f>
        <v>0</v>
      </c>
      <c r="Q21" s="1762"/>
      <c r="R21" s="1763"/>
      <c r="T21" s="1753"/>
      <c r="U21" s="1753"/>
      <c r="AM21" s="2094">
        <v>21</v>
      </c>
    </row>
    <row r="22" spans="1:39" s="1725" customFormat="1" ht="15.95" customHeight="1">
      <c r="A22" s="1727"/>
      <c r="B22" s="1764" t="s">
        <v>212</v>
      </c>
      <c r="C22" s="1754" t="s">
        <v>1769</v>
      </c>
      <c r="D22" s="1758"/>
      <c r="E22" s="1758"/>
      <c r="G22" s="1724"/>
      <c r="L22" s="1759"/>
      <c r="M22" s="2559">
        <v>5</v>
      </c>
      <c r="N22" s="1765"/>
      <c r="O22" s="1635" t="s">
        <v>362</v>
      </c>
      <c r="P22" s="1766"/>
      <c r="Q22" s="1762"/>
      <c r="R22" s="1763"/>
      <c r="T22" s="1753"/>
      <c r="U22" s="1753"/>
      <c r="AM22" s="2094">
        <v>22</v>
      </c>
    </row>
    <row r="23" spans="1:39" s="1725" customFormat="1" ht="15.95" customHeight="1">
      <c r="A23" s="1727"/>
      <c r="B23" s="1767" t="s">
        <v>220</v>
      </c>
      <c r="C23" s="1754" t="s">
        <v>1770</v>
      </c>
      <c r="D23" s="1758"/>
      <c r="E23" s="1758"/>
      <c r="G23" s="1724"/>
      <c r="L23" s="1759"/>
      <c r="M23" s="2559">
        <v>3</v>
      </c>
      <c r="N23" s="1765"/>
      <c r="O23" s="1637"/>
      <c r="P23" s="1768"/>
      <c r="Q23" s="1762"/>
      <c r="R23" s="1763"/>
      <c r="T23" s="1753"/>
      <c r="U23" s="1753"/>
      <c r="AM23" s="2095">
        <v>23</v>
      </c>
    </row>
    <row r="24" spans="1:39" s="1725" customFormat="1" ht="15.95" customHeight="1">
      <c r="A24" s="1727"/>
      <c r="B24" s="1767" t="s">
        <v>224</v>
      </c>
      <c r="C24" s="1754" t="s">
        <v>1771</v>
      </c>
      <c r="D24" s="1758"/>
      <c r="E24" s="1758"/>
      <c r="G24" s="1724"/>
      <c r="K24" s="1760"/>
      <c r="M24" s="2559">
        <v>1</v>
      </c>
      <c r="N24" s="1765"/>
      <c r="O24" s="1634"/>
      <c r="P24" s="1769"/>
      <c r="R24" s="1724"/>
      <c r="T24" s="1753"/>
      <c r="U24" s="1753"/>
      <c r="AM24" s="2095">
        <v>24</v>
      </c>
    </row>
    <row r="25" spans="1:39" ht="15.95" customHeight="1">
      <c r="A25" s="1727" t="s">
        <v>209</v>
      </c>
      <c r="B25" s="1734" t="s">
        <v>1772</v>
      </c>
      <c r="D25" s="1725"/>
      <c r="K25" s="1725"/>
      <c r="L25" s="1759" t="str">
        <f>IF(OR($O25=$M25,$O25=0,$O25=""),"","* * Check Score! * *")</f>
        <v/>
      </c>
      <c r="M25" s="2559">
        <v>1</v>
      </c>
      <c r="N25" s="1760"/>
      <c r="O25" s="1770">
        <f>IF(O26="Yes",$M$25,0)</f>
        <v>0</v>
      </c>
      <c r="P25" s="1770">
        <f>IF(P26="Yes",$M$25,0)</f>
        <v>0</v>
      </c>
      <c r="Q25" s="1762" t="str">
        <f>IF(OR($O25=$M25,$O25=0,$O25=""),"","*CHECK!*")</f>
        <v/>
      </c>
      <c r="R25" s="1763"/>
      <c r="T25" s="1753"/>
      <c r="U25" s="1753"/>
      <c r="AM25" s="2095">
        <v>25</v>
      </c>
    </row>
    <row r="26" spans="1:39">
      <c r="A26" s="1771"/>
      <c r="B26" s="3682" t="s">
        <v>1773</v>
      </c>
      <c r="C26" s="3682"/>
      <c r="D26" s="3682"/>
      <c r="E26" s="3682"/>
      <c r="F26" s="3682"/>
      <c r="G26" s="3682"/>
      <c r="H26" s="3682"/>
      <c r="I26" s="3682"/>
      <c r="J26" s="3682"/>
      <c r="K26" s="3682"/>
      <c r="L26" s="3682"/>
      <c r="M26" s="2559"/>
      <c r="N26" s="1760"/>
      <c r="O26" s="1651" t="s">
        <v>1205</v>
      </c>
      <c r="P26" s="1772"/>
      <c r="R26" s="1759"/>
      <c r="T26" s="1753"/>
      <c r="U26" s="1753"/>
      <c r="AM26" s="2095">
        <v>26</v>
      </c>
    </row>
    <row r="27" spans="1:39" ht="15.95" customHeight="1">
      <c r="A27" s="1727" t="s">
        <v>230</v>
      </c>
      <c r="B27" s="1734" t="s">
        <v>1774</v>
      </c>
      <c r="D27" s="1725"/>
      <c r="H27" s="1725"/>
      <c r="K27" s="1725"/>
      <c r="L27" s="1759"/>
      <c r="M27" s="2559">
        <v>1</v>
      </c>
      <c r="N27" s="1760"/>
      <c r="O27" s="1770">
        <f>IF(O21=0,0,IF(OR(O29="Yes",O30="Yes",O32="Yes"),$M$27,0))</f>
        <v>1</v>
      </c>
      <c r="P27" s="1770">
        <f>IF(P21=0,0,IF(OR(P29="Yes",P30="Yes",P32="Yes"),$M$27,0))</f>
        <v>0</v>
      </c>
      <c r="Q27" s="1762" t="str">
        <f>IF(OR($O27=$M27,$O27=0,$O27=""),"","*CHECK!*")</f>
        <v/>
      </c>
      <c r="R27" s="1763"/>
      <c r="T27" s="1753"/>
      <c r="U27" s="1753"/>
      <c r="AM27" s="2094">
        <v>27</v>
      </c>
    </row>
    <row r="28" spans="1:39" ht="14.25">
      <c r="B28" s="3696" t="s">
        <v>1775</v>
      </c>
      <c r="C28" s="3696"/>
      <c r="D28" s="3696"/>
      <c r="E28" s="3696"/>
      <c r="F28" s="3696"/>
      <c r="G28" s="3696"/>
      <c r="H28" s="3696"/>
      <c r="I28" s="3696"/>
      <c r="J28" s="3696"/>
      <c r="K28" s="3696"/>
      <c r="L28" s="3696"/>
      <c r="M28" s="2559"/>
      <c r="N28" s="2559"/>
      <c r="O28" s="2559"/>
      <c r="P28" s="2559"/>
      <c r="R28" s="1759"/>
      <c r="T28" s="1753"/>
      <c r="U28" s="1753"/>
      <c r="AM28" s="2095">
        <v>28</v>
      </c>
    </row>
    <row r="29" spans="1:39" s="1775" customFormat="1">
      <c r="B29" s="1767" t="s">
        <v>212</v>
      </c>
      <c r="C29" s="1774" t="s">
        <v>1776</v>
      </c>
      <c r="D29" s="2563"/>
      <c r="E29" s="2563"/>
      <c r="F29" s="2563"/>
      <c r="G29" s="2563"/>
      <c r="H29" s="2563"/>
      <c r="I29" s="2563"/>
      <c r="J29" s="2563"/>
      <c r="K29" s="2563"/>
      <c r="L29" s="2563"/>
      <c r="M29" s="1776"/>
      <c r="N29" s="1777"/>
      <c r="O29" s="1713"/>
      <c r="P29" s="1778"/>
      <c r="R29" s="1779"/>
      <c r="T29" s="1780"/>
      <c r="U29" s="1780"/>
      <c r="AM29" s="2094">
        <v>29</v>
      </c>
    </row>
    <row r="30" spans="1:39" s="1775" customFormat="1">
      <c r="B30" s="1767" t="s">
        <v>220</v>
      </c>
      <c r="C30" s="1774" t="s">
        <v>1777</v>
      </c>
      <c r="D30" s="2563"/>
      <c r="E30" s="2563"/>
      <c r="F30" s="2563"/>
      <c r="G30" s="2563"/>
      <c r="H30" s="2563"/>
      <c r="I30" s="2563"/>
      <c r="J30" s="2563"/>
      <c r="K30" s="2563"/>
      <c r="L30" s="2563"/>
      <c r="M30" s="1776"/>
      <c r="N30" s="1777"/>
      <c r="O30" s="1647"/>
      <c r="P30" s="1773"/>
      <c r="R30" s="1779"/>
      <c r="T30" s="1780"/>
      <c r="U30" s="1780"/>
      <c r="AM30" s="2094">
        <v>30</v>
      </c>
    </row>
    <row r="31" spans="1:39" s="1775" customFormat="1">
      <c r="B31" s="1774" t="s">
        <v>1778</v>
      </c>
      <c r="D31" s="2563"/>
      <c r="E31" s="2563"/>
      <c r="F31" s="2563"/>
      <c r="G31" s="2563"/>
      <c r="H31" s="2563"/>
      <c r="J31" s="3697"/>
      <c r="K31" s="3698"/>
      <c r="L31" s="3698"/>
      <c r="M31" s="3699"/>
      <c r="N31" s="1777"/>
      <c r="O31" s="1777"/>
      <c r="P31" s="1777"/>
      <c r="R31" s="1779"/>
      <c r="T31" s="1780"/>
      <c r="U31" s="1780"/>
      <c r="AM31" s="2094">
        <v>31</v>
      </c>
    </row>
    <row r="32" spans="1:39" s="1775" customFormat="1">
      <c r="B32" s="1767" t="s">
        <v>224</v>
      </c>
      <c r="C32" s="3696" t="s">
        <v>1779</v>
      </c>
      <c r="D32" s="3696"/>
      <c r="E32" s="3696"/>
      <c r="F32" s="3696"/>
      <c r="G32" s="3696"/>
      <c r="H32" s="3696"/>
      <c r="I32" s="3696"/>
      <c r="J32" s="3696"/>
      <c r="K32" s="3696"/>
      <c r="L32" s="3696"/>
      <c r="M32" s="1776"/>
      <c r="N32" s="1777"/>
      <c r="O32" s="1648" t="s">
        <v>362</v>
      </c>
      <c r="P32" s="1868"/>
      <c r="R32" s="1779"/>
      <c r="T32" s="1780"/>
      <c r="U32" s="1780"/>
      <c r="AM32" s="2094">
        <v>32</v>
      </c>
    </row>
    <row r="33" spans="1:39" ht="15.95" customHeight="1">
      <c r="A33" s="1725"/>
      <c r="B33" s="1781" t="s">
        <v>1447</v>
      </c>
      <c r="C33" s="1782"/>
      <c r="D33" s="1781"/>
      <c r="E33" s="1783"/>
      <c r="F33" s="2563"/>
      <c r="G33" s="2563"/>
      <c r="H33" s="2563"/>
      <c r="I33" s="2563"/>
      <c r="J33" s="2563"/>
      <c r="K33" s="2563"/>
      <c r="L33" s="2563"/>
      <c r="M33" s="2563"/>
      <c r="N33" s="1784"/>
      <c r="O33" s="1785"/>
      <c r="P33" s="1727"/>
      <c r="AM33" s="2095">
        <v>33</v>
      </c>
    </row>
    <row r="34" spans="1:39" ht="15.95" customHeight="1">
      <c r="A34" s="3700"/>
      <c r="B34" s="3701"/>
      <c r="C34" s="3701"/>
      <c r="D34" s="3701"/>
      <c r="E34" s="3701"/>
      <c r="F34" s="3701"/>
      <c r="G34" s="3701"/>
      <c r="H34" s="3701"/>
      <c r="I34" s="3701"/>
      <c r="J34" s="3701"/>
      <c r="K34" s="3701"/>
      <c r="L34" s="3701"/>
      <c r="M34" s="3701"/>
      <c r="N34" s="3701"/>
      <c r="O34" s="3701"/>
      <c r="P34" s="3702"/>
      <c r="Q34" s="1786"/>
      <c r="AM34" s="2095">
        <v>34</v>
      </c>
    </row>
    <row r="35" spans="1:39" ht="9.75" customHeight="1">
      <c r="A35" s="1725"/>
      <c r="B35" s="1742"/>
      <c r="C35" s="1725"/>
      <c r="D35" s="1628"/>
      <c r="E35" s="1629"/>
      <c r="F35" s="1629"/>
      <c r="G35" s="1751"/>
      <c r="H35" s="1751"/>
      <c r="I35" s="1751"/>
      <c r="J35" s="1751"/>
      <c r="K35" s="1751"/>
      <c r="L35" s="1751"/>
      <c r="M35" s="2559"/>
      <c r="N35" s="2558"/>
      <c r="O35" s="1736"/>
      <c r="P35" s="1727"/>
      <c r="R35" s="1725"/>
      <c r="S35" s="1725"/>
      <c r="T35" s="1725"/>
      <c r="U35" s="1725"/>
      <c r="V35" s="1725"/>
      <c r="W35" s="1725"/>
      <c r="X35" s="1752"/>
      <c r="Y35" s="1752"/>
      <c r="Z35" s="1752"/>
      <c r="AA35" s="1752"/>
      <c r="AB35" s="1752"/>
      <c r="AC35" s="1752"/>
      <c r="AD35" s="1752"/>
      <c r="AE35" s="1752"/>
      <c r="AF35" s="1752"/>
      <c r="AG35" s="1752"/>
      <c r="AH35" s="1752"/>
      <c r="AI35" s="1752"/>
      <c r="AM35" s="2095">
        <v>35</v>
      </c>
    </row>
    <row r="36" spans="1:39" ht="9.75" customHeight="1" thickBot="1">
      <c r="N36" s="2558"/>
      <c r="T36" s="1753"/>
      <c r="U36" s="1753"/>
      <c r="AM36" s="2095">
        <v>36</v>
      </c>
    </row>
    <row r="37" spans="1:39" s="1725" customFormat="1" ht="15.95" customHeight="1" thickBot="1">
      <c r="A37" s="1746" t="s">
        <v>51</v>
      </c>
      <c r="B37" s="1747" t="s">
        <v>1780</v>
      </c>
      <c r="D37" s="1747"/>
      <c r="E37" s="1747"/>
      <c r="G37" s="1787"/>
      <c r="L37" s="1788" t="str">
        <f>IF(AND(O44&gt;0,O46&gt;0), "Choose only one option!","")</f>
        <v/>
      </c>
      <c r="M37" s="1727">
        <v>2</v>
      </c>
      <c r="N37" s="2559"/>
      <c r="O37" s="1756">
        <f>IF(O44=$M$44,$M$44,IF(O46=$M$46,$M$46,0))</f>
        <v>2</v>
      </c>
      <c r="P37" s="1756">
        <f>IF(P44=$M$44,$M$44,IF(P46=$M$46,$M$46,0))</f>
        <v>0</v>
      </c>
      <c r="Q37" s="1757" t="s">
        <v>795</v>
      </c>
      <c r="R37" s="1722"/>
      <c r="S37" s="1722"/>
      <c r="T37" s="1722"/>
      <c r="U37" s="1722"/>
      <c r="V37" s="1722"/>
      <c r="AM37" s="2094">
        <v>37</v>
      </c>
    </row>
    <row r="38" spans="1:39" s="1725" customFormat="1" ht="15.95" customHeight="1">
      <c r="A38" s="1746"/>
      <c r="B38" s="1725" t="s">
        <v>1781</v>
      </c>
      <c r="D38" s="1747"/>
      <c r="E38" s="1747"/>
      <c r="J38" s="1789"/>
      <c r="M38" s="1790"/>
      <c r="O38" s="3703" t="s">
        <v>1782</v>
      </c>
      <c r="P38" s="3703" t="s">
        <v>1783</v>
      </c>
      <c r="Q38" s="1757"/>
      <c r="R38" s="1722"/>
      <c r="S38" s="1722"/>
      <c r="T38" s="1722"/>
      <c r="U38" s="1722"/>
      <c r="V38" s="1722"/>
      <c r="W38" s="1724"/>
      <c r="X38" s="1724"/>
      <c r="AM38" s="2095">
        <v>38</v>
      </c>
    </row>
    <row r="39" spans="1:39" s="1725" customFormat="1" ht="15.95" customHeight="1">
      <c r="A39" s="1746"/>
      <c r="C39" s="1725" t="s">
        <v>1784</v>
      </c>
      <c r="G39" s="3706" t="s">
        <v>1785</v>
      </c>
      <c r="H39" s="3707"/>
      <c r="I39" s="3708"/>
      <c r="J39" s="4721"/>
      <c r="K39" s="1963"/>
      <c r="M39" s="1790"/>
      <c r="O39" s="3704"/>
      <c r="P39" s="3704"/>
      <c r="Q39" s="1757"/>
      <c r="V39" s="1722"/>
      <c r="W39" s="1724"/>
      <c r="X39" s="1724"/>
      <c r="AM39" s="2094">
        <v>39</v>
      </c>
    </row>
    <row r="40" spans="1:39" s="1725" customFormat="1" ht="15.95" customHeight="1">
      <c r="A40" s="1746"/>
      <c r="C40" s="1725" t="s">
        <v>1786</v>
      </c>
      <c r="G40" s="3709" t="s">
        <v>730</v>
      </c>
      <c r="H40" s="3710"/>
      <c r="I40" s="1791"/>
      <c r="J40" s="2783"/>
      <c r="M40" s="1790"/>
      <c r="O40" s="3704"/>
      <c r="P40" s="3704"/>
      <c r="Q40" s="1757"/>
      <c r="V40" s="1722"/>
      <c r="W40" s="1724"/>
      <c r="X40" s="1724"/>
      <c r="AM40" s="2094">
        <v>40</v>
      </c>
    </row>
    <row r="41" spans="1:39" s="1725" customFormat="1" ht="15.95" customHeight="1">
      <c r="A41" s="1746"/>
      <c r="C41" s="1725" t="s">
        <v>1787</v>
      </c>
      <c r="G41" s="3711"/>
      <c r="H41" s="3712"/>
      <c r="I41" s="1963"/>
      <c r="M41" s="1790"/>
      <c r="O41" s="3705"/>
      <c r="P41" s="3705"/>
      <c r="Q41" s="1757"/>
      <c r="V41" s="1722"/>
      <c r="W41" s="1724"/>
      <c r="X41" s="1724"/>
      <c r="AM41" s="2094">
        <v>41</v>
      </c>
    </row>
    <row r="42" spans="1:39" ht="28.5" customHeight="1" thickBot="1">
      <c r="A42" s="1793"/>
      <c r="B42" s="1760"/>
      <c r="C42" s="3682" t="s">
        <v>1788</v>
      </c>
      <c r="D42" s="3682"/>
      <c r="E42" s="3682"/>
      <c r="F42" s="3682"/>
      <c r="G42" s="3682"/>
      <c r="H42" s="3682"/>
      <c r="I42" s="3682"/>
      <c r="J42" s="3682"/>
      <c r="K42" s="3682"/>
      <c r="L42" s="3682"/>
      <c r="M42" s="1725"/>
      <c r="N42" s="1760"/>
      <c r="O42" s="2001" t="s">
        <v>1785</v>
      </c>
      <c r="P42" s="2002"/>
      <c r="Q42" s="1757"/>
      <c r="R42" s="1792"/>
      <c r="S42" s="1792"/>
      <c r="T42" s="1792"/>
      <c r="U42" s="1792"/>
      <c r="AM42" s="2094">
        <v>42</v>
      </c>
    </row>
    <row r="43" spans="1:39" ht="2.25" hidden="1" customHeight="1">
      <c r="A43" s="1725"/>
      <c r="D43" s="1725"/>
      <c r="E43" s="1725"/>
      <c r="F43" s="1727"/>
      <c r="G43" s="1727"/>
      <c r="H43" s="1727"/>
      <c r="I43" s="1727"/>
      <c r="J43" s="1754"/>
      <c r="K43" s="1754"/>
      <c r="L43" s="1754"/>
      <c r="M43" s="2559"/>
      <c r="N43" s="1727"/>
      <c r="P43" s="1736"/>
      <c r="AM43" s="2095">
        <v>43</v>
      </c>
    </row>
    <row r="44" spans="1:39" ht="15.95" customHeight="1" thickBot="1">
      <c r="A44" s="1727" t="s">
        <v>197</v>
      </c>
      <c r="B44" s="1794" t="s">
        <v>1789</v>
      </c>
      <c r="D44" s="1774"/>
      <c r="E44" s="1774"/>
      <c r="H44" s="1774"/>
      <c r="L44" s="1774"/>
      <c r="M44" s="2558">
        <v>2</v>
      </c>
      <c r="N44" s="1760"/>
      <c r="O44" s="1756">
        <f>IF(O45="Yes",$M44,0)</f>
        <v>2</v>
      </c>
      <c r="P44" s="1756">
        <f>IF(P45="Yes",$M44,0)</f>
        <v>0</v>
      </c>
      <c r="Q44" s="1795" t="str">
        <f>IF(OR(O44=0,O44="",O44=$M44),"","Check!")</f>
        <v/>
      </c>
      <c r="R44" s="1763"/>
      <c r="S44" s="1722"/>
      <c r="T44" s="1722"/>
      <c r="U44" s="1722"/>
      <c r="V44" s="1722"/>
      <c r="AM44" s="2095">
        <v>44</v>
      </c>
    </row>
    <row r="45" spans="1:39" s="1775" customFormat="1" ht="15.75" thickBot="1">
      <c r="A45" s="1796"/>
      <c r="B45" s="1774" t="s">
        <v>1790</v>
      </c>
      <c r="C45" s="1874"/>
      <c r="D45" s="1874"/>
      <c r="E45" s="1874"/>
      <c r="F45" s="1874"/>
      <c r="G45" s="1874"/>
      <c r="H45" s="1874"/>
      <c r="I45" s="1874"/>
      <c r="J45" s="1874"/>
      <c r="K45" s="1874"/>
      <c r="L45" s="1874"/>
      <c r="M45" s="1874"/>
      <c r="N45" s="1765"/>
      <c r="O45" s="1649" t="s">
        <v>362</v>
      </c>
      <c r="P45" s="1797"/>
      <c r="Q45" s="1798"/>
      <c r="R45" s="1799"/>
      <c r="S45" s="1799"/>
      <c r="T45" s="1799"/>
      <c r="U45" s="1799"/>
      <c r="AM45" s="2095">
        <v>45</v>
      </c>
    </row>
    <row r="46" spans="1:39" ht="15.95" customHeight="1" thickBot="1">
      <c r="A46" s="1727" t="s">
        <v>209</v>
      </c>
      <c r="B46" s="1794" t="s">
        <v>1791</v>
      </c>
      <c r="D46" s="1774"/>
      <c r="L46" s="1774"/>
      <c r="M46" s="2558">
        <v>2</v>
      </c>
      <c r="N46" s="1760"/>
      <c r="O46" s="1756">
        <f>IF(AND(O47="Yes",O48="Yes"),$M46,0)</f>
        <v>0</v>
      </c>
      <c r="P46" s="1756">
        <f>IF(AND(P47="Yes",P48="Yes"),$M46,0)</f>
        <v>0</v>
      </c>
      <c r="Q46" s="1795" t="str">
        <f>IF(OR(O46=0,O46="",O46=$M46),"","Check!")</f>
        <v/>
      </c>
      <c r="R46" s="1763"/>
      <c r="S46" s="1722"/>
      <c r="T46" s="1722"/>
      <c r="U46" s="1722"/>
      <c r="V46" s="1722"/>
      <c r="AM46" s="2095">
        <v>46</v>
      </c>
    </row>
    <row r="47" spans="1:39" ht="15.95" customHeight="1">
      <c r="A47" s="1727"/>
      <c r="B47" s="1725" t="s">
        <v>1792</v>
      </c>
      <c r="D47" s="1774"/>
      <c r="L47" s="1774"/>
      <c r="M47" s="2558"/>
      <c r="N47" s="1760"/>
      <c r="O47" s="1649" t="s">
        <v>1205</v>
      </c>
      <c r="P47" s="1797"/>
      <c r="Q47" s="1795"/>
      <c r="R47" s="1763"/>
      <c r="S47" s="1722"/>
      <c r="T47" s="1722"/>
      <c r="U47" s="1722"/>
      <c r="V47" s="1722"/>
      <c r="AM47" s="2094">
        <v>47</v>
      </c>
    </row>
    <row r="48" spans="1:39" ht="28.5" customHeight="1">
      <c r="A48" s="1727"/>
      <c r="B48" s="3696" t="s">
        <v>1793</v>
      </c>
      <c r="C48" s="3696"/>
      <c r="D48" s="3696"/>
      <c r="E48" s="3696"/>
      <c r="F48" s="3696"/>
      <c r="G48" s="3696"/>
      <c r="H48" s="3696"/>
      <c r="I48" s="3696"/>
      <c r="J48" s="3696"/>
      <c r="K48" s="3696"/>
      <c r="L48" s="3696"/>
      <c r="M48" s="3696"/>
      <c r="N48" s="1760"/>
      <c r="O48" s="1719" t="s">
        <v>1205</v>
      </c>
      <c r="P48" s="1800"/>
      <c r="Q48" s="1795"/>
      <c r="R48" s="1763"/>
      <c r="S48" s="1722"/>
      <c r="T48" s="1722"/>
      <c r="U48" s="1722"/>
      <c r="V48" s="1722"/>
      <c r="AM48" s="2095">
        <v>48</v>
      </c>
    </row>
    <row r="49" spans="1:39" ht="15.95" customHeight="1">
      <c r="A49" s="1725"/>
      <c r="B49" s="1745" t="s">
        <v>1794</v>
      </c>
      <c r="C49" s="1725"/>
      <c r="D49" s="1725"/>
      <c r="E49" s="1725"/>
      <c r="F49" s="1725"/>
      <c r="G49" s="1725"/>
      <c r="H49" s="1725"/>
      <c r="I49" s="1725"/>
      <c r="J49" s="1725"/>
      <c r="K49" s="1725"/>
      <c r="M49" s="2559"/>
      <c r="N49" s="2558"/>
      <c r="O49" s="1736"/>
      <c r="R49" s="1722"/>
      <c r="S49" s="1722"/>
      <c r="T49" s="1722"/>
      <c r="U49" s="1722"/>
      <c r="V49" s="1722"/>
      <c r="AM49" s="2094">
        <v>49</v>
      </c>
    </row>
    <row r="50" spans="1:39" ht="49.5" customHeight="1">
      <c r="A50" s="3723" t="s">
        <v>1795</v>
      </c>
      <c r="B50" s="3724"/>
      <c r="C50" s="3724"/>
      <c r="D50" s="3724"/>
      <c r="E50" s="3724"/>
      <c r="F50" s="3724"/>
      <c r="G50" s="3724"/>
      <c r="H50" s="3724"/>
      <c r="I50" s="3724"/>
      <c r="J50" s="3724"/>
      <c r="K50" s="3724"/>
      <c r="L50" s="3724"/>
      <c r="M50" s="3724"/>
      <c r="N50" s="3724"/>
      <c r="O50" s="3724"/>
      <c r="P50" s="3725"/>
      <c r="Q50" s="1802"/>
      <c r="AM50" s="2094">
        <v>50</v>
      </c>
    </row>
    <row r="51" spans="1:39" ht="15.95" customHeight="1">
      <c r="A51" s="1725"/>
      <c r="B51" s="1781" t="s">
        <v>1447</v>
      </c>
      <c r="C51" s="1725"/>
      <c r="D51" s="1781"/>
      <c r="E51" s="2563"/>
      <c r="F51" s="2563"/>
      <c r="G51" s="2563"/>
      <c r="H51" s="2563"/>
      <c r="I51" s="2563"/>
      <c r="J51" s="2563"/>
      <c r="K51" s="2563"/>
      <c r="L51" s="2563"/>
      <c r="M51" s="2563"/>
      <c r="N51" s="1784"/>
      <c r="O51" s="1785"/>
      <c r="P51" s="1727"/>
      <c r="AM51" s="2094">
        <v>51</v>
      </c>
    </row>
    <row r="52" spans="1:39" ht="15.95" customHeight="1">
      <c r="A52" s="3700"/>
      <c r="B52" s="3701"/>
      <c r="C52" s="3701"/>
      <c r="D52" s="3701"/>
      <c r="E52" s="3701"/>
      <c r="F52" s="3701"/>
      <c r="G52" s="3701"/>
      <c r="H52" s="3701"/>
      <c r="I52" s="3701"/>
      <c r="J52" s="3701"/>
      <c r="K52" s="3701"/>
      <c r="L52" s="3701"/>
      <c r="M52" s="3701"/>
      <c r="N52" s="3701"/>
      <c r="O52" s="3701"/>
      <c r="P52" s="3702"/>
      <c r="Q52" s="1786"/>
      <c r="AM52" s="2094">
        <v>52</v>
      </c>
    </row>
    <row r="53" spans="1:39" ht="9.75" customHeight="1">
      <c r="A53" s="1725"/>
      <c r="B53" s="1742"/>
      <c r="C53" s="1725"/>
      <c r="D53" s="1628"/>
      <c r="E53" s="1629"/>
      <c r="F53" s="1629"/>
      <c r="G53" s="1751"/>
      <c r="H53" s="1751"/>
      <c r="I53" s="1751"/>
      <c r="J53" s="1751"/>
      <c r="K53" s="1751"/>
      <c r="L53" s="1751"/>
      <c r="M53" s="2559"/>
      <c r="N53" s="2558"/>
      <c r="O53" s="1736"/>
      <c r="P53" s="1727"/>
      <c r="R53" s="1725"/>
      <c r="S53" s="1725"/>
      <c r="T53" s="1725"/>
      <c r="U53" s="1725"/>
      <c r="V53" s="1725"/>
      <c r="W53" s="1725"/>
      <c r="X53" s="1752"/>
      <c r="Y53" s="1752"/>
      <c r="Z53" s="1752"/>
      <c r="AA53" s="1752"/>
      <c r="AB53" s="1752"/>
      <c r="AC53" s="1752"/>
      <c r="AD53" s="1752"/>
      <c r="AE53" s="1752"/>
      <c r="AF53" s="1752"/>
      <c r="AG53" s="1752"/>
      <c r="AH53" s="1752"/>
      <c r="AI53" s="1752"/>
      <c r="AM53" s="2094">
        <v>53</v>
      </c>
    </row>
    <row r="54" spans="1:39" ht="9.75" customHeight="1" thickBot="1">
      <c r="N54" s="2558"/>
      <c r="T54" s="1753"/>
      <c r="U54" s="1753"/>
      <c r="AM54" s="2094">
        <v>54</v>
      </c>
    </row>
    <row r="55" spans="1:39" ht="15.95" customHeight="1" thickBot="1">
      <c r="A55" s="1746" t="s">
        <v>68</v>
      </c>
      <c r="B55" s="1747" t="s">
        <v>1796</v>
      </c>
      <c r="D55" s="1803"/>
      <c r="E55" s="1803"/>
      <c r="F55" s="1725"/>
      <c r="G55" s="1725"/>
      <c r="H55" s="1725"/>
      <c r="J55" s="1804"/>
      <c r="K55" s="1790"/>
      <c r="L55" s="1755" t="s">
        <v>1767</v>
      </c>
      <c r="M55" s="1736">
        <v>5</v>
      </c>
      <c r="N55" s="2559"/>
      <c r="O55" s="1805">
        <f>O56+O78</f>
        <v>3.5</v>
      </c>
      <c r="P55" s="1805">
        <f>P56+P78</f>
        <v>0</v>
      </c>
      <c r="Q55" s="1757" t="s">
        <v>795</v>
      </c>
      <c r="AM55" s="2095">
        <v>55</v>
      </c>
    </row>
    <row r="56" spans="1:39" ht="15.95" customHeight="1" thickBot="1">
      <c r="A56" s="1806" t="s">
        <v>197</v>
      </c>
      <c r="B56" s="1734" t="s">
        <v>1797</v>
      </c>
      <c r="L56" s="1759" t="str">
        <f>IF(O56&lt;=M56,"","* * Check Score! * *")</f>
        <v/>
      </c>
      <c r="M56" s="2559">
        <v>4</v>
      </c>
      <c r="N56" s="1760"/>
      <c r="O56" s="1652">
        <v>3</v>
      </c>
      <c r="P56" s="1807"/>
      <c r="Q56" s="1762" t="str">
        <f>IF(O56&lt;=M56,"","*CHECK!*")</f>
        <v/>
      </c>
      <c r="R56" s="1739"/>
      <c r="S56" s="1739"/>
      <c r="T56" s="1723"/>
      <c r="AM56" s="2095">
        <v>56</v>
      </c>
    </row>
    <row r="57" spans="1:39" ht="30.95" customHeight="1">
      <c r="A57" s="1806"/>
      <c r="B57" s="3726" t="s">
        <v>1798</v>
      </c>
      <c r="C57" s="3726"/>
      <c r="D57" s="3726"/>
      <c r="E57" s="3726"/>
      <c r="F57" s="3726"/>
      <c r="G57" s="3726"/>
      <c r="H57" s="3726"/>
      <c r="I57" s="3726"/>
      <c r="J57" s="3726"/>
      <c r="K57" s="3726"/>
      <c r="L57" s="3726"/>
      <c r="N57" s="1724"/>
      <c r="O57" s="1653" t="s">
        <v>362</v>
      </c>
      <c r="P57" s="1808"/>
      <c r="R57" s="1739"/>
      <c r="S57" s="1739"/>
      <c r="T57" s="1723"/>
      <c r="AM57" s="2094">
        <v>57</v>
      </c>
    </row>
    <row r="58" spans="1:39" ht="15.95" customHeight="1">
      <c r="A58" s="1806"/>
      <c r="B58" s="1809"/>
      <c r="C58" s="1775"/>
      <c r="D58" s="1775"/>
      <c r="E58" s="1775"/>
      <c r="F58" s="1775"/>
      <c r="G58" s="1775"/>
      <c r="H58" s="1775"/>
      <c r="I58" s="1775"/>
      <c r="J58" s="3727" t="s">
        <v>1799</v>
      </c>
      <c r="K58" s="3727"/>
      <c r="M58" s="3727" t="s">
        <v>1799</v>
      </c>
      <c r="N58" s="3727"/>
      <c r="O58" s="3727"/>
      <c r="P58" s="3727"/>
      <c r="R58" s="1810"/>
      <c r="S58" s="1810"/>
      <c r="T58" s="1723"/>
      <c r="AM58" s="2094">
        <v>58</v>
      </c>
    </row>
    <row r="59" spans="1:39" ht="14.1" customHeight="1">
      <c r="A59" s="1760"/>
      <c r="B59" s="1764" t="s">
        <v>212</v>
      </c>
      <c r="C59" s="1725" t="s">
        <v>1800</v>
      </c>
      <c r="I59" s="1760"/>
      <c r="J59" s="3713"/>
      <c r="K59" s="3714"/>
      <c r="L59" s="1760"/>
      <c r="M59" s="3715"/>
      <c r="N59" s="3716"/>
      <c r="O59" s="3716"/>
      <c r="P59" s="3717"/>
      <c r="R59" s="1759"/>
      <c r="AM59" s="2095">
        <v>59</v>
      </c>
    </row>
    <row r="60" spans="1:39" ht="14.1" customHeight="1">
      <c r="A60" s="1755"/>
      <c r="B60" s="1767" t="s">
        <v>220</v>
      </c>
      <c r="C60" s="1725" t="s">
        <v>1801</v>
      </c>
      <c r="I60" s="1777"/>
      <c r="J60" s="3718"/>
      <c r="K60" s="3719"/>
      <c r="L60" s="1777"/>
      <c r="M60" s="3720"/>
      <c r="N60" s="3721"/>
      <c r="O60" s="3721"/>
      <c r="P60" s="3722"/>
      <c r="AM60" s="2095">
        <v>60</v>
      </c>
    </row>
    <row r="61" spans="1:39" ht="14.1" customHeight="1">
      <c r="B61" s="1764" t="s">
        <v>224</v>
      </c>
      <c r="C61" s="1725" t="s">
        <v>1802</v>
      </c>
      <c r="I61" s="1760"/>
      <c r="J61" s="3718"/>
      <c r="K61" s="3719"/>
      <c r="L61" s="1760"/>
      <c r="M61" s="3720"/>
      <c r="N61" s="3721"/>
      <c r="O61" s="3721"/>
      <c r="P61" s="3722"/>
      <c r="AM61" s="2095">
        <v>61</v>
      </c>
    </row>
    <row r="62" spans="1:39" ht="14.1" customHeight="1">
      <c r="B62" s="1764" t="s">
        <v>264</v>
      </c>
      <c r="C62" s="1725" t="s">
        <v>1803</v>
      </c>
      <c r="I62" s="1760"/>
      <c r="J62" s="3718"/>
      <c r="K62" s="3719"/>
      <c r="L62" s="1760"/>
      <c r="M62" s="3720"/>
      <c r="N62" s="3721"/>
      <c r="O62" s="3721"/>
      <c r="P62" s="3722"/>
      <c r="AM62" s="2095">
        <v>62</v>
      </c>
    </row>
    <row r="63" spans="1:39" ht="14.1" customHeight="1">
      <c r="A63" s="1755"/>
      <c r="B63" s="1767" t="s">
        <v>266</v>
      </c>
      <c r="C63" s="1725" t="s">
        <v>1804</v>
      </c>
      <c r="I63" s="1760"/>
      <c r="J63" s="3718"/>
      <c r="K63" s="3719"/>
      <c r="L63" s="1760"/>
      <c r="M63" s="3720"/>
      <c r="N63" s="3721"/>
      <c r="O63" s="3721"/>
      <c r="P63" s="3722"/>
      <c r="AM63" s="2094">
        <v>63</v>
      </c>
    </row>
    <row r="64" spans="1:39" ht="14.1" customHeight="1">
      <c r="A64" s="1760"/>
      <c r="B64" s="1764" t="s">
        <v>268</v>
      </c>
      <c r="C64" s="1725" t="s">
        <v>1805</v>
      </c>
      <c r="I64" s="1777"/>
      <c r="J64" s="3718"/>
      <c r="K64" s="3719"/>
      <c r="L64" s="1777"/>
      <c r="M64" s="3720"/>
      <c r="N64" s="3721"/>
      <c r="O64" s="3721"/>
      <c r="P64" s="3722"/>
      <c r="AM64" s="2095">
        <v>64</v>
      </c>
    </row>
    <row r="65" spans="1:39" ht="14.1" customHeight="1">
      <c r="B65" s="1764" t="s">
        <v>270</v>
      </c>
      <c r="C65" s="1725" t="s">
        <v>1806</v>
      </c>
      <c r="I65" s="1760"/>
      <c r="J65" s="3718"/>
      <c r="K65" s="3719"/>
      <c r="L65" s="1760"/>
      <c r="M65" s="3720"/>
      <c r="N65" s="3721"/>
      <c r="O65" s="3721"/>
      <c r="P65" s="3722"/>
      <c r="AM65" s="2094">
        <v>65</v>
      </c>
    </row>
    <row r="66" spans="1:39" ht="14.1" customHeight="1">
      <c r="B66" s="1764" t="s">
        <v>272</v>
      </c>
      <c r="C66" s="1725" t="s">
        <v>1807</v>
      </c>
      <c r="I66" s="1760"/>
      <c r="J66" s="3718"/>
      <c r="K66" s="3719"/>
      <c r="L66" s="1760"/>
      <c r="M66" s="3720"/>
      <c r="N66" s="3721"/>
      <c r="O66" s="3721"/>
      <c r="P66" s="3722"/>
      <c r="R66" s="1759"/>
      <c r="AM66" s="2094">
        <v>66</v>
      </c>
    </row>
    <row r="67" spans="1:39" ht="14.1" customHeight="1">
      <c r="A67" s="1755"/>
      <c r="B67" s="1764" t="s">
        <v>274</v>
      </c>
      <c r="C67" s="1725" t="s">
        <v>1808</v>
      </c>
      <c r="I67" s="1760"/>
      <c r="J67" s="3718"/>
      <c r="K67" s="3719"/>
      <c r="L67" s="1760"/>
      <c r="M67" s="3720"/>
      <c r="N67" s="3721"/>
      <c r="O67" s="3721"/>
      <c r="P67" s="3722"/>
      <c r="R67" s="1759"/>
      <c r="AM67" s="2094">
        <v>67</v>
      </c>
    </row>
    <row r="68" spans="1:39" ht="14.1" customHeight="1">
      <c r="B68" s="1764" t="s">
        <v>1809</v>
      </c>
      <c r="C68" s="1725" t="s">
        <v>1810</v>
      </c>
      <c r="I68" s="1760"/>
      <c r="J68" s="3718"/>
      <c r="K68" s="3719"/>
      <c r="L68" s="1760"/>
      <c r="M68" s="3720"/>
      <c r="N68" s="3721"/>
      <c r="O68" s="3721"/>
      <c r="P68" s="3722"/>
      <c r="R68" s="1759"/>
      <c r="AM68" s="2094">
        <v>68</v>
      </c>
    </row>
    <row r="69" spans="1:39" ht="14.1" customHeight="1">
      <c r="B69" s="1764" t="s">
        <v>1811</v>
      </c>
      <c r="C69" s="1725" t="s">
        <v>1812</v>
      </c>
      <c r="I69" s="1760"/>
      <c r="J69" s="3718"/>
      <c r="K69" s="3719"/>
      <c r="L69" s="1760"/>
      <c r="M69" s="3720"/>
      <c r="N69" s="3721"/>
      <c r="O69" s="3721"/>
      <c r="P69" s="3722"/>
      <c r="R69" s="1759"/>
      <c r="AM69" s="2094">
        <v>69</v>
      </c>
    </row>
    <row r="70" spans="1:39" ht="14.1" customHeight="1" thickBot="1">
      <c r="B70" s="1764" t="s">
        <v>1813</v>
      </c>
      <c r="C70" s="1725" t="s">
        <v>1814</v>
      </c>
      <c r="I70" s="1760"/>
      <c r="J70" s="3718">
        <v>2279916</v>
      </c>
      <c r="K70" s="3719"/>
      <c r="L70" s="1760"/>
      <c r="M70" s="3738"/>
      <c r="N70" s="3739"/>
      <c r="O70" s="3739"/>
      <c r="P70" s="3740"/>
      <c r="R70" s="1759"/>
      <c r="AM70" s="2094">
        <v>70</v>
      </c>
    </row>
    <row r="71" spans="1:39" ht="15.95" customHeight="1" thickBot="1">
      <c r="B71" s="1725"/>
      <c r="I71" s="1742" t="s">
        <v>1815</v>
      </c>
      <c r="J71" s="3728">
        <f>SUM(J59:K70)</f>
        <v>2279916</v>
      </c>
      <c r="K71" s="3729"/>
      <c r="M71" s="3728">
        <f>SUM($M59:$M70)</f>
        <v>0</v>
      </c>
      <c r="N71" s="3730"/>
      <c r="O71" s="3730"/>
      <c r="P71" s="3729"/>
      <c r="U71" s="3648" t="s">
        <v>1816</v>
      </c>
      <c r="V71" s="3648"/>
      <c r="W71" s="3648"/>
      <c r="X71" s="3648"/>
      <c r="Y71" s="3648"/>
      <c r="Z71" s="3648"/>
      <c r="AM71" s="2095">
        <v>71</v>
      </c>
    </row>
    <row r="72" spans="1:39" ht="15.95" customHeight="1">
      <c r="M72" s="1739"/>
      <c r="N72" s="1739"/>
      <c r="O72" s="1724"/>
      <c r="P72" s="1739"/>
      <c r="U72" s="1811" t="s">
        <v>1817</v>
      </c>
      <c r="V72" s="1811" t="s">
        <v>1747</v>
      </c>
      <c r="W72" s="1811" t="s">
        <v>1817</v>
      </c>
      <c r="X72" s="1811" t="s">
        <v>1747</v>
      </c>
      <c r="Y72" s="1811" t="s">
        <v>1817</v>
      </c>
      <c r="Z72" s="1811" t="s">
        <v>1747</v>
      </c>
      <c r="AM72" s="2095">
        <v>72</v>
      </c>
    </row>
    <row r="73" spans="1:39" ht="15.95" customHeight="1">
      <c r="A73" s="1725"/>
      <c r="B73" s="1764"/>
      <c r="C73" s="1803" t="s">
        <v>1818</v>
      </c>
      <c r="D73" s="1741"/>
      <c r="E73" s="1741"/>
      <c r="I73" s="1760" t="s">
        <v>1819</v>
      </c>
      <c r="J73" s="3731">
        <f>'Part V-Revenues &amp; Expenses'!$P$67</f>
        <v>58</v>
      </c>
      <c r="K73" s="3732"/>
      <c r="L73" s="1739"/>
      <c r="M73" s="1739"/>
      <c r="N73" s="1739"/>
      <c r="O73" s="1724"/>
      <c r="P73" s="1739"/>
      <c r="R73" s="1812" t="s">
        <v>1820</v>
      </c>
      <c r="U73" s="1813">
        <v>500000</v>
      </c>
      <c r="V73" s="1814">
        <v>999999.99</v>
      </c>
      <c r="W73" s="1813">
        <v>1000000</v>
      </c>
      <c r="X73" s="1814">
        <v>1999999.99</v>
      </c>
      <c r="Y73" s="1813">
        <v>2000000</v>
      </c>
      <c r="Z73" s="1815"/>
      <c r="AM73" s="2095">
        <v>73</v>
      </c>
    </row>
    <row r="74" spans="1:39" ht="15.95" customHeight="1">
      <c r="C74" s="1741"/>
      <c r="D74" s="1741"/>
      <c r="E74" s="1741"/>
      <c r="I74" s="1816" t="s">
        <v>1821</v>
      </c>
      <c r="J74" s="3733">
        <f>IF(J73=0,0,J71/J73)</f>
        <v>39308.896551724138</v>
      </c>
      <c r="K74" s="3734"/>
      <c r="M74" s="3735">
        <f>IF(J73=0,0,M71/J73)</f>
        <v>0</v>
      </c>
      <c r="N74" s="3736"/>
      <c r="O74" s="3736"/>
      <c r="P74" s="3737"/>
      <c r="R74" s="1812" t="s">
        <v>1822</v>
      </c>
      <c r="U74" s="1817">
        <v>10000</v>
      </c>
      <c r="V74" s="1818">
        <v>19999.990000000002</v>
      </c>
      <c r="W74" s="1817">
        <v>20000</v>
      </c>
      <c r="X74" s="1818">
        <v>29999.99</v>
      </c>
      <c r="Y74" s="1817">
        <v>30000</v>
      </c>
      <c r="Z74" s="1819"/>
      <c r="AM74" s="2094">
        <v>74</v>
      </c>
    </row>
    <row r="75" spans="1:39" ht="15.95" customHeight="1">
      <c r="C75" s="1741"/>
      <c r="D75" s="1741"/>
      <c r="E75" s="1741"/>
      <c r="I75" s="1755" t="s">
        <v>1823</v>
      </c>
      <c r="J75" s="3731">
        <f>IF(AND(J62+J67&gt;0,J71&gt;=$Y$73),$Y$75, IF(AND(J62+J67=0,J71&gt;=$Y$73),$Y$76, IF(AND(J62+J67&gt;0,J71&gt;=$W$73),$W$75,IF(AND(J62+J67=0,J71&gt;=$W$73),$W$76, IF(AND(J62+J67&gt;0,J71&gt;=$U$73),$U$75,IF(AND(J62+J67=0,J71&gt;=$U$73),$U$76,0))))))</f>
        <v>3</v>
      </c>
      <c r="K75" s="3732"/>
      <c r="M75" s="3731">
        <f>IF(AND(M62+M67&gt;0,M71&gt;=$Y$73),$Y$75, IF(AND(M62+M67=0,M71&gt;=$Y$73),$Y$76, IF(AND(M62+M67&gt;0,M71&gt;=$W$73),$W$75,IF(AND(M62+M67=0,M71&gt;=$W$73),$W$76, IF(AND(M62+M67&gt;0,M71&gt;=$U$73),$U$75,IF(AND(M62+M67=0,M71&gt;=$U$73),$U$76,0))))))</f>
        <v>0</v>
      </c>
      <c r="N75" s="3741"/>
      <c r="O75" s="3741">
        <f>IF(AND(O62+O67&gt;0,O71&gt;=$Y$73),$Y$75, IF(AND(O62+O67=0,O71&gt;=$Y$73),$Y$76, IF(AND(O62+O67&gt;0,O71&gt;=$W$73),$W$75,IF(AND(O62+O67=0,O71&gt;=$W$73),$W$76, IF(AND(O62+O67&gt;0,O71&gt;=$U$73),$U$75,IF(AND(O62+O67=0,O71&gt;=$U$73),$U$76,0))))))</f>
        <v>0</v>
      </c>
      <c r="P75" s="3732"/>
      <c r="R75" s="1812" t="s">
        <v>1824</v>
      </c>
      <c r="U75" s="3742">
        <v>2</v>
      </c>
      <c r="V75" s="3743"/>
      <c r="W75" s="3742">
        <v>3</v>
      </c>
      <c r="X75" s="3743"/>
      <c r="Y75" s="3742">
        <v>4</v>
      </c>
      <c r="Z75" s="3743"/>
      <c r="AM75" s="2094">
        <v>75</v>
      </c>
    </row>
    <row r="76" spans="1:39" ht="15.95" customHeight="1">
      <c r="C76" s="1741"/>
      <c r="D76" s="1741"/>
      <c r="E76" s="1741"/>
      <c r="I76" s="1755" t="s">
        <v>1825</v>
      </c>
      <c r="J76" s="3744">
        <f>IF(AND(J62+J67&gt;0,$J$74&gt;=$Y$74),$Y$75, IF(AND(J62+J67=0,$J$74&gt;=$Y$74),$Y$76, IF(AND(J62+J67&gt;0,$J$74&gt;=$W$74),$W$75,IF(AND(J62+J67=0,$J$74&gt;=$W$74),$W$76, IF(AND(J62+J67&gt;0,$J$74&gt;=$U$74),$U$75,IF(AND(J62+J67=0,$J$74&gt;=$U$74),$U$76,0))))))</f>
        <v>3</v>
      </c>
      <c r="K76" s="3745"/>
      <c r="L76" s="1739"/>
      <c r="M76" s="3744">
        <f>IF(AND(M62+M67&gt;0,$M$74&gt;=$Y$74),$Y$75, IF(AND(M62+M67=0,$M$74&gt;=$Y$74),$Y$76, IF(AND(M62+M67&gt;0,$M$74&gt;=$W$74),$W$75,IF(AND(M62+M67=0,$M$74&gt;=$W$74),$W$76, IF(AND(M62+M67&gt;0,$M$74&gt;=$U$74),$U$75,IF(AND(M62+M67=0,$M$74&gt;=$U$74),$U$76,0))))))</f>
        <v>0</v>
      </c>
      <c r="N76" s="3746"/>
      <c r="O76" s="3746">
        <f t="shared" ref="O76" si="0">IF(AND(O62+O67&gt;0,$J$73&gt;=$Y$74),$Y$75, IF(AND(O62+O67=0,$J$73&gt;=$Y$74),$Y$76, IF(AND(O62+O67&gt;0,$J$73&gt;=$W$74),$W$75,IF(AND(O62+O67=0,$J$73&gt;=$W$74),$W$76, IF(AND(O62+O67&gt;0,$J$73&gt;=$U$74),$U$75,IF(AND(O62+O67=0,$J$73&gt;=$U$74),$U$76,0))))))</f>
        <v>0</v>
      </c>
      <c r="P76" s="3745"/>
      <c r="R76" s="1812" t="s">
        <v>1826</v>
      </c>
      <c r="U76" s="3742">
        <v>1</v>
      </c>
      <c r="V76" s="3743"/>
      <c r="W76" s="3742">
        <v>2</v>
      </c>
      <c r="X76" s="3743"/>
      <c r="Y76" s="3742">
        <v>3</v>
      </c>
      <c r="Z76" s="3743"/>
      <c r="AM76" s="2095">
        <v>76</v>
      </c>
    </row>
    <row r="77" spans="1:39" ht="15.95" customHeight="1" thickBot="1">
      <c r="N77" s="2558"/>
      <c r="AM77" s="2094">
        <v>77</v>
      </c>
    </row>
    <row r="78" spans="1:39" ht="15.95" customHeight="1" thickBot="1">
      <c r="A78" s="1727" t="s">
        <v>209</v>
      </c>
      <c r="B78" s="1734" t="s">
        <v>1827</v>
      </c>
      <c r="D78" s="1725"/>
      <c r="F78" s="1820" t="s">
        <v>1828</v>
      </c>
      <c r="K78" s="1725"/>
      <c r="L78" s="1821" t="s">
        <v>1829</v>
      </c>
      <c r="M78" s="2559">
        <v>1</v>
      </c>
      <c r="N78" s="1760"/>
      <c r="O78" s="1822">
        <f>IF(AND(O79&gt;0,O80&gt;0),"1or2?",MIN($M78,SUM(O79,O80)))</f>
        <v>0.5</v>
      </c>
      <c r="P78" s="1822">
        <f>IF(P79="Yes",$M$25,0)</f>
        <v>0</v>
      </c>
      <c r="Q78" s="1762"/>
      <c r="R78" s="1763"/>
      <c r="T78" s="1753"/>
      <c r="U78" s="1753"/>
      <c r="AM78" s="2094">
        <v>78</v>
      </c>
    </row>
    <row r="79" spans="1:39" s="1725" customFormat="1" ht="15.95" customHeight="1" thickBot="1">
      <c r="A79" s="1727"/>
      <c r="B79" s="1764" t="s">
        <v>212</v>
      </c>
      <c r="C79" s="1754" t="s">
        <v>1830</v>
      </c>
      <c r="F79" s="1823" t="s">
        <v>1831</v>
      </c>
      <c r="I79" s="1727"/>
      <c r="J79" s="1754"/>
      <c r="K79" s="1754"/>
      <c r="L79" s="1759" t="str">
        <f>IF(OR($O79=$M79,$O79=0,$O79=""),"","* * Check Score! * *")</f>
        <v/>
      </c>
      <c r="M79" s="1824">
        <v>0.5</v>
      </c>
      <c r="N79" s="1760"/>
      <c r="O79" s="1714">
        <v>0.5</v>
      </c>
      <c r="P79" s="1825"/>
      <c r="Q79" s="1763"/>
      <c r="V79" s="1753"/>
      <c r="AM79" s="2095">
        <v>79</v>
      </c>
    </row>
    <row r="80" spans="1:39" s="1725" customFormat="1" ht="15.95" customHeight="1">
      <c r="A80" s="1727"/>
      <c r="B80" s="1767" t="s">
        <v>220</v>
      </c>
      <c r="C80" s="1754" t="s">
        <v>1832</v>
      </c>
      <c r="F80" s="1727"/>
      <c r="I80" s="1727"/>
      <c r="J80" s="1754"/>
      <c r="K80" s="1754"/>
      <c r="L80" s="1759" t="str">
        <f>IF(OR($O80=$M80,$O80=0,$O80=""),"","* * Check Score! * *")</f>
        <v/>
      </c>
      <c r="M80" s="1824">
        <v>1</v>
      </c>
      <c r="N80" s="1760"/>
      <c r="O80" s="1826">
        <f>IF(AND(O81="Yes",O82="Yes"),$M80,0)</f>
        <v>0</v>
      </c>
      <c r="P80" s="1826">
        <f>IF(AND(P81="Yes",P82="Yes"),$M80,0)</f>
        <v>0</v>
      </c>
      <c r="Q80" s="1763"/>
      <c r="V80" s="1753"/>
      <c r="AM80" s="2095">
        <v>80</v>
      </c>
    </row>
    <row r="81" spans="1:39">
      <c r="A81" s="1742"/>
      <c r="B81" s="1801"/>
      <c r="C81" s="1774" t="s">
        <v>1790</v>
      </c>
      <c r="D81" s="1874"/>
      <c r="E81" s="1874"/>
      <c r="F81" s="1874"/>
      <c r="G81" s="1874"/>
      <c r="H81" s="1874"/>
      <c r="I81" s="1874"/>
      <c r="J81" s="1874"/>
      <c r="K81" s="1874"/>
      <c r="L81" s="1874"/>
      <c r="M81" s="1874"/>
      <c r="N81" s="1827"/>
      <c r="O81" s="1654"/>
      <c r="P81" s="1828"/>
      <c r="V81" s="1753"/>
      <c r="AM81" s="2095">
        <v>81</v>
      </c>
    </row>
    <row r="82" spans="1:39" ht="15.95" customHeight="1">
      <c r="A82" s="1742"/>
      <c r="B82" s="1801"/>
      <c r="C82" s="1725" t="s">
        <v>1833</v>
      </c>
      <c r="D82" s="1725"/>
      <c r="E82" s="1725"/>
      <c r="F82" s="1725"/>
      <c r="G82" s="1725"/>
      <c r="H82" s="1725"/>
      <c r="I82" s="1725"/>
      <c r="J82" s="1725"/>
      <c r="K82" s="1725"/>
      <c r="M82" s="1725"/>
      <c r="N82" s="1829"/>
      <c r="O82" s="1634"/>
      <c r="P82" s="1769"/>
      <c r="V82" s="1753"/>
      <c r="AM82" s="2095">
        <v>82</v>
      </c>
    </row>
    <row r="83" spans="1:39" ht="15.95" customHeight="1">
      <c r="A83" s="1725"/>
      <c r="B83" s="1745" t="s">
        <v>1794</v>
      </c>
      <c r="C83" s="1725"/>
      <c r="D83" s="1725"/>
      <c r="E83" s="1725"/>
      <c r="F83" s="1725"/>
      <c r="G83" s="1725"/>
      <c r="H83" s="1725"/>
      <c r="I83" s="1725"/>
      <c r="J83" s="1725"/>
      <c r="K83" s="1725"/>
      <c r="M83" s="2559"/>
      <c r="N83" s="2558"/>
      <c r="O83" s="1736"/>
      <c r="AM83" s="2094">
        <v>83</v>
      </c>
    </row>
    <row r="84" spans="1:39" ht="79.5" customHeight="1">
      <c r="A84" s="3723" t="s">
        <v>1834</v>
      </c>
      <c r="B84" s="3724"/>
      <c r="C84" s="3724"/>
      <c r="D84" s="3724"/>
      <c r="E84" s="3724"/>
      <c r="F84" s="3724"/>
      <c r="G84" s="3724"/>
      <c r="H84" s="3724"/>
      <c r="I84" s="3724"/>
      <c r="J84" s="3724"/>
      <c r="K84" s="3724"/>
      <c r="L84" s="3724"/>
      <c r="M84" s="3724"/>
      <c r="N84" s="3724"/>
      <c r="O84" s="3724"/>
      <c r="P84" s="3725"/>
      <c r="Q84" s="1802"/>
      <c r="AM84" s="2095">
        <v>84</v>
      </c>
    </row>
    <row r="85" spans="1:39" s="1725" customFormat="1" ht="15.95" customHeight="1">
      <c r="B85" s="1830" t="s">
        <v>1447</v>
      </c>
      <c r="C85" s="1782"/>
      <c r="D85" s="1830"/>
      <c r="E85" s="1831"/>
      <c r="F85" s="2565"/>
      <c r="G85" s="2565"/>
      <c r="H85" s="2565"/>
      <c r="I85" s="2565"/>
      <c r="J85" s="2565"/>
      <c r="K85" s="2565"/>
      <c r="L85" s="2565"/>
      <c r="M85" s="2565"/>
      <c r="N85" s="2560"/>
      <c r="O85" s="2566"/>
      <c r="P85" s="1727"/>
      <c r="Q85" s="1724"/>
      <c r="AM85" s="2094">
        <v>85</v>
      </c>
    </row>
    <row r="86" spans="1:39" ht="15.95" customHeight="1">
      <c r="A86" s="3700"/>
      <c r="B86" s="3701"/>
      <c r="C86" s="3701"/>
      <c r="D86" s="3701"/>
      <c r="E86" s="3701"/>
      <c r="F86" s="3701"/>
      <c r="G86" s="3701"/>
      <c r="H86" s="3701"/>
      <c r="I86" s="3701"/>
      <c r="J86" s="3701"/>
      <c r="K86" s="3701"/>
      <c r="L86" s="3701"/>
      <c r="M86" s="3701"/>
      <c r="N86" s="3701"/>
      <c r="O86" s="3701"/>
      <c r="P86" s="3702"/>
      <c r="Q86" s="1786"/>
      <c r="AM86" s="2094">
        <v>86</v>
      </c>
    </row>
    <row r="87" spans="1:39" ht="9.75" customHeight="1">
      <c r="A87" s="1725"/>
      <c r="B87" s="1742"/>
      <c r="C87" s="1725"/>
      <c r="D87" s="1628"/>
      <c r="E87" s="1629"/>
      <c r="F87" s="1629"/>
      <c r="G87" s="1751"/>
      <c r="H87" s="1751"/>
      <c r="I87" s="1751"/>
      <c r="J87" s="1751"/>
      <c r="K87" s="1751"/>
      <c r="L87" s="1751"/>
      <c r="M87" s="2559"/>
      <c r="N87" s="2558"/>
      <c r="O87" s="1736"/>
      <c r="P87" s="1727"/>
      <c r="R87" s="1725"/>
      <c r="S87" s="1725"/>
      <c r="T87" s="1725"/>
      <c r="U87" s="1725"/>
      <c r="V87" s="1725"/>
      <c r="W87" s="1725"/>
      <c r="X87" s="1752"/>
      <c r="Y87" s="1752"/>
      <c r="Z87" s="1752"/>
      <c r="AA87" s="1752"/>
      <c r="AB87" s="1752"/>
      <c r="AC87" s="1752"/>
      <c r="AD87" s="1752"/>
      <c r="AE87" s="1752"/>
      <c r="AF87" s="1752"/>
      <c r="AG87" s="1752"/>
      <c r="AH87" s="1752"/>
      <c r="AI87" s="1752"/>
      <c r="AM87" s="2094">
        <v>87</v>
      </c>
    </row>
    <row r="88" spans="1:39" ht="9.75" customHeight="1" thickBot="1">
      <c r="N88" s="2558"/>
      <c r="T88" s="1753"/>
      <c r="U88" s="1753"/>
      <c r="AM88" s="2094">
        <v>88</v>
      </c>
    </row>
    <row r="89" spans="1:39" s="1725" customFormat="1" ht="15.95" customHeight="1" thickBot="1">
      <c r="A89" s="1832" t="s">
        <v>77</v>
      </c>
      <c r="B89" s="1747" t="s">
        <v>1835</v>
      </c>
      <c r="D89" s="1747"/>
      <c r="E89" s="1747"/>
      <c r="K89" s="1759"/>
      <c r="L89" s="1755" t="s">
        <v>1767</v>
      </c>
      <c r="M89" s="1727">
        <v>10</v>
      </c>
      <c r="N89" s="2559"/>
      <c r="O89" s="1756">
        <f>MIN($M$89,O91-O92+O95)</f>
        <v>10</v>
      </c>
      <c r="P89" s="1756">
        <f>MIN($M$89,P91-P92+P95)</f>
        <v>10</v>
      </c>
      <c r="Q89" s="1757" t="s">
        <v>795</v>
      </c>
      <c r="AM89" s="2095">
        <v>89</v>
      </c>
    </row>
    <row r="90" spans="1:39" s="1725" customFormat="1" ht="15.95" hidden="1" customHeight="1">
      <c r="A90" s="1832"/>
      <c r="B90" s="1747"/>
      <c r="D90" s="1747"/>
      <c r="E90" s="1747"/>
      <c r="L90" s="1759"/>
      <c r="M90" s="1727"/>
      <c r="N90" s="2559"/>
      <c r="O90" s="2559"/>
      <c r="P90" s="2559"/>
      <c r="Q90" s="1757"/>
      <c r="AM90" s="2095">
        <v>90</v>
      </c>
    </row>
    <row r="91" spans="1:39" s="1725" customFormat="1" ht="15.95" customHeight="1">
      <c r="A91" s="1832"/>
      <c r="B91" s="1734" t="s">
        <v>1836</v>
      </c>
      <c r="D91" s="1747"/>
      <c r="E91" s="1747"/>
      <c r="L91" s="1759"/>
      <c r="M91" s="1727"/>
      <c r="N91" s="2559"/>
      <c r="O91" s="1833">
        <v>10</v>
      </c>
      <c r="P91" s="1833">
        <v>10</v>
      </c>
      <c r="Q91" s="1757"/>
      <c r="AM91" s="2095">
        <v>91</v>
      </c>
    </row>
    <row r="92" spans="1:39" s="1725" customFormat="1" ht="15.95" customHeight="1">
      <c r="A92" s="1727" t="s">
        <v>197</v>
      </c>
      <c r="B92" s="1734" t="s">
        <v>1837</v>
      </c>
      <c r="D92" s="1747"/>
      <c r="E92" s="1747"/>
      <c r="L92" s="1759"/>
      <c r="M92" s="1727"/>
      <c r="N92" s="2559"/>
      <c r="O92" s="1834">
        <f>SUM(O93:O94)</f>
        <v>0</v>
      </c>
      <c r="P92" s="1834">
        <f>SUM(P93:P94)</f>
        <v>0</v>
      </c>
      <c r="Q92" s="1757"/>
      <c r="AM92" s="2095">
        <v>92</v>
      </c>
    </row>
    <row r="93" spans="1:39" s="1725" customFormat="1" ht="15.95" customHeight="1">
      <c r="A93" s="1727"/>
      <c r="B93" s="1764" t="s">
        <v>212</v>
      </c>
      <c r="C93" s="1725" t="s">
        <v>1838</v>
      </c>
      <c r="D93" s="1747"/>
      <c r="E93" s="1747"/>
      <c r="L93" s="1759"/>
      <c r="M93" s="1835"/>
      <c r="N93" s="2559"/>
      <c r="O93" s="1655"/>
      <c r="P93" s="1836"/>
      <c r="Q93" s="1757"/>
      <c r="AM93" s="2094">
        <v>93</v>
      </c>
    </row>
    <row r="94" spans="1:39" s="1725" customFormat="1" ht="15.95" customHeight="1">
      <c r="A94" s="1727"/>
      <c r="B94" s="1767" t="s">
        <v>220</v>
      </c>
      <c r="C94" s="1725" t="s">
        <v>1839</v>
      </c>
      <c r="D94" s="1747"/>
      <c r="E94" s="1747"/>
      <c r="L94" s="1759"/>
      <c r="M94" s="1835"/>
      <c r="N94" s="2559"/>
      <c r="O94" s="1720"/>
      <c r="P94" s="1837"/>
      <c r="Q94" s="1757"/>
      <c r="AM94" s="2095">
        <v>94</v>
      </c>
    </row>
    <row r="95" spans="1:39" s="1725" customFormat="1" ht="15.95" customHeight="1">
      <c r="A95" s="1727" t="s">
        <v>209</v>
      </c>
      <c r="B95" s="1734" t="s">
        <v>1840</v>
      </c>
      <c r="D95" s="1747"/>
      <c r="E95" s="1747"/>
      <c r="L95" s="1759"/>
      <c r="M95" s="1727"/>
      <c r="N95" s="2559"/>
      <c r="O95" s="1656"/>
      <c r="P95" s="1838"/>
      <c r="Q95" s="1757"/>
      <c r="AM95" s="2094">
        <v>95</v>
      </c>
    </row>
    <row r="96" spans="1:39" s="1725" customFormat="1" ht="15.95" customHeight="1">
      <c r="A96" s="1745"/>
      <c r="B96" s="1745" t="s">
        <v>1447</v>
      </c>
      <c r="D96" s="1745"/>
      <c r="E96" s="2565"/>
      <c r="F96" s="2565"/>
      <c r="G96" s="2565"/>
      <c r="H96" s="2565"/>
      <c r="I96" s="2565"/>
      <c r="J96" s="2565"/>
      <c r="K96" s="2565"/>
      <c r="L96" s="2565"/>
      <c r="M96" s="2565"/>
      <c r="N96" s="2560"/>
      <c r="O96" s="2566"/>
      <c r="P96" s="1727"/>
      <c r="AM96" s="2094">
        <v>96</v>
      </c>
    </row>
    <row r="97" spans="1:39" ht="15.95" customHeight="1">
      <c r="A97" s="3700"/>
      <c r="B97" s="3701"/>
      <c r="C97" s="3701"/>
      <c r="D97" s="3701"/>
      <c r="E97" s="3701"/>
      <c r="F97" s="3701"/>
      <c r="G97" s="3701"/>
      <c r="H97" s="3701"/>
      <c r="I97" s="3701"/>
      <c r="J97" s="3701"/>
      <c r="K97" s="3701"/>
      <c r="L97" s="3701"/>
      <c r="M97" s="3701"/>
      <c r="N97" s="3701"/>
      <c r="O97" s="3701"/>
      <c r="P97" s="3702"/>
      <c r="Q97" s="1802"/>
      <c r="R97" s="1802"/>
      <c r="AM97" s="2094">
        <v>97</v>
      </c>
    </row>
    <row r="98" spans="1:39" ht="9.75" customHeight="1">
      <c r="A98" s="1725"/>
      <c r="B98" s="1742"/>
      <c r="C98" s="1725"/>
      <c r="D98" s="1628"/>
      <c r="E98" s="1629"/>
      <c r="F98" s="1629"/>
      <c r="G98" s="1751"/>
      <c r="H98" s="1751"/>
      <c r="I98" s="1751"/>
      <c r="J98" s="1751"/>
      <c r="K98" s="1751"/>
      <c r="L98" s="1751"/>
      <c r="M98" s="2559"/>
      <c r="N98" s="2558"/>
      <c r="O98" s="1736"/>
      <c r="P98" s="1727"/>
      <c r="R98" s="1725"/>
      <c r="S98" s="1725"/>
      <c r="T98" s="1725"/>
      <c r="U98" s="1725"/>
      <c r="V98" s="1725"/>
      <c r="W98" s="1725"/>
      <c r="X98" s="1752"/>
      <c r="Y98" s="1752"/>
      <c r="Z98" s="1752"/>
      <c r="AA98" s="1752"/>
      <c r="AB98" s="1752"/>
      <c r="AC98" s="1752"/>
      <c r="AD98" s="1752"/>
      <c r="AE98" s="1752"/>
      <c r="AF98" s="1752"/>
      <c r="AG98" s="1752"/>
      <c r="AH98" s="1752"/>
      <c r="AI98" s="1752"/>
      <c r="AM98" s="2094">
        <v>98</v>
      </c>
    </row>
    <row r="99" spans="1:39" ht="9.75" customHeight="1" thickBot="1">
      <c r="N99" s="2558"/>
      <c r="T99" s="1753"/>
      <c r="U99" s="1753"/>
      <c r="AM99" s="2095">
        <v>99</v>
      </c>
    </row>
    <row r="100" spans="1:39" ht="15.95" customHeight="1" thickBot="1">
      <c r="A100" s="1832" t="s">
        <v>79</v>
      </c>
      <c r="B100" s="1747" t="s">
        <v>1841</v>
      </c>
      <c r="C100" s="2563"/>
      <c r="D100" s="2563"/>
      <c r="E100" s="2563"/>
      <c r="F100" s="2563"/>
      <c r="G100" s="1839" t="s">
        <v>1842</v>
      </c>
      <c r="H100" s="2563"/>
      <c r="K100" s="2563"/>
      <c r="L100" s="1755" t="s">
        <v>1767</v>
      </c>
      <c r="M100" s="1727">
        <v>5</v>
      </c>
      <c r="N100" s="1784"/>
      <c r="O100" s="1756">
        <f>IF(OR((O101+O107+O108)&gt;$M100,(O101+O107)&gt;$M101,O108&gt;$M$108),"Check",IF((O101+O107+O108)&lt;=$M$100,(O101+O107+O108),""))</f>
        <v>5</v>
      </c>
      <c r="P100" s="1756">
        <f>IF(OR((P101+P107+P108)&gt;$M100,(P101+P107)&gt;$M101,P108&gt;$M$108),"Check",IF((P101+P107+P108)&lt;=$M$100,(P101+P107+P108),""))</f>
        <v>2</v>
      </c>
      <c r="Q100" s="1757" t="s">
        <v>795</v>
      </c>
      <c r="R100" s="1763"/>
      <c r="AM100" s="2095">
        <v>100</v>
      </c>
    </row>
    <row r="101" spans="1:39" ht="15.95" customHeight="1">
      <c r="A101" s="1727" t="s">
        <v>197</v>
      </c>
      <c r="B101" s="1734" t="s">
        <v>1843</v>
      </c>
      <c r="C101" s="1725"/>
      <c r="D101" s="1725"/>
      <c r="E101" s="1734"/>
      <c r="F101" s="1725"/>
      <c r="G101" s="1820"/>
      <c r="H101" s="1725"/>
      <c r="I101" s="1725"/>
      <c r="J101" s="1725"/>
      <c r="K101" s="2559"/>
      <c r="L101" s="1760"/>
      <c r="M101" s="2559">
        <v>3</v>
      </c>
      <c r="N101" s="1840"/>
      <c r="O101" s="1841">
        <f>IF(AND(O103&gt;0,O104&gt;0),"1or2?",MIN($M101,SUM(O103,O104)))</f>
        <v>3</v>
      </c>
      <c r="P101" s="1841">
        <f>IF(AND(P103&gt;0,P104&gt;0),"1or2?",MIN($M101,SUM(P103,P104)))</f>
        <v>0</v>
      </c>
      <c r="Q101" s="1762"/>
      <c r="R101" s="1763"/>
      <c r="AM101" s="2095">
        <v>101</v>
      </c>
    </row>
    <row r="102" spans="1:39" ht="31.5" customHeight="1">
      <c r="A102" s="1727"/>
      <c r="B102" s="3682" t="s">
        <v>1844</v>
      </c>
      <c r="C102" s="3682"/>
      <c r="D102" s="3682"/>
      <c r="E102" s="3682"/>
      <c r="F102" s="3682"/>
      <c r="G102" s="3682"/>
      <c r="H102" s="3682"/>
      <c r="I102" s="3682"/>
      <c r="J102" s="3682"/>
      <c r="K102" s="3682"/>
      <c r="L102" s="3682"/>
      <c r="M102" s="2559"/>
      <c r="N102" s="2559"/>
      <c r="O102" s="2559"/>
      <c r="P102" s="2559"/>
      <c r="Q102" s="1762"/>
      <c r="R102" s="1763"/>
      <c r="AM102" s="2095">
        <v>102</v>
      </c>
    </row>
    <row r="103" spans="1:39" s="1775" customFormat="1" ht="15.95" customHeight="1">
      <c r="A103" s="1727"/>
      <c r="B103" s="1764" t="s">
        <v>212</v>
      </c>
      <c r="C103" s="1725" t="s">
        <v>1845</v>
      </c>
      <c r="D103" s="1741"/>
      <c r="E103" s="1741"/>
      <c r="F103" s="1741"/>
      <c r="G103" s="1725"/>
      <c r="H103" s="1741"/>
      <c r="I103" s="1741"/>
      <c r="J103" s="3751" t="s">
        <v>1553</v>
      </c>
      <c r="K103" s="3752"/>
      <c r="L103" s="1741"/>
      <c r="M103" s="1824">
        <v>2</v>
      </c>
      <c r="N103" s="1842"/>
      <c r="O103" s="1640"/>
      <c r="P103" s="1887"/>
      <c r="Q103" s="1762" t="str">
        <f>IF(OR($O103=$M103,$O103=0,$O103=""),"","*CHECK!*")</f>
        <v/>
      </c>
      <c r="R103" s="1763"/>
      <c r="AM103" s="2094">
        <v>103</v>
      </c>
    </row>
    <row r="104" spans="1:39" s="1775" customFormat="1" ht="15.95" customHeight="1">
      <c r="A104" s="1727"/>
      <c r="B104" s="1767" t="s">
        <v>220</v>
      </c>
      <c r="C104" s="1725" t="s">
        <v>1846</v>
      </c>
      <c r="D104" s="1741"/>
      <c r="E104" s="1741"/>
      <c r="F104" s="1741"/>
      <c r="G104" s="1725"/>
      <c r="H104" s="1741"/>
      <c r="J104" s="2099" t="s">
        <v>1555</v>
      </c>
      <c r="K104" s="2100" t="s">
        <v>1847</v>
      </c>
      <c r="L104" s="2097"/>
      <c r="M104" s="1824">
        <v>3</v>
      </c>
      <c r="N104" s="1842"/>
      <c r="O104" s="1644">
        <v>3</v>
      </c>
      <c r="P104" s="1847"/>
      <c r="Q104" s="1762" t="str">
        <f>IF(OR($O104=$M104,$O104=0,$O104=""),"","*CHECK!*")</f>
        <v/>
      </c>
      <c r="R104" s="1763"/>
      <c r="AM104" s="2095">
        <v>104</v>
      </c>
    </row>
    <row r="105" spans="1:39">
      <c r="B105" s="1724" t="s">
        <v>1848</v>
      </c>
      <c r="H105" s="1755"/>
      <c r="J105" s="2098">
        <f>'Part V-Revenues &amp; Expenses'!P67*'Part VIII Scoring Criteria'!K105</f>
        <v>5.8000000000000007</v>
      </c>
      <c r="K105" s="2059">
        <v>0.1</v>
      </c>
      <c r="M105" s="1755" t="s">
        <v>1849</v>
      </c>
      <c r="N105" s="2558"/>
      <c r="O105" s="1632">
        <v>6</v>
      </c>
      <c r="P105" s="1850"/>
      <c r="T105" s="1753"/>
      <c r="U105" s="1753"/>
      <c r="AM105" s="2094">
        <v>105</v>
      </c>
    </row>
    <row r="106" spans="1:39" ht="41.45" customHeight="1">
      <c r="B106" s="3750" t="s">
        <v>1850</v>
      </c>
      <c r="C106" s="3750"/>
      <c r="D106" s="3750"/>
      <c r="E106" s="3750"/>
      <c r="F106" s="3750"/>
      <c r="G106" s="3750"/>
      <c r="H106" s="3750"/>
      <c r="I106" s="3750"/>
      <c r="J106" s="3750"/>
      <c r="K106" s="3750"/>
      <c r="L106" s="3750"/>
      <c r="N106" s="2558"/>
      <c r="O106" s="1647" t="s">
        <v>362</v>
      </c>
      <c r="P106" s="1773"/>
      <c r="T106" s="1753"/>
      <c r="U106" s="1753"/>
      <c r="AM106" s="2094">
        <v>106</v>
      </c>
    </row>
    <row r="107" spans="1:39" ht="15.95" customHeight="1">
      <c r="A107" s="1727" t="s">
        <v>209</v>
      </c>
      <c r="B107" s="1734" t="s">
        <v>1851</v>
      </c>
      <c r="C107" s="1725"/>
      <c r="D107" s="1725"/>
      <c r="E107" s="1725"/>
      <c r="F107" s="1725"/>
      <c r="G107" s="1725"/>
      <c r="H107" s="1725"/>
      <c r="I107" s="1725"/>
      <c r="J107" s="1725"/>
      <c r="K107" s="1725"/>
      <c r="L107" s="1725"/>
      <c r="M107" s="2559">
        <v>1</v>
      </c>
      <c r="N107" s="1840"/>
      <c r="O107" s="1642"/>
      <c r="P107" s="1838"/>
      <c r="Q107" s="1762" t="str">
        <f>IF(OR($O107=$M107,$O107=0,$O107=""),"","*CHECK!*")</f>
        <v/>
      </c>
      <c r="R107" s="1763"/>
      <c r="AM107" s="2094">
        <v>107</v>
      </c>
    </row>
    <row r="108" spans="1:39" s="1725" customFormat="1" ht="15.95" customHeight="1">
      <c r="A108" s="1727" t="s">
        <v>230</v>
      </c>
      <c r="B108" s="1734" t="s">
        <v>1852</v>
      </c>
      <c r="G108" s="1843" t="s">
        <v>1853</v>
      </c>
      <c r="M108" s="2559">
        <v>2</v>
      </c>
      <c r="N108" s="1840"/>
      <c r="O108" s="1770">
        <f>O109-O110</f>
        <v>2</v>
      </c>
      <c r="P108" s="1770">
        <f>P109-P110</f>
        <v>2</v>
      </c>
      <c r="Q108" s="1762" t="str">
        <f>IF(OR($O108=$M108,$O108=0,$O108=""),"","*CHECK!*")</f>
        <v/>
      </c>
      <c r="AM108" s="2094">
        <v>108</v>
      </c>
    </row>
    <row r="109" spans="1:39" s="1725" customFormat="1" ht="15.95" customHeight="1">
      <c r="A109" s="1832"/>
      <c r="C109" s="1734" t="s">
        <v>1836</v>
      </c>
      <c r="D109" s="1747"/>
      <c r="E109" s="1747"/>
      <c r="L109" s="1759"/>
      <c r="M109" s="1727"/>
      <c r="N109" s="2559"/>
      <c r="O109" s="1844">
        <v>2</v>
      </c>
      <c r="P109" s="1844">
        <v>2</v>
      </c>
      <c r="Q109" s="1757"/>
      <c r="AM109" s="2094">
        <v>109</v>
      </c>
    </row>
    <row r="110" spans="1:39" s="1725" customFormat="1" ht="15.95" customHeight="1">
      <c r="A110" s="1832"/>
      <c r="C110" s="1734" t="s">
        <v>1854</v>
      </c>
      <c r="D110" s="1747"/>
      <c r="E110" s="1747"/>
      <c r="L110" s="1759"/>
      <c r="M110" s="1727"/>
      <c r="N110" s="2559"/>
      <c r="O110" s="1656">
        <v>0</v>
      </c>
      <c r="P110" s="1838"/>
      <c r="Q110" s="1757"/>
      <c r="R110" s="1763"/>
      <c r="AM110" s="2094">
        <v>110</v>
      </c>
    </row>
    <row r="111" spans="1:39" ht="15.95" customHeight="1">
      <c r="A111" s="1725"/>
      <c r="B111" s="1745" t="s">
        <v>1794</v>
      </c>
      <c r="C111" s="1725"/>
      <c r="D111" s="1725"/>
      <c r="E111" s="1725"/>
      <c r="F111" s="1725"/>
      <c r="G111" s="1725"/>
      <c r="H111" s="1725"/>
      <c r="I111" s="1725"/>
      <c r="J111" s="1725"/>
      <c r="K111" s="1725"/>
      <c r="M111" s="2559"/>
      <c r="N111" s="2558"/>
      <c r="O111" s="1736"/>
      <c r="AM111" s="2094">
        <v>111</v>
      </c>
    </row>
    <row r="112" spans="1:39" ht="48.75" customHeight="1">
      <c r="A112" s="3723" t="s">
        <v>1855</v>
      </c>
      <c r="B112" s="3724"/>
      <c r="C112" s="3724"/>
      <c r="D112" s="3724"/>
      <c r="E112" s="3724"/>
      <c r="F112" s="3724"/>
      <c r="G112" s="3724"/>
      <c r="H112" s="3724"/>
      <c r="I112" s="3724"/>
      <c r="J112" s="3724"/>
      <c r="K112" s="3724"/>
      <c r="L112" s="3724"/>
      <c r="M112" s="3724"/>
      <c r="N112" s="3724"/>
      <c r="O112" s="3724"/>
      <c r="P112" s="3725"/>
      <c r="Q112" s="1802"/>
      <c r="R112" s="1802"/>
      <c r="AM112" s="2095">
        <v>112</v>
      </c>
    </row>
    <row r="113" spans="1:39" ht="15.95" customHeight="1">
      <c r="B113" s="1781" t="s">
        <v>1447</v>
      </c>
      <c r="C113" s="1782"/>
      <c r="D113" s="1781"/>
      <c r="E113" s="1783"/>
      <c r="F113" s="2563"/>
      <c r="G113" s="2563"/>
      <c r="H113" s="2563"/>
      <c r="I113" s="2563"/>
      <c r="J113" s="2563"/>
      <c r="K113" s="2563"/>
      <c r="L113" s="2563"/>
      <c r="M113" s="2563"/>
      <c r="N113" s="1784"/>
      <c r="O113" s="1785"/>
      <c r="P113" s="1727"/>
      <c r="AM113" s="2095">
        <v>113</v>
      </c>
    </row>
    <row r="114" spans="1:39" ht="15.95" customHeight="1">
      <c r="A114" s="3700"/>
      <c r="B114" s="3701"/>
      <c r="C114" s="3701"/>
      <c r="D114" s="3701"/>
      <c r="E114" s="3701"/>
      <c r="F114" s="3701"/>
      <c r="G114" s="3701"/>
      <c r="H114" s="3701"/>
      <c r="I114" s="3701"/>
      <c r="J114" s="3701"/>
      <c r="K114" s="3701"/>
      <c r="L114" s="3701"/>
      <c r="M114" s="3701"/>
      <c r="N114" s="3701"/>
      <c r="O114" s="3701"/>
      <c r="P114" s="3702"/>
      <c r="Q114" s="1786"/>
      <c r="AM114" s="2095">
        <v>114</v>
      </c>
    </row>
    <row r="115" spans="1:39" ht="9.75" customHeight="1">
      <c r="A115" s="1832"/>
      <c r="B115" s="1725"/>
      <c r="C115" s="2563"/>
      <c r="D115" s="2563"/>
      <c r="E115" s="2563"/>
      <c r="F115" s="2563"/>
      <c r="G115" s="2563"/>
      <c r="H115" s="2563"/>
      <c r="I115" s="2563"/>
      <c r="J115" s="2563"/>
      <c r="K115" s="2563"/>
      <c r="L115" s="2563"/>
      <c r="M115" s="2563"/>
      <c r="N115" s="1784"/>
      <c r="O115" s="1785"/>
      <c r="P115" s="1727"/>
      <c r="AM115" s="2095">
        <v>115</v>
      </c>
    </row>
    <row r="116" spans="1:39" ht="9.75" customHeight="1" thickBot="1">
      <c r="A116" s="1832"/>
      <c r="B116" s="1725"/>
      <c r="C116" s="2563"/>
      <c r="D116" s="2563"/>
      <c r="E116" s="2563"/>
      <c r="F116" s="2563"/>
      <c r="G116" s="2563"/>
      <c r="H116" s="2563"/>
      <c r="I116" s="2563"/>
      <c r="J116" s="2563"/>
      <c r="K116" s="2563"/>
      <c r="L116" s="2563"/>
      <c r="M116" s="2563"/>
      <c r="N116" s="1784"/>
      <c r="O116" s="1785"/>
      <c r="P116" s="1727"/>
      <c r="AM116" s="2094">
        <v>116</v>
      </c>
    </row>
    <row r="117" spans="1:39" s="1725" customFormat="1" ht="15.95" customHeight="1" thickBot="1">
      <c r="A117" s="1832" t="s">
        <v>1488</v>
      </c>
      <c r="B117" s="1747" t="s">
        <v>1856</v>
      </c>
      <c r="D117" s="1747"/>
      <c r="E117" s="1747"/>
      <c r="L117" s="1755" t="s">
        <v>1767</v>
      </c>
      <c r="M117" s="1727">
        <v>13</v>
      </c>
      <c r="N117" s="2559"/>
      <c r="O117" s="1756">
        <f>MIN($M$117,O121+SUM(O124:O132))</f>
        <v>13</v>
      </c>
      <c r="P117" s="1756">
        <f>MIN($M$117,P121+SUM(P124:P132))</f>
        <v>0</v>
      </c>
      <c r="Q117" s="1757" t="s">
        <v>795</v>
      </c>
      <c r="R117" s="1763"/>
      <c r="AM117" s="2095">
        <v>117</v>
      </c>
    </row>
    <row r="118" spans="1:39" s="1725" customFormat="1" ht="15.95" customHeight="1">
      <c r="A118" s="1727" t="s">
        <v>197</v>
      </c>
      <c r="B118" s="1734" t="s">
        <v>1857</v>
      </c>
      <c r="C118" s="1734"/>
      <c r="D118" s="1734"/>
      <c r="F118" s="1845"/>
      <c r="H118" s="1760"/>
      <c r="I118" s="1722"/>
      <c r="J118" s="1722"/>
      <c r="K118" s="1722"/>
      <c r="L118" s="1722"/>
      <c r="M118" s="1722"/>
      <c r="N118" s="1722"/>
      <c r="O118" s="1722"/>
      <c r="P118" s="1722"/>
      <c r="Q118" s="1846"/>
      <c r="R118" s="1763"/>
      <c r="AM118" s="2094">
        <v>118</v>
      </c>
    </row>
    <row r="119" spans="1:39" s="1725" customFormat="1" ht="15.95" customHeight="1">
      <c r="A119" s="1727"/>
      <c r="B119" s="1725" t="s">
        <v>1858</v>
      </c>
      <c r="C119" s="1734"/>
      <c r="D119" s="1734"/>
      <c r="F119" s="1845"/>
      <c r="H119" s="1760"/>
      <c r="I119" s="1722"/>
      <c r="J119" s="1722"/>
      <c r="K119" s="1722"/>
      <c r="L119" s="1722"/>
      <c r="M119" s="1722"/>
      <c r="N119" s="1722"/>
      <c r="O119" s="1722"/>
      <c r="P119" s="1722"/>
      <c r="Q119" s="1846"/>
      <c r="R119" s="1763"/>
      <c r="AM119" s="2094">
        <v>119</v>
      </c>
    </row>
    <row r="120" spans="1:39" s="1725" customFormat="1" ht="15.95" customHeight="1">
      <c r="A120" s="1727"/>
      <c r="C120" s="1734" t="s">
        <v>1859</v>
      </c>
      <c r="D120" s="1734"/>
      <c r="F120" s="1845"/>
      <c r="H120" s="1760"/>
      <c r="I120" s="1722"/>
      <c r="J120" s="1722"/>
      <c r="K120" s="1722"/>
      <c r="L120" s="1722"/>
      <c r="M120" s="1722"/>
      <c r="N120" s="1722"/>
      <c r="O120" s="1722"/>
      <c r="P120" s="1722"/>
      <c r="Q120" s="1846"/>
      <c r="R120" s="1763"/>
      <c r="AM120" s="2094">
        <v>120</v>
      </c>
    </row>
    <row r="121" spans="1:39" s="1725" customFormat="1" ht="15.95" customHeight="1">
      <c r="A121" s="1727"/>
      <c r="B121" s="1764"/>
      <c r="C121" s="1849" t="s">
        <v>1860</v>
      </c>
      <c r="F121" s="1727"/>
      <c r="I121" s="1727"/>
      <c r="J121" s="2559" t="s">
        <v>1861</v>
      </c>
      <c r="L121" s="1759"/>
      <c r="M121" s="1824">
        <v>5</v>
      </c>
      <c r="N121" s="1760"/>
      <c r="O121" s="1826">
        <f>IF(AND(O122="Yes", O123="Yes"),$M121,0)</f>
        <v>5</v>
      </c>
      <c r="P121" s="1826">
        <f>IF(AND(P122="Yes", P123="Yes"),$M121,0)</f>
        <v>0</v>
      </c>
      <c r="Q121" s="1763"/>
      <c r="V121" s="1753"/>
      <c r="AM121" s="2094">
        <v>121</v>
      </c>
    </row>
    <row r="122" spans="1:39" s="1725" customFormat="1" ht="15.95" customHeight="1">
      <c r="A122" s="1727"/>
      <c r="B122" s="1765"/>
      <c r="C122" s="1734"/>
      <c r="D122" s="1754" t="s">
        <v>1862</v>
      </c>
      <c r="F122" s="1727"/>
      <c r="I122" s="1727"/>
      <c r="J122" s="1713" t="s">
        <v>1863</v>
      </c>
      <c r="M122" s="1824"/>
      <c r="N122" s="1760"/>
      <c r="O122" s="2003" t="str">
        <f>IF($J122="Submitted", "Yes","")</f>
        <v>Yes</v>
      </c>
      <c r="P122" s="1766"/>
      <c r="Q122" s="1760"/>
      <c r="V122" s="1753"/>
      <c r="AM122" s="2094">
        <v>122</v>
      </c>
    </row>
    <row r="123" spans="1:39" s="1725" customFormat="1" ht="15.95" customHeight="1">
      <c r="A123" s="1727"/>
      <c r="B123" s="1765"/>
      <c r="C123" s="1734"/>
      <c r="D123" s="1754" t="s">
        <v>1864</v>
      </c>
      <c r="F123" s="1727"/>
      <c r="I123" s="1727"/>
      <c r="J123" s="1647" t="s">
        <v>1863</v>
      </c>
      <c r="K123" s="1760"/>
      <c r="M123" s="1824"/>
      <c r="N123" s="1760"/>
      <c r="O123" s="2004" t="str">
        <f>IF($J123="Submitted", "Yes","")</f>
        <v>Yes</v>
      </c>
      <c r="P123" s="1773"/>
      <c r="Q123" s="1760"/>
      <c r="V123" s="1753"/>
      <c r="AM123" s="2094">
        <v>123</v>
      </c>
    </row>
    <row r="124" spans="1:39" s="1725" customFormat="1" ht="15.95" customHeight="1">
      <c r="A124" s="1727"/>
      <c r="B124" s="1765"/>
      <c r="C124" s="1754" t="s">
        <v>1865</v>
      </c>
      <c r="D124" s="1734"/>
      <c r="F124" s="1727"/>
      <c r="I124" s="1727"/>
      <c r="J124" s="1648" t="s">
        <v>1863</v>
      </c>
      <c r="K124" s="1754"/>
      <c r="L124" s="1759" t="str">
        <f t="shared" ref="L124:L132" si="1">IF(OR($O124=$M124,$O124=0,$O124=""),"","* * Check Score! * *")</f>
        <v/>
      </c>
      <c r="M124" s="1824">
        <v>1</v>
      </c>
      <c r="N124" s="1760"/>
      <c r="O124" s="1644">
        <v>1</v>
      </c>
      <c r="P124" s="1847"/>
      <c r="Q124" s="1760"/>
      <c r="V124" s="1753"/>
      <c r="AM124" s="2095">
        <v>124</v>
      </c>
    </row>
    <row r="125" spans="1:39" s="1725" customFormat="1" ht="15.95" customHeight="1">
      <c r="A125" s="1727"/>
      <c r="B125" s="1765"/>
      <c r="C125" s="1754" t="s">
        <v>1866</v>
      </c>
      <c r="D125" s="1734"/>
      <c r="F125" s="1727"/>
      <c r="I125" s="1727"/>
      <c r="J125" s="1648" t="s">
        <v>1863</v>
      </c>
      <c r="K125" s="1754"/>
      <c r="L125" s="1779" t="str">
        <f t="shared" si="1"/>
        <v/>
      </c>
      <c r="M125" s="1824">
        <v>1</v>
      </c>
      <c r="N125" s="1760"/>
      <c r="O125" s="1632">
        <v>1</v>
      </c>
      <c r="P125" s="1850"/>
      <c r="Q125" s="1763"/>
      <c r="V125" s="1753"/>
      <c r="AM125" s="2095">
        <v>125</v>
      </c>
    </row>
    <row r="126" spans="1:39" s="1725" customFormat="1" ht="15.95" customHeight="1">
      <c r="A126" s="1727"/>
      <c r="B126" s="1764"/>
      <c r="C126" s="1754" t="s">
        <v>1867</v>
      </c>
      <c r="D126" s="1734"/>
      <c r="F126" s="1727"/>
      <c r="I126" s="1727"/>
      <c r="J126" s="1648" t="s">
        <v>1863</v>
      </c>
      <c r="K126" s="1754"/>
      <c r="L126" s="1759" t="str">
        <f t="shared" si="1"/>
        <v/>
      </c>
      <c r="M126" s="1824">
        <v>1</v>
      </c>
      <c r="N126" s="1760"/>
      <c r="O126" s="1633">
        <v>1</v>
      </c>
      <c r="P126" s="1848"/>
      <c r="Q126" s="1763"/>
      <c r="V126" s="1753"/>
      <c r="AM126" s="2095">
        <v>126</v>
      </c>
    </row>
    <row r="127" spans="1:39" s="1725" customFormat="1" ht="15.95" customHeight="1">
      <c r="A127" s="1727"/>
      <c r="B127" s="1764"/>
      <c r="C127" s="1849" t="s">
        <v>1868</v>
      </c>
      <c r="D127" s="1734"/>
      <c r="F127" s="1727"/>
      <c r="V127" s="1753"/>
      <c r="AM127" s="2094">
        <v>127</v>
      </c>
    </row>
    <row r="128" spans="1:39" s="1725" customFormat="1" ht="15.95" customHeight="1">
      <c r="A128" s="1727"/>
      <c r="B128" s="1767"/>
      <c r="C128" s="1754" t="s">
        <v>1869</v>
      </c>
      <c r="F128" s="2559"/>
      <c r="I128" s="2559"/>
      <c r="J128" s="1648" t="s">
        <v>1863</v>
      </c>
      <c r="K128" s="1754"/>
      <c r="L128" s="1759" t="str">
        <f t="shared" si="1"/>
        <v/>
      </c>
      <c r="M128" s="1824">
        <v>1</v>
      </c>
      <c r="N128" s="1760"/>
      <c r="O128" s="1644">
        <v>1</v>
      </c>
      <c r="P128" s="1847"/>
      <c r="Q128" s="1763"/>
      <c r="V128" s="1753"/>
      <c r="AM128" s="2094">
        <v>128</v>
      </c>
    </row>
    <row r="129" spans="1:39" s="1725" customFormat="1" ht="15" customHeight="1">
      <c r="A129" s="1727"/>
      <c r="B129" s="1767"/>
      <c r="C129" s="1775" t="s">
        <v>1870</v>
      </c>
      <c r="D129" s="1775"/>
      <c r="E129" s="1775"/>
      <c r="F129" s="1775"/>
      <c r="G129" s="1775"/>
      <c r="H129" s="1775"/>
      <c r="I129" s="1775"/>
      <c r="J129" s="1648" t="s">
        <v>1863</v>
      </c>
      <c r="K129" s="1775"/>
      <c r="L129" s="1759" t="str">
        <f t="shared" si="1"/>
        <v/>
      </c>
      <c r="M129" s="1851">
        <v>1</v>
      </c>
      <c r="N129" s="1777"/>
      <c r="O129" s="1645">
        <v>1</v>
      </c>
      <c r="P129" s="1852"/>
      <c r="Q129" s="1763"/>
      <c r="V129" s="1753"/>
      <c r="AM129" s="2095">
        <v>129</v>
      </c>
    </row>
    <row r="130" spans="1:39" s="1725" customFormat="1" ht="15.95" customHeight="1">
      <c r="A130" s="1727"/>
      <c r="B130" s="1767"/>
      <c r="C130" s="1754" t="s">
        <v>1871</v>
      </c>
      <c r="F130" s="1727"/>
      <c r="I130" s="1727"/>
      <c r="J130" s="1648" t="s">
        <v>1863</v>
      </c>
      <c r="K130" s="1754"/>
      <c r="L130" s="1759" t="str">
        <f t="shared" si="1"/>
        <v/>
      </c>
      <c r="M130" s="1824">
        <v>1</v>
      </c>
      <c r="N130" s="1760"/>
      <c r="O130" s="1632">
        <v>1</v>
      </c>
      <c r="P130" s="1850"/>
      <c r="Q130" s="1763"/>
      <c r="V130" s="1753"/>
      <c r="AM130" s="2094">
        <v>130</v>
      </c>
    </row>
    <row r="131" spans="1:39" s="1725" customFormat="1" ht="15.95" customHeight="1">
      <c r="A131" s="1727"/>
      <c r="B131" s="1764"/>
      <c r="C131" s="1754" t="s">
        <v>1872</v>
      </c>
      <c r="F131" s="1727"/>
      <c r="I131" s="1727"/>
      <c r="J131" s="1648" t="s">
        <v>1863</v>
      </c>
      <c r="K131" s="1754"/>
      <c r="L131" s="1759" t="str">
        <f t="shared" si="1"/>
        <v/>
      </c>
      <c r="M131" s="1824">
        <v>1</v>
      </c>
      <c r="N131" s="1760"/>
      <c r="O131" s="1632">
        <v>1</v>
      </c>
      <c r="P131" s="1850"/>
      <c r="Q131" s="1763"/>
      <c r="V131" s="1753"/>
      <c r="AM131" s="2094">
        <v>131</v>
      </c>
    </row>
    <row r="132" spans="1:39" s="1725" customFormat="1" ht="15.95" customHeight="1">
      <c r="A132" s="1727"/>
      <c r="B132" s="1767"/>
      <c r="C132" s="1754" t="s">
        <v>1873</v>
      </c>
      <c r="F132" s="1727"/>
      <c r="I132" s="1727"/>
      <c r="J132" s="1648" t="s">
        <v>445</v>
      </c>
      <c r="K132" s="1754"/>
      <c r="L132" s="1759" t="str">
        <f t="shared" si="1"/>
        <v/>
      </c>
      <c r="M132" s="1824">
        <v>1</v>
      </c>
      <c r="N132" s="1760"/>
      <c r="O132" s="1633">
        <v>1</v>
      </c>
      <c r="P132" s="1848"/>
      <c r="Q132" s="1763"/>
      <c r="V132" s="1753"/>
      <c r="AM132" s="2095">
        <v>132</v>
      </c>
    </row>
    <row r="133" spans="1:39" s="1725" customFormat="1" ht="15.95" customHeight="1">
      <c r="A133" s="1727" t="s">
        <v>209</v>
      </c>
      <c r="B133" s="1734" t="s">
        <v>1874</v>
      </c>
      <c r="H133" s="1760"/>
      <c r="I133" s="1722"/>
      <c r="J133" s="1722"/>
      <c r="K133" s="1722"/>
      <c r="L133" s="1722"/>
      <c r="M133" s="2559"/>
      <c r="N133" s="2559"/>
      <c r="O133" s="2559"/>
      <c r="P133" s="2559"/>
      <c r="Q133" s="2559"/>
      <c r="R133" s="1763"/>
      <c r="AM133" s="2095">
        <v>133</v>
      </c>
    </row>
    <row r="134" spans="1:39" ht="409.5" customHeight="1">
      <c r="B134" s="3747" t="s">
        <v>1875</v>
      </c>
      <c r="C134" s="3748"/>
      <c r="D134" s="3748"/>
      <c r="E134" s="3748"/>
      <c r="F134" s="3748"/>
      <c r="G134" s="3748"/>
      <c r="H134" s="3748"/>
      <c r="I134" s="3748"/>
      <c r="J134" s="3748"/>
      <c r="K134" s="3748"/>
      <c r="L134" s="3748"/>
      <c r="M134" s="3748"/>
      <c r="N134" s="3748"/>
      <c r="O134" s="3748"/>
      <c r="P134" s="3749"/>
      <c r="Q134" s="1802"/>
      <c r="R134" s="1802"/>
      <c r="AM134" s="2095">
        <v>134</v>
      </c>
    </row>
    <row r="135" spans="1:39" ht="15.95" customHeight="1">
      <c r="A135" s="1725"/>
      <c r="B135" s="1745" t="s">
        <v>1794</v>
      </c>
      <c r="C135" s="1725"/>
      <c r="D135" s="1725"/>
      <c r="E135" s="1725"/>
      <c r="F135" s="1725"/>
      <c r="G135" s="1725"/>
      <c r="H135" s="1725"/>
      <c r="I135" s="1725"/>
      <c r="J135" s="1725"/>
      <c r="K135" s="1725"/>
      <c r="M135" s="2559"/>
      <c r="N135" s="2558"/>
      <c r="O135" s="1736"/>
      <c r="AM135" s="2095">
        <v>135</v>
      </c>
    </row>
    <row r="136" spans="1:39" ht="33.75" customHeight="1">
      <c r="A136" s="3723" t="s">
        <v>1876</v>
      </c>
      <c r="B136" s="3724"/>
      <c r="C136" s="3724"/>
      <c r="D136" s="3724"/>
      <c r="E136" s="3724"/>
      <c r="F136" s="3724"/>
      <c r="G136" s="3724"/>
      <c r="H136" s="3724"/>
      <c r="I136" s="3724"/>
      <c r="J136" s="3724"/>
      <c r="K136" s="3724"/>
      <c r="L136" s="3724"/>
      <c r="M136" s="3724"/>
      <c r="N136" s="3724"/>
      <c r="O136" s="3724"/>
      <c r="P136" s="3725"/>
      <c r="Q136" s="1802"/>
      <c r="R136" s="1802"/>
      <c r="AM136" s="2094">
        <v>136</v>
      </c>
    </row>
    <row r="137" spans="1:39" s="1725" customFormat="1" ht="15.95" customHeight="1">
      <c r="A137" s="1745"/>
      <c r="B137" s="1745" t="s">
        <v>1447</v>
      </c>
      <c r="D137" s="1745"/>
      <c r="E137" s="2565"/>
      <c r="F137" s="2565"/>
      <c r="G137" s="2565"/>
      <c r="H137" s="2565"/>
      <c r="I137" s="2565"/>
      <c r="J137" s="2565"/>
      <c r="K137" s="2565"/>
      <c r="L137" s="2565"/>
      <c r="M137" s="2565"/>
      <c r="N137" s="2560"/>
      <c r="O137" s="2566"/>
      <c r="P137" s="1727"/>
      <c r="AM137" s="2095">
        <v>137</v>
      </c>
    </row>
    <row r="138" spans="1:39" ht="15.95" customHeight="1">
      <c r="A138" s="3700"/>
      <c r="B138" s="3701"/>
      <c r="C138" s="3701"/>
      <c r="D138" s="3701"/>
      <c r="E138" s="3701"/>
      <c r="F138" s="3701"/>
      <c r="G138" s="3701"/>
      <c r="H138" s="3701"/>
      <c r="I138" s="3701"/>
      <c r="J138" s="3701"/>
      <c r="K138" s="3701"/>
      <c r="L138" s="3701"/>
      <c r="M138" s="3701"/>
      <c r="N138" s="3701"/>
      <c r="O138" s="3701"/>
      <c r="P138" s="3702"/>
      <c r="Q138" s="1802"/>
      <c r="R138" s="1802"/>
      <c r="AM138" s="2094">
        <v>138</v>
      </c>
    </row>
    <row r="139" spans="1:39" ht="9" customHeight="1">
      <c r="A139" s="1832"/>
      <c r="B139" s="1725"/>
      <c r="C139" s="2563"/>
      <c r="D139" s="2563"/>
      <c r="E139" s="2563"/>
      <c r="F139" s="2563"/>
      <c r="G139" s="2563"/>
      <c r="H139" s="2563"/>
      <c r="I139" s="2563"/>
      <c r="J139" s="2563"/>
      <c r="K139" s="2563"/>
      <c r="L139" s="2563"/>
      <c r="M139" s="2563"/>
      <c r="N139" s="1784"/>
      <c r="O139" s="1785"/>
      <c r="P139" s="1727"/>
      <c r="AM139" s="2094">
        <v>139</v>
      </c>
    </row>
    <row r="140" spans="1:39" ht="9" customHeight="1" thickBot="1">
      <c r="D140" s="1725"/>
      <c r="E140" s="1725"/>
      <c r="F140" s="1727"/>
      <c r="G140" s="1727"/>
      <c r="H140" s="1727"/>
      <c r="I140" s="1727"/>
      <c r="J140" s="1754"/>
      <c r="K140" s="1754"/>
      <c r="L140" s="1754"/>
      <c r="M140" s="2559"/>
      <c r="N140" s="1727"/>
      <c r="P140" s="1736"/>
      <c r="AM140" s="2094">
        <v>140</v>
      </c>
    </row>
    <row r="141" spans="1:39" s="1725" customFormat="1" ht="15.95" customHeight="1" thickBot="1">
      <c r="A141" s="1746" t="s">
        <v>1491</v>
      </c>
      <c r="B141" s="1747" t="s">
        <v>1877</v>
      </c>
      <c r="G141" s="1734"/>
      <c r="I141" s="1734"/>
      <c r="J141" s="1790"/>
      <c r="K141" s="1853" t="s">
        <v>1878</v>
      </c>
      <c r="L141" s="1755" t="s">
        <v>1767</v>
      </c>
      <c r="M141" s="1727">
        <v>3</v>
      </c>
      <c r="N141" s="2559"/>
      <c r="O141" s="1756">
        <f>MIN($M$141,O143+O147)</f>
        <v>3</v>
      </c>
      <c r="P141" s="1756">
        <f>MIN($M$141,P143+P147)</f>
        <v>0</v>
      </c>
      <c r="Q141" s="1757" t="s">
        <v>795</v>
      </c>
      <c r="R141" s="1727" t="str">
        <f>$O$12</f>
        <v>9%</v>
      </c>
      <c r="S141" s="1803"/>
      <c r="AM141" s="2094">
        <v>141</v>
      </c>
    </row>
    <row r="142" spans="1:39" ht="15.95" hidden="1" customHeight="1">
      <c r="A142" s="1854"/>
      <c r="B142" s="1855"/>
      <c r="E142" s="1725"/>
      <c r="F142" s="1724" t="s">
        <v>1879</v>
      </c>
      <c r="G142" s="1803"/>
      <c r="H142" s="1725"/>
      <c r="I142" s="1747"/>
      <c r="K142" s="1755"/>
      <c r="L142" s="1856"/>
      <c r="M142" s="1727"/>
      <c r="N142" s="2559"/>
      <c r="O142" s="1736"/>
      <c r="P142" s="1736"/>
      <c r="Q142" s="1757"/>
      <c r="R142" s="1759"/>
      <c r="AM142" s="2095">
        <v>142</v>
      </c>
    </row>
    <row r="143" spans="1:39" s="1725" customFormat="1" ht="15.95" customHeight="1">
      <c r="A143" s="1727" t="s">
        <v>197</v>
      </c>
      <c r="B143" s="1849" t="s">
        <v>1880</v>
      </c>
      <c r="C143" s="1741"/>
      <c r="D143" s="1741"/>
      <c r="E143" s="1741"/>
      <c r="F143" s="1741"/>
      <c r="G143" s="1857"/>
      <c r="H143" s="1724" t="s">
        <v>649</v>
      </c>
      <c r="J143" s="1858" t="str">
        <f>'Part V-Revenues &amp; Expenses'!$O$53</f>
        <v>40% of Units at 60% of AMI</v>
      </c>
      <c r="L143" s="1741"/>
      <c r="M143" s="1727">
        <v>2</v>
      </c>
      <c r="N143" s="1801"/>
      <c r="O143" s="1859">
        <f>IF($O$12="9%",MIN($M143,O144+O145),0)</f>
        <v>0</v>
      </c>
      <c r="P143" s="1859">
        <f>IF($O$12="9%",MIN($M143,P144+P145),0)</f>
        <v>0</v>
      </c>
      <c r="AM143" s="2095">
        <v>143</v>
      </c>
    </row>
    <row r="144" spans="1:39" s="1725" customFormat="1" ht="15.95" customHeight="1">
      <c r="A144" s="1727"/>
      <c r="B144" s="1764" t="s">
        <v>212</v>
      </c>
      <c r="C144" s="1631" t="s">
        <v>1881</v>
      </c>
      <c r="H144" s="1725" t="s">
        <v>1882</v>
      </c>
      <c r="I144" s="1860"/>
      <c r="K144" s="1861">
        <f>'Part V-Revenues &amp; Expenses'!$B$50</f>
        <v>53.269230769230766</v>
      </c>
      <c r="L144" s="1759" t="str">
        <f t="shared" ref="L144:L145" si="2">IF(OR($O144=$M144,$O144=0,$O144=""),"","* * Check Score! * *")</f>
        <v/>
      </c>
      <c r="M144" s="2559">
        <v>2</v>
      </c>
      <c r="N144" s="1765"/>
      <c r="O144" s="1632"/>
      <c r="P144" s="1847"/>
      <c r="Q144" s="1846" t="str">
        <f>IF(OR($O144=$M144,$O144=0,$O144=""),"","*CHECK!*")</f>
        <v/>
      </c>
      <c r="R144" s="1763"/>
      <c r="AM144" s="2095">
        <v>144</v>
      </c>
    </row>
    <row r="145" spans="1:39" s="1725" customFormat="1" ht="15.95" customHeight="1">
      <c r="A145" s="1790"/>
      <c r="B145" s="1767" t="s">
        <v>220</v>
      </c>
      <c r="C145" s="1631" t="s">
        <v>1883</v>
      </c>
      <c r="I145" s="1860"/>
      <c r="K145" s="1748"/>
      <c r="L145" s="1759" t="str">
        <f t="shared" si="2"/>
        <v/>
      </c>
      <c r="M145" s="2559">
        <v>2</v>
      </c>
      <c r="N145" s="1765"/>
      <c r="O145" s="1633"/>
      <c r="P145" s="1848"/>
      <c r="Q145" s="1846" t="str">
        <f>IF(OR($O145=$M145,$O145=0,$O145=""),"","*CHECK!*")</f>
        <v/>
      </c>
      <c r="R145" s="1763"/>
      <c r="AM145" s="2095">
        <v>145</v>
      </c>
    </row>
    <row r="146" spans="1:39" ht="15.95" hidden="1" customHeight="1">
      <c r="A146" s="1790"/>
      <c r="B146" s="1862"/>
      <c r="C146" s="1630"/>
      <c r="D146" s="1775"/>
      <c r="K146" s="1863"/>
      <c r="L146" s="1863"/>
      <c r="M146" s="2559"/>
      <c r="N146" s="1801"/>
      <c r="O146" s="1991"/>
      <c r="P146" s="2063"/>
      <c r="AM146" s="2094">
        <v>146</v>
      </c>
    </row>
    <row r="147" spans="1:39" ht="15.95" customHeight="1">
      <c r="A147" s="1727" t="s">
        <v>209</v>
      </c>
      <c r="B147" s="1849" t="s">
        <v>1884</v>
      </c>
      <c r="H147" s="2564" t="s">
        <v>1885</v>
      </c>
      <c r="I147" s="1864"/>
      <c r="K147" s="1865">
        <f>IF(OR('Part V-Revenues &amp; Expenses'!$P$65="", 'Part V-Revenues &amp; Expenses'!$P$65=0),0,'Part V-Revenues &amp; Expenses'!$P$100/'Part V-Revenues &amp; Expenses'!$P$65)</f>
        <v>0.39655172413793105</v>
      </c>
      <c r="M147" s="1727">
        <v>3</v>
      </c>
      <c r="N147" s="1777"/>
      <c r="O147" s="1642">
        <v>3</v>
      </c>
      <c r="P147" s="1838"/>
      <c r="AM147" s="2095">
        <v>147</v>
      </c>
    </row>
    <row r="148" spans="1:39" ht="15.95" customHeight="1">
      <c r="A148" s="1725"/>
      <c r="B148" s="1830" t="s">
        <v>1447</v>
      </c>
      <c r="D148" s="1781"/>
      <c r="E148" s="2563"/>
      <c r="F148" s="2563"/>
      <c r="G148" s="2563"/>
      <c r="H148" s="2563"/>
      <c r="I148" s="2563"/>
      <c r="J148" s="2563"/>
      <c r="K148" s="2563"/>
      <c r="L148" s="2563"/>
      <c r="M148" s="2563"/>
      <c r="N148" s="1784"/>
      <c r="O148" s="1785"/>
      <c r="P148" s="1727"/>
      <c r="AM148" s="2094">
        <v>148</v>
      </c>
    </row>
    <row r="149" spans="1:39" ht="15.95" customHeight="1">
      <c r="A149" s="3700"/>
      <c r="B149" s="3701"/>
      <c r="C149" s="3701"/>
      <c r="D149" s="3701"/>
      <c r="E149" s="3701"/>
      <c r="F149" s="3701"/>
      <c r="G149" s="3701"/>
      <c r="H149" s="3701"/>
      <c r="I149" s="3701"/>
      <c r="J149" s="3701"/>
      <c r="K149" s="3701"/>
      <c r="L149" s="3701"/>
      <c r="M149" s="3701"/>
      <c r="N149" s="3701"/>
      <c r="O149" s="3701"/>
      <c r="P149" s="3702"/>
      <c r="Q149" s="1786"/>
      <c r="AM149" s="2094">
        <v>149</v>
      </c>
    </row>
    <row r="150" spans="1:39" ht="9.75" customHeight="1">
      <c r="A150" s="1725"/>
      <c r="B150" s="1742"/>
      <c r="C150" s="1725"/>
      <c r="D150" s="1628"/>
      <c r="E150" s="1629"/>
      <c r="F150" s="1629"/>
      <c r="G150" s="1751"/>
      <c r="H150" s="1751"/>
      <c r="I150" s="1751"/>
      <c r="J150" s="1751"/>
      <c r="K150" s="1751"/>
      <c r="L150" s="1751"/>
      <c r="M150" s="2559"/>
      <c r="N150" s="2558"/>
      <c r="O150" s="1736"/>
      <c r="P150" s="1727"/>
      <c r="R150" s="1725"/>
      <c r="S150" s="1725"/>
      <c r="T150" s="1725"/>
      <c r="U150" s="1725"/>
      <c r="V150" s="1725"/>
      <c r="W150" s="1725"/>
      <c r="X150" s="1752"/>
      <c r="Y150" s="1752"/>
      <c r="Z150" s="1752"/>
      <c r="AA150" s="1752"/>
      <c r="AB150" s="1752"/>
      <c r="AC150" s="1752"/>
      <c r="AD150" s="1752"/>
      <c r="AE150" s="1752"/>
      <c r="AF150" s="1752"/>
      <c r="AG150" s="1752"/>
      <c r="AH150" s="1752"/>
      <c r="AI150" s="1752"/>
      <c r="AM150" s="2094">
        <v>150</v>
      </c>
    </row>
    <row r="151" spans="1:39" ht="9.75" customHeight="1">
      <c r="N151" s="2558"/>
      <c r="T151" s="1753"/>
      <c r="U151" s="1753"/>
      <c r="AM151" s="2094">
        <v>151</v>
      </c>
    </row>
    <row r="152" spans="1:39" s="1725" customFormat="1" ht="15.95" customHeight="1">
      <c r="A152" s="1832" t="s">
        <v>1494</v>
      </c>
      <c r="B152" s="1747" t="s">
        <v>1886</v>
      </c>
      <c r="D152" s="1747"/>
      <c r="E152" s="1747"/>
      <c r="L152" s="1866"/>
      <c r="M152" s="1727">
        <v>2</v>
      </c>
      <c r="N152" s="2559"/>
      <c r="O152" s="1770">
        <f>IF(O153="Yes",$M$152,0)</f>
        <v>2</v>
      </c>
      <c r="P152" s="1770">
        <f>IF(P153="Yes",$M$152,0)</f>
        <v>0</v>
      </c>
      <c r="Q152" s="1757" t="s">
        <v>795</v>
      </c>
      <c r="R152" s="1727"/>
      <c r="AM152" s="2095">
        <v>152</v>
      </c>
    </row>
    <row r="153" spans="1:39" ht="15.95" customHeight="1">
      <c r="B153" s="1922" t="s">
        <v>1887</v>
      </c>
      <c r="C153" s="1725"/>
      <c r="D153" s="1725"/>
      <c r="E153" s="1725"/>
      <c r="F153" s="1725"/>
      <c r="G153" s="1725"/>
      <c r="H153" s="1725"/>
      <c r="I153" s="1725"/>
      <c r="J153" s="1725"/>
      <c r="K153" s="1725"/>
      <c r="M153" s="2559"/>
      <c r="N153" s="2558"/>
      <c r="O153" s="1646" t="s">
        <v>362</v>
      </c>
      <c r="P153" s="1905"/>
      <c r="AM153" s="2095">
        <v>153</v>
      </c>
    </row>
    <row r="154" spans="1:39" ht="15.95" customHeight="1">
      <c r="A154" s="1725"/>
      <c r="B154" s="1745" t="s">
        <v>1794</v>
      </c>
      <c r="C154" s="1725"/>
      <c r="D154" s="1725"/>
      <c r="E154" s="1725"/>
      <c r="F154" s="1725"/>
      <c r="G154" s="1725"/>
      <c r="H154" s="1725"/>
      <c r="I154" s="1725"/>
      <c r="J154" s="1725"/>
      <c r="K154" s="1725"/>
      <c r="M154" s="2559"/>
      <c r="N154" s="2558"/>
      <c r="O154" s="1736"/>
      <c r="AM154" s="2095">
        <v>154</v>
      </c>
    </row>
    <row r="155" spans="1:39" ht="15.95" customHeight="1">
      <c r="A155" s="3723" t="s">
        <v>1888</v>
      </c>
      <c r="B155" s="3724"/>
      <c r="C155" s="3724"/>
      <c r="D155" s="3724"/>
      <c r="E155" s="3724"/>
      <c r="F155" s="3724"/>
      <c r="G155" s="3724"/>
      <c r="H155" s="3724"/>
      <c r="I155" s="3724"/>
      <c r="J155" s="3724"/>
      <c r="K155" s="3724"/>
      <c r="L155" s="3724"/>
      <c r="M155" s="3724"/>
      <c r="N155" s="3724"/>
      <c r="O155" s="3724"/>
      <c r="P155" s="3725"/>
      <c r="Q155" s="1802"/>
      <c r="R155" s="1802"/>
      <c r="AM155" s="2095">
        <v>155</v>
      </c>
    </row>
    <row r="156" spans="1:39" s="1725" customFormat="1" ht="15.95" customHeight="1">
      <c r="A156" s="1745"/>
      <c r="B156" s="1745" t="s">
        <v>1447</v>
      </c>
      <c r="D156" s="1745"/>
      <c r="E156" s="2565"/>
      <c r="F156" s="2565"/>
      <c r="G156" s="2565"/>
      <c r="H156" s="2565"/>
      <c r="I156" s="2565"/>
      <c r="J156" s="2565"/>
      <c r="K156" s="2565"/>
      <c r="L156" s="2565"/>
      <c r="M156" s="2565"/>
      <c r="N156" s="2560"/>
      <c r="O156" s="2566"/>
      <c r="P156" s="1727"/>
      <c r="AM156" s="2094">
        <v>156</v>
      </c>
    </row>
    <row r="157" spans="1:39" ht="15.95" customHeight="1">
      <c r="A157" s="3700"/>
      <c r="B157" s="3701"/>
      <c r="C157" s="3701"/>
      <c r="D157" s="3701"/>
      <c r="E157" s="3701"/>
      <c r="F157" s="3701"/>
      <c r="G157" s="3701"/>
      <c r="H157" s="3701"/>
      <c r="I157" s="3701"/>
      <c r="J157" s="3701"/>
      <c r="K157" s="3701"/>
      <c r="L157" s="3701"/>
      <c r="M157" s="3701"/>
      <c r="N157" s="3701"/>
      <c r="O157" s="3701"/>
      <c r="P157" s="3702"/>
      <c r="Q157" s="1802"/>
      <c r="R157" s="1802"/>
      <c r="AM157" s="2095">
        <v>157</v>
      </c>
    </row>
    <row r="158" spans="1:39" ht="9" customHeight="1">
      <c r="A158" s="1832"/>
      <c r="B158" s="1725"/>
      <c r="C158" s="2563"/>
      <c r="D158" s="2563"/>
      <c r="E158" s="2563"/>
      <c r="F158" s="2563"/>
      <c r="G158" s="2563"/>
      <c r="H158" s="2563"/>
      <c r="I158" s="2563"/>
      <c r="J158" s="2563"/>
      <c r="K158" s="2563"/>
      <c r="L158" s="2563"/>
      <c r="M158" s="2563"/>
      <c r="N158" s="1784"/>
      <c r="O158" s="1785"/>
      <c r="P158" s="1727"/>
      <c r="AM158" s="2094">
        <v>158</v>
      </c>
    </row>
    <row r="159" spans="1:39" ht="9" customHeight="1" thickBot="1">
      <c r="N159" s="2558"/>
      <c r="AM159" s="2094">
        <v>159</v>
      </c>
    </row>
    <row r="160" spans="1:39" ht="15.95" customHeight="1" thickBot="1">
      <c r="A160" s="1746" t="s">
        <v>1501</v>
      </c>
      <c r="B160" s="1747" t="s">
        <v>1889</v>
      </c>
      <c r="L160" s="1755" t="s">
        <v>1767</v>
      </c>
      <c r="M160" s="1727">
        <v>20</v>
      </c>
      <c r="N160" s="1760"/>
      <c r="O160" s="1822">
        <f>IF(NOT($F$12="New Affordability"),0,IF(OR($M161-O162&lt;0,O161-O162&lt;0),0,IF(O161&lt;=$M161,O161-O162,IF(O161&gt;$M161,$M161-O162,0))))</f>
        <v>20</v>
      </c>
      <c r="P160" s="1822">
        <f>IF(NOT($H$12="New Affordability"),0,IF(OR($M161-P162&lt;0,P161-P162&lt;0),0,IF(P161&lt;=$M161,P161-P162,IF(P161&gt;$M161,$M161-P162,0))))</f>
        <v>0</v>
      </c>
      <c r="Q160" s="1757" t="s">
        <v>795</v>
      </c>
      <c r="R160" s="1727" t="str">
        <f>$O$12</f>
        <v>9%</v>
      </c>
      <c r="AM160" s="2094">
        <v>160</v>
      </c>
    </row>
    <row r="161" spans="1:39" s="1725" customFormat="1" ht="15.95" customHeight="1">
      <c r="A161" s="1727" t="s">
        <v>197</v>
      </c>
      <c r="B161" s="1734" t="s">
        <v>1890</v>
      </c>
      <c r="C161" s="1734"/>
      <c r="D161" s="1734"/>
      <c r="F161" s="1734"/>
      <c r="H161" s="1760"/>
      <c r="I161" s="1722"/>
      <c r="J161" s="1722"/>
      <c r="K161" s="1722"/>
      <c r="L161" s="1759" t="str">
        <f t="shared" ref="L161" si="3">IF(OR($O161=$M161,$O161=0,$O161=""),"","* * Check Score! * *")</f>
        <v/>
      </c>
      <c r="M161" s="2559">
        <v>20</v>
      </c>
      <c r="N161" s="1765"/>
      <c r="O161" s="1669">
        <v>20</v>
      </c>
      <c r="P161" s="1869"/>
      <c r="Q161" s="1846"/>
      <c r="R161" s="1763"/>
      <c r="AM161" s="2094">
        <v>161</v>
      </c>
    </row>
    <row r="162" spans="1:39" s="1725" customFormat="1" ht="15.95" customHeight="1">
      <c r="A162" s="1727" t="s">
        <v>209</v>
      </c>
      <c r="B162" s="1734" t="s">
        <v>1891</v>
      </c>
      <c r="H162" s="1760"/>
      <c r="I162" s="1722"/>
      <c r="J162" s="1722"/>
      <c r="K162" s="1835"/>
      <c r="L162" s="1722"/>
      <c r="M162" s="2559" t="s">
        <v>1892</v>
      </c>
      <c r="N162" s="1760"/>
      <c r="O162" s="1669"/>
      <c r="P162" s="1869"/>
      <c r="R162" s="1763"/>
      <c r="AM162" s="2094">
        <v>162</v>
      </c>
    </row>
    <row r="163" spans="1:39" ht="15.95" customHeight="1">
      <c r="A163" s="1725"/>
      <c r="B163" s="1745" t="s">
        <v>1794</v>
      </c>
      <c r="C163" s="1725"/>
      <c r="D163" s="1725"/>
      <c r="E163" s="1725"/>
      <c r="F163" s="1725"/>
      <c r="G163" s="1725"/>
      <c r="H163" s="1725"/>
      <c r="I163" s="1725"/>
      <c r="J163" s="1725"/>
      <c r="K163" s="1725"/>
      <c r="M163" s="2559"/>
      <c r="N163" s="2558"/>
      <c r="O163" s="1736"/>
      <c r="AM163" s="2094">
        <v>163</v>
      </c>
    </row>
    <row r="164" spans="1:39" ht="15.95" customHeight="1">
      <c r="A164" s="3723" t="s">
        <v>1893</v>
      </c>
      <c r="B164" s="3724"/>
      <c r="C164" s="3724"/>
      <c r="D164" s="3724"/>
      <c r="E164" s="3724"/>
      <c r="F164" s="3724"/>
      <c r="G164" s="3724"/>
      <c r="H164" s="3724"/>
      <c r="I164" s="3724"/>
      <c r="J164" s="3724"/>
      <c r="K164" s="3724"/>
      <c r="L164" s="3724"/>
      <c r="M164" s="3724"/>
      <c r="N164" s="3724"/>
      <c r="O164" s="3724"/>
      <c r="P164" s="3725"/>
      <c r="Q164" s="1802"/>
      <c r="R164" s="1802"/>
      <c r="AM164" s="2095">
        <v>164</v>
      </c>
    </row>
    <row r="165" spans="1:39" ht="15.95" customHeight="1">
      <c r="A165" s="1725"/>
      <c r="B165" s="1745" t="s">
        <v>1447</v>
      </c>
      <c r="C165" s="1725"/>
      <c r="D165" s="1870"/>
      <c r="E165" s="2563"/>
      <c r="F165" s="2563"/>
      <c r="G165" s="2563"/>
      <c r="H165" s="2563"/>
      <c r="I165" s="2563"/>
      <c r="J165" s="2563"/>
      <c r="K165" s="2563"/>
      <c r="L165" s="2563"/>
      <c r="M165" s="2563"/>
      <c r="N165" s="1784"/>
      <c r="O165" s="1785"/>
      <c r="P165" s="1727"/>
      <c r="AM165" s="2095">
        <v>165</v>
      </c>
    </row>
    <row r="166" spans="1:39" ht="15.95" customHeight="1">
      <c r="A166" s="3700"/>
      <c r="B166" s="3701"/>
      <c r="C166" s="3701"/>
      <c r="D166" s="3701"/>
      <c r="E166" s="3701"/>
      <c r="F166" s="3701"/>
      <c r="G166" s="3701"/>
      <c r="H166" s="3701"/>
      <c r="I166" s="3701"/>
      <c r="J166" s="3701"/>
      <c r="K166" s="3701"/>
      <c r="L166" s="3701"/>
      <c r="M166" s="3701"/>
      <c r="N166" s="3701"/>
      <c r="O166" s="3701"/>
      <c r="P166" s="3702"/>
      <c r="Q166" s="1786"/>
      <c r="R166" s="1802"/>
      <c r="AM166" s="2094">
        <v>166</v>
      </c>
    </row>
    <row r="167" spans="1:39" ht="9.75" customHeight="1">
      <c r="A167" s="1725"/>
      <c r="B167" s="1742"/>
      <c r="C167" s="1725"/>
      <c r="D167" s="1628"/>
      <c r="E167" s="1629"/>
      <c r="F167" s="1629"/>
      <c r="G167" s="1751"/>
      <c r="H167" s="1751"/>
      <c r="I167" s="1751"/>
      <c r="J167" s="1751"/>
      <c r="K167" s="1751"/>
      <c r="L167" s="1751"/>
      <c r="M167" s="2559"/>
      <c r="N167" s="2558"/>
      <c r="O167" s="1736"/>
      <c r="P167" s="1727"/>
      <c r="R167" s="1725"/>
      <c r="S167" s="1725"/>
      <c r="T167" s="1725"/>
      <c r="U167" s="1725"/>
      <c r="V167" s="1725"/>
      <c r="W167" s="1725"/>
      <c r="X167" s="1752"/>
      <c r="Y167" s="1752"/>
      <c r="Z167" s="1752"/>
      <c r="AA167" s="1752"/>
      <c r="AB167" s="1752"/>
      <c r="AC167" s="1752"/>
      <c r="AD167" s="1752"/>
      <c r="AE167" s="1752"/>
      <c r="AF167" s="1752"/>
      <c r="AG167" s="1752"/>
      <c r="AH167" s="1752"/>
      <c r="AI167" s="1752"/>
      <c r="AM167" s="2094">
        <v>167</v>
      </c>
    </row>
    <row r="168" spans="1:39" ht="9.75" customHeight="1" thickBot="1">
      <c r="N168" s="2558"/>
      <c r="T168" s="1753"/>
      <c r="U168" s="1753"/>
      <c r="AM168" s="2095">
        <v>168</v>
      </c>
    </row>
    <row r="169" spans="1:39" ht="15.95" customHeight="1" thickBot="1">
      <c r="A169" s="1746" t="s">
        <v>1508</v>
      </c>
      <c r="B169" s="1747" t="s">
        <v>1894</v>
      </c>
      <c r="H169" s="1871"/>
      <c r="I169" s="1849"/>
      <c r="J169" s="1790"/>
      <c r="K169" s="1727"/>
      <c r="L169" s="1755" t="s">
        <v>1767</v>
      </c>
      <c r="M169" s="1727">
        <v>6</v>
      </c>
      <c r="N169" s="1760"/>
      <c r="O169" s="1822">
        <f>IF($F$12="New Affordability",MAX(O177,O180),0)</f>
        <v>3</v>
      </c>
      <c r="P169" s="1822">
        <f>IF($H$12="New Affordability",MAX(P177,P180),0)</f>
        <v>0</v>
      </c>
      <c r="Q169" s="1757" t="s">
        <v>795</v>
      </c>
      <c r="R169" s="1727" t="str">
        <f>$O$12</f>
        <v>9%</v>
      </c>
      <c r="AM169" s="2095">
        <v>169</v>
      </c>
    </row>
    <row r="170" spans="1:39" ht="15.95" hidden="1" customHeight="1">
      <c r="A170" s="1746"/>
      <c r="B170" s="1747"/>
      <c r="H170" s="1747"/>
      <c r="I170" s="1745"/>
      <c r="J170" s="1725"/>
      <c r="K170" s="1725"/>
      <c r="M170" s="1727"/>
      <c r="N170" s="1760"/>
      <c r="O170" s="1736"/>
      <c r="P170" s="1736"/>
      <c r="Q170" s="1757"/>
      <c r="AM170" s="2095">
        <v>170</v>
      </c>
    </row>
    <row r="171" spans="1:39" ht="15.95" customHeight="1">
      <c r="A171" s="1746"/>
      <c r="B171" s="1725" t="s">
        <v>1895</v>
      </c>
      <c r="F171" s="3753" t="s">
        <v>1896</v>
      </c>
      <c r="G171" s="3753"/>
      <c r="H171" s="3753"/>
      <c r="I171" s="3753"/>
      <c r="J171" s="3753" t="s">
        <v>1897</v>
      </c>
      <c r="K171" s="3753"/>
      <c r="L171" s="3753"/>
      <c r="M171" s="3753"/>
      <c r="N171" s="1760"/>
      <c r="O171" s="3754" t="s">
        <v>1898</v>
      </c>
      <c r="P171" s="3754"/>
      <c r="AM171" s="2095">
        <v>171</v>
      </c>
    </row>
    <row r="172" spans="1:39" ht="15.95" customHeight="1">
      <c r="B172" s="1872"/>
      <c r="C172" s="1873" t="s">
        <v>1899</v>
      </c>
      <c r="F172" s="3756">
        <v>33.823971</v>
      </c>
      <c r="G172" s="3757"/>
      <c r="H172" s="3758"/>
      <c r="I172" s="3759"/>
      <c r="J172" s="3756">
        <v>-84.616552999999996</v>
      </c>
      <c r="K172" s="3757"/>
      <c r="L172" s="3758"/>
      <c r="M172" s="3759"/>
      <c r="N172" s="1724"/>
      <c r="O172" s="3755"/>
      <c r="P172" s="3755"/>
      <c r="AM172" s="2094">
        <v>172</v>
      </c>
    </row>
    <row r="173" spans="1:39" ht="15.95" customHeight="1">
      <c r="A173" s="1872"/>
      <c r="B173" s="1874"/>
      <c r="C173" s="1873" t="s">
        <v>1900</v>
      </c>
      <c r="F173" s="3761">
        <v>33.821066999999999</v>
      </c>
      <c r="G173" s="3762"/>
      <c r="H173" s="3763"/>
      <c r="I173" s="3764"/>
      <c r="J173" s="3761">
        <v>-84.617716000000001</v>
      </c>
      <c r="K173" s="3762"/>
      <c r="L173" s="3763"/>
      <c r="M173" s="3764"/>
      <c r="N173" s="1760"/>
      <c r="O173" s="1638">
        <v>0.2</v>
      </c>
      <c r="P173" s="1875"/>
      <c r="AM173" s="2095">
        <v>173</v>
      </c>
    </row>
    <row r="174" spans="1:39" ht="15.95" customHeight="1">
      <c r="A174" s="1874"/>
      <c r="B174" s="3765" t="s">
        <v>1901</v>
      </c>
      <c r="C174" s="3765"/>
      <c r="D174" s="3765"/>
      <c r="E174" s="3765"/>
      <c r="F174" s="2558" t="s">
        <v>1902</v>
      </c>
      <c r="G174" s="3766" t="s">
        <v>1903</v>
      </c>
      <c r="H174" s="3766"/>
      <c r="I174" s="3766"/>
      <c r="J174" s="3766" t="s">
        <v>1904</v>
      </c>
      <c r="K174" s="3766"/>
      <c r="L174" s="3766"/>
      <c r="M174" s="3766"/>
      <c r="N174" s="3766"/>
      <c r="O174" s="3766"/>
      <c r="P174" s="3766"/>
      <c r="AM174" s="2094">
        <v>174</v>
      </c>
    </row>
    <row r="175" spans="1:39" ht="15.95" customHeight="1">
      <c r="A175" s="1874"/>
      <c r="B175" s="3776" t="s">
        <v>1905</v>
      </c>
      <c r="C175" s="3776"/>
      <c r="D175" s="3776"/>
      <c r="E175" s="3776"/>
      <c r="F175" s="1670" t="s">
        <v>1906</v>
      </c>
      <c r="G175" s="3777" t="s">
        <v>1907</v>
      </c>
      <c r="H175" s="3777"/>
      <c r="I175" s="3777"/>
      <c r="J175" s="3777" t="s">
        <v>1908</v>
      </c>
      <c r="K175" s="3777"/>
      <c r="L175" s="3777"/>
      <c r="M175" s="3777"/>
      <c r="N175" s="3777"/>
      <c r="O175" s="3777"/>
      <c r="P175" s="3777"/>
      <c r="AM175" s="2094">
        <v>175</v>
      </c>
    </row>
    <row r="176" spans="1:39" ht="15.95" hidden="1" customHeight="1">
      <c r="A176" s="1744"/>
      <c r="B176" s="1747"/>
      <c r="F176" s="1758"/>
      <c r="M176" s="1727"/>
      <c r="N176" s="1727"/>
      <c r="O176" s="1727"/>
      <c r="P176" s="1727"/>
      <c r="Q176" s="1757"/>
      <c r="R176" s="1792"/>
      <c r="S176" s="1792"/>
      <c r="T176" s="1792"/>
      <c r="U176" s="1792"/>
      <c r="AM176" s="2094">
        <v>176</v>
      </c>
    </row>
    <row r="177" spans="1:39" ht="15.95" customHeight="1">
      <c r="A177" s="1867" t="s">
        <v>197</v>
      </c>
      <c r="B177" s="1734" t="s">
        <v>1909</v>
      </c>
      <c r="F177" s="1876"/>
      <c r="L177" s="1821" t="s">
        <v>1829</v>
      </c>
      <c r="M177" s="1727">
        <v>6</v>
      </c>
      <c r="N177" s="1801"/>
      <c r="O177" s="1877">
        <f>IF(OR($J$12="Atlanta Metro",$J$12="Other Metro",$J$12="N/A-4%"),MIN($M177,O178+O179),0)</f>
        <v>0</v>
      </c>
      <c r="P177" s="1877">
        <f>IF(OR($L$12="Atlanta Metro",$L$12="Other Metro",$L$12="N/A-4%"),MIN($M177,P178+P179),0)</f>
        <v>0</v>
      </c>
      <c r="Q177" s="1757"/>
      <c r="S177" s="1878" t="s">
        <v>1910</v>
      </c>
      <c r="T177" s="1878" t="s">
        <v>1911</v>
      </c>
      <c r="AM177" s="2094">
        <v>177</v>
      </c>
    </row>
    <row r="178" spans="1:39" s="1775" customFormat="1" ht="29.45" customHeight="1">
      <c r="A178" s="1776"/>
      <c r="B178" s="1767" t="s">
        <v>212</v>
      </c>
      <c r="C178" s="3696" t="s">
        <v>1912</v>
      </c>
      <c r="D178" s="3696"/>
      <c r="E178" s="3696"/>
      <c r="F178" s="3696"/>
      <c r="G178" s="3696"/>
      <c r="H178" s="3696"/>
      <c r="I178" s="3696"/>
      <c r="J178" s="3696"/>
      <c r="K178" s="3696"/>
      <c r="L178" s="1759" t="str">
        <f t="shared" ref="L178" si="4">IF(OR($O178=$M178,$O178=0,$O178=""),"","* * Check Score! * *")</f>
        <v/>
      </c>
      <c r="M178" s="1776">
        <v>6</v>
      </c>
      <c r="N178" s="1827"/>
      <c r="O178" s="1639"/>
      <c r="P178" s="1879"/>
      <c r="R178" s="3760" t="s">
        <v>1913</v>
      </c>
      <c r="S178" s="1880">
        <v>0.25</v>
      </c>
      <c r="T178" s="1880">
        <v>5</v>
      </c>
      <c r="AM178" s="2094">
        <v>178</v>
      </c>
    </row>
    <row r="179" spans="1:39" s="1775" customFormat="1" ht="15.95" customHeight="1">
      <c r="A179" s="1790" t="s">
        <v>338</v>
      </c>
      <c r="B179" s="1767" t="s">
        <v>220</v>
      </c>
      <c r="C179" s="1725" t="s">
        <v>1914</v>
      </c>
      <c r="D179" s="1725"/>
      <c r="E179" s="1725"/>
      <c r="F179" s="1725"/>
      <c r="G179" s="1725"/>
      <c r="H179" s="1725"/>
      <c r="I179" s="1725"/>
      <c r="J179" s="1740"/>
      <c r="K179" s="1740"/>
      <c r="L179" s="1759"/>
      <c r="M179" s="2559">
        <v>5</v>
      </c>
      <c r="N179" s="1829"/>
      <c r="O179" s="1636"/>
      <c r="P179" s="1881"/>
      <c r="R179" s="3760"/>
      <c r="S179" s="1880">
        <v>0.5</v>
      </c>
      <c r="T179" s="1880">
        <v>4.5</v>
      </c>
      <c r="AM179" s="2094">
        <v>179</v>
      </c>
    </row>
    <row r="180" spans="1:39" s="1775" customFormat="1" ht="15.95" customHeight="1">
      <c r="A180" s="1867" t="s">
        <v>209</v>
      </c>
      <c r="B180" s="1882" t="s">
        <v>1915</v>
      </c>
      <c r="F180" s="1883"/>
      <c r="H180" s="1741"/>
      <c r="I180" s="1741"/>
      <c r="J180" s="1874"/>
      <c r="K180" s="1874"/>
      <c r="L180" s="1884"/>
      <c r="M180" s="1727">
        <v>3</v>
      </c>
      <c r="N180" s="1760"/>
      <c r="O180" s="1859">
        <f>IF(OR(AND(O181&gt;0,O182&gt;0,O183&gt;0), AND(O181&gt;0,O182&gt;0), AND(O182&gt;0,O183&gt;0), AND(O181&gt;0,O183&gt;0)),"Choose", IF(AND(OR($J$12="Atlanta Metro",$J$12="Other Metro",$J$12="N/A-4%"),SUM(O181,O182,O183)&gt;0), MIN($M180,O181+O182), IF(AND(OR($J$12="Rural"),SUM(O181,O182,O183)&gt;0), MIN($M180,O183),0)))</f>
        <v>3</v>
      </c>
      <c r="P180" s="1859">
        <f>IF(OR(AND(P181&gt;0,P182&gt;0,P183&gt;0), AND(P181&gt;0,P182&gt;0), AND(P182&gt;0,P183&gt;0), AND(P181&gt;0,P183&gt;0)),"Choose", IF(AND(OR($L$12="Atlanta Metro",$L$12="Other Metro",$J$12="N/A-4%"),SUM(P181,P182,P183)&gt;0), MIN($M180,P181+P182), IF(AND(OR($J$12="Rural"),SUM(P181,P182,P183)&gt;0), MIN($M180,P183),0)))</f>
        <v>0</v>
      </c>
      <c r="R180" s="3760"/>
      <c r="S180" s="1885">
        <v>1</v>
      </c>
      <c r="T180" s="1885">
        <v>4</v>
      </c>
      <c r="AM180" s="2095">
        <v>180</v>
      </c>
    </row>
    <row r="181" spans="1:39" ht="15.95" customHeight="1">
      <c r="A181" s="1746"/>
      <c r="B181" s="1886" t="s">
        <v>212</v>
      </c>
      <c r="C181" s="1725" t="s">
        <v>1916</v>
      </c>
      <c r="D181" s="1741"/>
      <c r="E181" s="1741"/>
      <c r="F181" s="1741"/>
      <c r="G181" s="1741"/>
      <c r="H181" s="1741"/>
      <c r="I181" s="1741"/>
      <c r="J181" s="1741"/>
      <c r="K181" s="1741"/>
      <c r="L181" s="1759" t="str">
        <f t="shared" ref="L181:L183" si="5">IF(OR($O181=$M181,$O181=0,$O181=""),"","* * Check Score! * *")</f>
        <v/>
      </c>
      <c r="M181" s="2559">
        <v>3</v>
      </c>
      <c r="N181" s="1829"/>
      <c r="O181" s="1640">
        <v>3</v>
      </c>
      <c r="P181" s="1887"/>
      <c r="R181" s="3760" t="s">
        <v>1917</v>
      </c>
      <c r="S181" s="1888">
        <v>0.25</v>
      </c>
      <c r="T181" s="1888">
        <v>3</v>
      </c>
      <c r="U181" s="1775"/>
      <c r="AM181" s="2095">
        <v>181</v>
      </c>
    </row>
    <row r="182" spans="1:39" ht="15.95" customHeight="1">
      <c r="A182" s="1790" t="s">
        <v>338</v>
      </c>
      <c r="B182" s="1886" t="s">
        <v>220</v>
      </c>
      <c r="C182" s="1725" t="s">
        <v>1918</v>
      </c>
      <c r="D182" s="1741"/>
      <c r="E182" s="1741"/>
      <c r="F182" s="1741"/>
      <c r="G182" s="1741"/>
      <c r="H182" s="1741"/>
      <c r="I182" s="1741"/>
      <c r="J182" s="1874"/>
      <c r="K182" s="1874"/>
      <c r="L182" s="1759" t="str">
        <f t="shared" si="5"/>
        <v/>
      </c>
      <c r="M182" s="2559">
        <v>1</v>
      </c>
      <c r="N182" s="1829"/>
      <c r="O182" s="1641"/>
      <c r="P182" s="1889"/>
      <c r="R182" s="3760"/>
      <c r="S182" s="1880">
        <v>0.5</v>
      </c>
      <c r="T182" s="1880">
        <v>2</v>
      </c>
      <c r="U182" s="1775"/>
      <c r="AM182" s="2095">
        <v>182</v>
      </c>
    </row>
    <row r="183" spans="1:39" s="1775" customFormat="1" ht="29.25" customHeight="1">
      <c r="A183" s="1890" t="s">
        <v>338</v>
      </c>
      <c r="B183" s="1886" t="s">
        <v>224</v>
      </c>
      <c r="C183" s="3696" t="s">
        <v>1919</v>
      </c>
      <c r="D183" s="3696"/>
      <c r="E183" s="3696"/>
      <c r="F183" s="3696"/>
      <c r="G183" s="3696"/>
      <c r="H183" s="3696"/>
      <c r="I183" s="3696"/>
      <c r="J183" s="3696"/>
      <c r="K183" s="3696"/>
      <c r="L183" s="1759" t="str">
        <f t="shared" si="5"/>
        <v/>
      </c>
      <c r="M183" s="1776">
        <v>2</v>
      </c>
      <c r="N183" s="1827"/>
      <c r="O183" s="1671"/>
      <c r="P183" s="1891"/>
      <c r="R183" s="3760"/>
      <c r="S183" s="1885">
        <v>1</v>
      </c>
      <c r="T183" s="1885">
        <v>1</v>
      </c>
      <c r="AM183" s="2094">
        <v>183</v>
      </c>
    </row>
    <row r="184" spans="1:39" ht="15.95" customHeight="1">
      <c r="A184" s="1725"/>
      <c r="B184" s="1745" t="s">
        <v>1794</v>
      </c>
      <c r="C184" s="1725"/>
      <c r="D184" s="1725"/>
      <c r="E184" s="1725"/>
      <c r="F184" s="1725"/>
      <c r="G184" s="1725"/>
      <c r="H184" s="1725"/>
      <c r="I184" s="1725"/>
      <c r="J184" s="1725"/>
      <c r="K184" s="1725"/>
      <c r="M184" s="2559"/>
      <c r="N184" s="2558"/>
      <c r="O184" s="1736"/>
      <c r="AM184" s="2094">
        <v>184</v>
      </c>
    </row>
    <row r="185" spans="1:39" ht="15.95" customHeight="1">
      <c r="A185" s="3723" t="s">
        <v>1920</v>
      </c>
      <c r="B185" s="3724"/>
      <c r="C185" s="3724"/>
      <c r="D185" s="3724"/>
      <c r="E185" s="3724"/>
      <c r="F185" s="3724"/>
      <c r="G185" s="3724"/>
      <c r="H185" s="3724"/>
      <c r="I185" s="3724"/>
      <c r="J185" s="3724"/>
      <c r="K185" s="3724"/>
      <c r="L185" s="3724"/>
      <c r="M185" s="3724"/>
      <c r="N185" s="3724"/>
      <c r="O185" s="3724"/>
      <c r="P185" s="3725"/>
      <c r="Q185" s="1802"/>
      <c r="R185" s="1802"/>
      <c r="AM185" s="2095">
        <v>185</v>
      </c>
    </row>
    <row r="186" spans="1:39" s="1725" customFormat="1" ht="15.95" customHeight="1">
      <c r="B186" s="1830" t="s">
        <v>1447</v>
      </c>
      <c r="D186" s="1830"/>
      <c r="E186" s="2565"/>
      <c r="F186" s="2565"/>
      <c r="G186" s="2565"/>
      <c r="H186" s="2565"/>
      <c r="I186" s="2565"/>
      <c r="J186" s="2565"/>
      <c r="K186" s="2565"/>
      <c r="L186" s="2565"/>
      <c r="M186" s="2565"/>
      <c r="N186" s="2560"/>
      <c r="O186" s="2566"/>
      <c r="P186" s="1727"/>
      <c r="Q186" s="1724"/>
      <c r="AM186" s="2094">
        <v>186</v>
      </c>
    </row>
    <row r="187" spans="1:39" ht="15.95" customHeight="1">
      <c r="A187" s="3700"/>
      <c r="B187" s="3701"/>
      <c r="C187" s="3701"/>
      <c r="D187" s="3701"/>
      <c r="E187" s="3701"/>
      <c r="F187" s="3701"/>
      <c r="G187" s="3701"/>
      <c r="H187" s="3701"/>
      <c r="I187" s="3701"/>
      <c r="J187" s="3701"/>
      <c r="K187" s="3701"/>
      <c r="L187" s="3701"/>
      <c r="M187" s="3701"/>
      <c r="N187" s="3701"/>
      <c r="O187" s="3701"/>
      <c r="P187" s="3702"/>
      <c r="Q187" s="1786"/>
      <c r="AM187" s="2094">
        <v>187</v>
      </c>
    </row>
    <row r="188" spans="1:39" ht="9.75" customHeight="1">
      <c r="N188" s="2558"/>
      <c r="AM188" s="2095">
        <v>188</v>
      </c>
    </row>
    <row r="189" spans="1:39" ht="9.75" customHeight="1" thickBot="1">
      <c r="N189" s="2558"/>
      <c r="AM189" s="2095">
        <v>189</v>
      </c>
    </row>
    <row r="190" spans="1:39" ht="15.95" customHeight="1" thickBot="1">
      <c r="A190" s="1746" t="s">
        <v>1530</v>
      </c>
      <c r="B190" s="1747" t="s">
        <v>1921</v>
      </c>
      <c r="C190" s="2563"/>
      <c r="D190" s="2563"/>
      <c r="E190" s="2563"/>
      <c r="G190" s="1727"/>
      <c r="H190" s="1763"/>
      <c r="L190" s="1755" t="s">
        <v>1767</v>
      </c>
      <c r="M190" s="1727">
        <v>3</v>
      </c>
      <c r="N190" s="1784"/>
      <c r="O190" s="1675">
        <v>2</v>
      </c>
      <c r="P190" s="1892"/>
      <c r="Q190" s="1846" t="str">
        <f>IF(OR($O190&lt;=$M190,$O190=0,$O190=""),"","*CHECK!*")</f>
        <v/>
      </c>
      <c r="R190" s="1893" t="s">
        <v>795</v>
      </c>
      <c r="S190" s="1727" t="str">
        <f>$O$12</f>
        <v>9%</v>
      </c>
      <c r="AM190" s="2095">
        <v>190</v>
      </c>
    </row>
    <row r="191" spans="1:39" ht="23.25" customHeight="1">
      <c r="B191" s="1894"/>
      <c r="C191" s="1894"/>
      <c r="D191" s="1894"/>
      <c r="E191" s="1895"/>
      <c r="F191" s="3704" t="s">
        <v>1922</v>
      </c>
      <c r="G191" s="3704"/>
      <c r="H191" s="3704" t="s">
        <v>1923</v>
      </c>
      <c r="I191" s="3704"/>
      <c r="J191" s="3767" t="s">
        <v>1924</v>
      </c>
      <c r="K191" s="3768"/>
      <c r="L191" s="3773" t="s">
        <v>1925</v>
      </c>
      <c r="M191" s="3773"/>
      <c r="N191" s="3773"/>
      <c r="O191" s="3774"/>
      <c r="P191" s="1896"/>
      <c r="AM191" s="2095">
        <v>191</v>
      </c>
    </row>
    <row r="192" spans="1:39" ht="24.6" customHeight="1">
      <c r="B192" s="1894"/>
      <c r="C192" s="1894"/>
      <c r="D192" s="1894"/>
      <c r="E192" s="1895"/>
      <c r="F192" s="3704"/>
      <c r="G192" s="3704"/>
      <c r="H192" s="3704"/>
      <c r="I192" s="3704"/>
      <c r="J192" s="3769"/>
      <c r="K192" s="3770"/>
      <c r="L192" s="3704"/>
      <c r="M192" s="3704"/>
      <c r="N192" s="3704"/>
      <c r="O192" s="3774"/>
      <c r="P192" s="1896"/>
      <c r="AM192" s="2094">
        <v>192</v>
      </c>
    </row>
    <row r="193" spans="1:39" ht="15.95" customHeight="1">
      <c r="B193" s="1897" t="s">
        <v>1926</v>
      </c>
      <c r="C193" s="1898"/>
      <c r="D193" s="1895"/>
      <c r="E193" s="1895"/>
      <c r="F193" s="3705"/>
      <c r="G193" s="3705"/>
      <c r="H193" s="3705"/>
      <c r="I193" s="3705"/>
      <c r="J193" s="3771"/>
      <c r="K193" s="3772"/>
      <c r="L193" s="3705"/>
      <c r="M193" s="3705"/>
      <c r="N193" s="3705"/>
      <c r="O193" s="3775"/>
      <c r="P193" s="1896"/>
      <c r="AM193" s="2095">
        <v>193</v>
      </c>
    </row>
    <row r="194" spans="1:39" ht="15.95" customHeight="1">
      <c r="B194" s="3778" t="s">
        <v>1927</v>
      </c>
      <c r="C194" s="3779"/>
      <c r="D194" s="3779"/>
      <c r="E194" s="3780"/>
      <c r="F194" s="3781" t="s">
        <v>56</v>
      </c>
      <c r="G194" s="3782"/>
      <c r="H194" s="3781" t="s">
        <v>362</v>
      </c>
      <c r="I194" s="3782"/>
      <c r="J194" s="3783" t="s">
        <v>362</v>
      </c>
      <c r="K194" s="3784"/>
      <c r="L194" s="3783" t="s">
        <v>362</v>
      </c>
      <c r="M194" s="3785"/>
      <c r="N194" s="3785"/>
      <c r="O194" s="3784"/>
      <c r="P194" s="1766"/>
      <c r="AM194" s="2094">
        <v>194</v>
      </c>
    </row>
    <row r="195" spans="1:39" ht="15.95" customHeight="1">
      <c r="B195" s="3786" t="s">
        <v>1928</v>
      </c>
      <c r="C195" s="3787"/>
      <c r="D195" s="3787"/>
      <c r="E195" s="3788"/>
      <c r="F195" s="3789" t="s">
        <v>56</v>
      </c>
      <c r="G195" s="3790"/>
      <c r="H195" s="3789" t="s">
        <v>362</v>
      </c>
      <c r="I195" s="3790"/>
      <c r="J195" s="3791" t="s">
        <v>362</v>
      </c>
      <c r="K195" s="3792"/>
      <c r="L195" s="3791" t="s">
        <v>362</v>
      </c>
      <c r="M195" s="3793"/>
      <c r="N195" s="3793"/>
      <c r="O195" s="3792"/>
      <c r="P195" s="1768"/>
      <c r="AM195" s="2094">
        <v>195</v>
      </c>
    </row>
    <row r="196" spans="1:39" ht="15.95" customHeight="1">
      <c r="B196" s="3786" t="s">
        <v>1929</v>
      </c>
      <c r="C196" s="3787"/>
      <c r="D196" s="3787"/>
      <c r="E196" s="3788"/>
      <c r="F196" s="3789" t="s">
        <v>362</v>
      </c>
      <c r="G196" s="3790"/>
      <c r="H196" s="3789" t="s">
        <v>362</v>
      </c>
      <c r="I196" s="3790"/>
      <c r="J196" s="3791" t="s">
        <v>362</v>
      </c>
      <c r="K196" s="3792"/>
      <c r="L196" s="3791" t="s">
        <v>362</v>
      </c>
      <c r="M196" s="3793"/>
      <c r="N196" s="3793"/>
      <c r="O196" s="3792"/>
      <c r="P196" s="1768"/>
      <c r="AM196" s="2094">
        <v>196</v>
      </c>
    </row>
    <row r="197" spans="1:39" ht="15.95" customHeight="1">
      <c r="B197" s="3786"/>
      <c r="C197" s="3787"/>
      <c r="D197" s="3787"/>
      <c r="E197" s="3788"/>
      <c r="F197" s="3789"/>
      <c r="G197" s="3790"/>
      <c r="H197" s="3789"/>
      <c r="I197" s="3790"/>
      <c r="J197" s="3791"/>
      <c r="K197" s="3792"/>
      <c r="L197" s="3791"/>
      <c r="M197" s="3793"/>
      <c r="N197" s="3793"/>
      <c r="O197" s="3792"/>
      <c r="P197" s="1768"/>
      <c r="AM197" s="2094">
        <v>197</v>
      </c>
    </row>
    <row r="198" spans="1:39" ht="15.95" customHeight="1">
      <c r="B198" s="3786"/>
      <c r="C198" s="3787"/>
      <c r="D198" s="3787"/>
      <c r="E198" s="3788"/>
      <c r="F198" s="3789"/>
      <c r="G198" s="3790"/>
      <c r="H198" s="3789"/>
      <c r="I198" s="3790"/>
      <c r="J198" s="3791"/>
      <c r="K198" s="3792"/>
      <c r="L198" s="3791"/>
      <c r="M198" s="3793"/>
      <c r="N198" s="3793"/>
      <c r="O198" s="3792"/>
      <c r="P198" s="1768"/>
      <c r="AM198" s="2095">
        <v>198</v>
      </c>
    </row>
    <row r="199" spans="1:39" ht="15.95" customHeight="1">
      <c r="B199" s="3803"/>
      <c r="C199" s="3804"/>
      <c r="D199" s="3804"/>
      <c r="E199" s="3805"/>
      <c r="F199" s="3806"/>
      <c r="G199" s="3807"/>
      <c r="H199" s="3806"/>
      <c r="I199" s="3807"/>
      <c r="J199" s="3808"/>
      <c r="K199" s="3809"/>
      <c r="L199" s="3808"/>
      <c r="M199" s="3810"/>
      <c r="N199" s="3810"/>
      <c r="O199" s="3809"/>
      <c r="P199" s="1769"/>
      <c r="AM199" s="2095">
        <v>199</v>
      </c>
    </row>
    <row r="200" spans="1:39" ht="15.95" customHeight="1">
      <c r="A200" s="1725"/>
      <c r="B200" s="1745" t="s">
        <v>1794</v>
      </c>
      <c r="C200" s="1725"/>
      <c r="D200" s="1725"/>
      <c r="E200" s="1725"/>
      <c r="F200" s="1725"/>
      <c r="G200" s="1725"/>
      <c r="H200" s="1725"/>
      <c r="I200" s="1725"/>
      <c r="J200" s="1725"/>
      <c r="K200" s="1725"/>
      <c r="M200" s="2559"/>
      <c r="N200" s="2558"/>
      <c r="O200" s="1736"/>
      <c r="AM200" s="2095">
        <v>200</v>
      </c>
    </row>
    <row r="201" spans="1:39" ht="48.75" customHeight="1">
      <c r="A201" s="3723" t="s">
        <v>1930</v>
      </c>
      <c r="B201" s="3724"/>
      <c r="C201" s="3724"/>
      <c r="D201" s="3724"/>
      <c r="E201" s="3724"/>
      <c r="F201" s="3724"/>
      <c r="G201" s="3724"/>
      <c r="H201" s="3724"/>
      <c r="I201" s="3724"/>
      <c r="J201" s="3724"/>
      <c r="K201" s="3724"/>
      <c r="L201" s="3724"/>
      <c r="M201" s="3724"/>
      <c r="N201" s="3724"/>
      <c r="O201" s="3724"/>
      <c r="P201" s="3725"/>
      <c r="Q201" s="1802"/>
      <c r="AM201" s="2095">
        <v>201</v>
      </c>
    </row>
    <row r="202" spans="1:39" ht="15.95" customHeight="1">
      <c r="A202" s="1725"/>
      <c r="B202" s="1781" t="s">
        <v>1447</v>
      </c>
      <c r="C202" s="1782"/>
      <c r="D202" s="1781"/>
      <c r="E202" s="1783"/>
      <c r="F202" s="2563"/>
      <c r="G202" s="2563"/>
      <c r="H202" s="2563"/>
      <c r="I202" s="2563"/>
      <c r="J202" s="2563"/>
      <c r="K202" s="2563"/>
      <c r="L202" s="2563"/>
      <c r="M202" s="2563"/>
      <c r="N202" s="1784"/>
      <c r="O202" s="1785"/>
      <c r="P202" s="1727"/>
      <c r="AM202" s="2094">
        <v>202</v>
      </c>
    </row>
    <row r="203" spans="1:39" ht="15.95" customHeight="1">
      <c r="A203" s="3700"/>
      <c r="B203" s="3701"/>
      <c r="C203" s="3701"/>
      <c r="D203" s="3701"/>
      <c r="E203" s="3701"/>
      <c r="F203" s="3701"/>
      <c r="G203" s="3701"/>
      <c r="H203" s="3701"/>
      <c r="I203" s="3701"/>
      <c r="J203" s="3701"/>
      <c r="K203" s="3701"/>
      <c r="L203" s="3701"/>
      <c r="M203" s="3701"/>
      <c r="N203" s="3701"/>
      <c r="O203" s="3701"/>
      <c r="P203" s="3702"/>
      <c r="Q203" s="1786"/>
      <c r="U203" s="2564"/>
      <c r="AM203" s="2095">
        <v>203</v>
      </c>
    </row>
    <row r="204" spans="1:39" ht="9.75" customHeight="1">
      <c r="N204" s="2558"/>
      <c r="AM204" s="2094">
        <v>204</v>
      </c>
    </row>
    <row r="205" spans="1:39" ht="9.75" customHeight="1" thickBot="1">
      <c r="N205" s="2558"/>
      <c r="AM205" s="2094">
        <v>205</v>
      </c>
    </row>
    <row r="206" spans="1:39" s="1725" customFormat="1" ht="15.95" customHeight="1" thickBot="1">
      <c r="A206" s="1746" t="s">
        <v>1536</v>
      </c>
      <c r="B206" s="1747" t="s">
        <v>1931</v>
      </c>
      <c r="D206" s="1747"/>
      <c r="E206" s="1747"/>
      <c r="K206" s="2058"/>
      <c r="L206" s="1755" t="s">
        <v>1767</v>
      </c>
      <c r="M206" s="1727">
        <v>10</v>
      </c>
      <c r="N206" s="2559"/>
      <c r="O206" s="1822">
        <f>IF(AND($F$12="New Affordability",$C$16="Revitalization/Redevelopment Plans"),MIN($M$206,O212+O222+O229),0)</f>
        <v>0</v>
      </c>
      <c r="P206" s="1822">
        <f>IF(AND($F$12="New Affordability",$C$16="Revitalization/Redevelopment Plans"),MIN($M$206,P212+P222+P229),0)</f>
        <v>0</v>
      </c>
      <c r="Q206" s="1757" t="s">
        <v>795</v>
      </c>
      <c r="R206" s="2049" t="s">
        <v>1932</v>
      </c>
      <c r="S206" s="1722"/>
      <c r="T206" s="1722"/>
      <c r="U206" s="1722"/>
      <c r="V206" s="2050" t="str">
        <f>$C$16</f>
        <v>Stable Communities</v>
      </c>
      <c r="AM206" s="2094">
        <v>206</v>
      </c>
    </row>
    <row r="207" spans="1:39" s="1725" customFormat="1" ht="15.95" customHeight="1">
      <c r="A207" s="1746"/>
      <c r="B207" s="1747"/>
      <c r="D207" s="1747"/>
      <c r="E207" s="1747"/>
      <c r="F207" s="1754" t="s">
        <v>1933</v>
      </c>
      <c r="L207" s="1788"/>
      <c r="M207" s="1727"/>
      <c r="N207" s="2559"/>
      <c r="O207" s="1736">
        <f>MAX(O213+O214+O215+O216+O220+O221+O222+O224+O228+O229,O206)</f>
        <v>0</v>
      </c>
      <c r="P207" s="1736">
        <f>MAX(P213+P214+P215+P216+P220+P221+P222+P224+P228+P229,P206)</f>
        <v>0</v>
      </c>
      <c r="Q207" s="1757"/>
      <c r="R207" s="1763"/>
      <c r="S207" s="1722"/>
      <c r="T207" s="1722"/>
      <c r="U207" s="1722"/>
      <c r="V207" s="1724"/>
      <c r="W207" s="1724"/>
      <c r="X207" s="1724"/>
      <c r="AM207" s="2094">
        <v>207</v>
      </c>
    </row>
    <row r="208" spans="1:39" ht="15.95" customHeight="1">
      <c r="A208" s="1757"/>
      <c r="B208" s="1725" t="s">
        <v>1934</v>
      </c>
      <c r="D208" s="1734"/>
      <c r="E208" s="1734"/>
      <c r="F208" s="1734"/>
      <c r="G208" s="1734"/>
      <c r="H208" s="1734"/>
      <c r="I208" s="1734"/>
      <c r="J208" s="1734"/>
      <c r="K208" s="1734"/>
      <c r="L208" s="1734"/>
      <c r="N208" s="2558"/>
      <c r="Q208" s="1846" t="str">
        <f>IF(OR($O213=$M213,$O213=0,$O213=""),"","*CHECK!*")</f>
        <v/>
      </c>
      <c r="R208" s="1763"/>
      <c r="S208" s="1722"/>
      <c r="T208" s="1722"/>
      <c r="U208" s="1722"/>
      <c r="AM208" s="2095">
        <v>208</v>
      </c>
    </row>
    <row r="209" spans="1:39" ht="15.95" customHeight="1">
      <c r="A209" s="1899"/>
      <c r="B209" s="1760"/>
      <c r="C209" s="1775" t="s">
        <v>1935</v>
      </c>
      <c r="D209" s="1775"/>
      <c r="E209" s="1775"/>
      <c r="F209" s="1775"/>
      <c r="G209" s="1775"/>
      <c r="H209" s="1775"/>
      <c r="I209" s="1775"/>
      <c r="J209" s="1775"/>
      <c r="K209" s="1775"/>
      <c r="L209" s="1777"/>
      <c r="N209" s="3794" t="s">
        <v>1936</v>
      </c>
      <c r="O209" s="3795"/>
      <c r="P209" s="3796"/>
      <c r="S209" s="1722"/>
      <c r="T209" s="1722"/>
      <c r="U209" s="1722"/>
      <c r="AM209" s="2095">
        <v>209</v>
      </c>
    </row>
    <row r="210" spans="1:39" s="1725" customFormat="1" ht="15.95" customHeight="1">
      <c r="A210" s="2559"/>
      <c r="B210" s="1760"/>
      <c r="C210" s="1725" t="s">
        <v>1937</v>
      </c>
      <c r="L210" s="1760"/>
      <c r="N210" s="3797" t="s">
        <v>1936</v>
      </c>
      <c r="O210" s="3798"/>
      <c r="P210" s="3799"/>
      <c r="S210" s="1722"/>
      <c r="T210" s="1722"/>
      <c r="U210" s="1722"/>
      <c r="AM210" s="2095">
        <v>210</v>
      </c>
    </row>
    <row r="211" spans="1:39" s="1725" customFormat="1" ht="15.95" customHeight="1">
      <c r="A211" s="2559"/>
      <c r="B211" s="1760"/>
      <c r="C211" s="1725" t="s">
        <v>1938</v>
      </c>
      <c r="L211" s="1760"/>
      <c r="N211" s="3800" t="s">
        <v>1936</v>
      </c>
      <c r="O211" s="3801"/>
      <c r="P211" s="3802"/>
      <c r="Q211" s="1643"/>
      <c r="S211" s="1722"/>
      <c r="T211" s="1722"/>
      <c r="U211" s="1722"/>
      <c r="V211" s="1643"/>
      <c r="AM211" s="2095">
        <v>211</v>
      </c>
    </row>
    <row r="212" spans="1:39" s="1725" customFormat="1" ht="15.95" customHeight="1">
      <c r="A212" s="1727" t="s">
        <v>197</v>
      </c>
      <c r="B212" s="1849" t="s">
        <v>1939</v>
      </c>
      <c r="L212" s="1821" t="s">
        <v>1767</v>
      </c>
      <c r="M212" s="2559">
        <v>6</v>
      </c>
      <c r="N212" s="1760"/>
      <c r="O212" s="1826">
        <f>MIN($M212,O213+O214+O215)</f>
        <v>0</v>
      </c>
      <c r="P212" s="1826">
        <f>MIN($M212,P213+P214+P215)</f>
        <v>0</v>
      </c>
      <c r="Q212" s="1643"/>
      <c r="S212" s="1722"/>
      <c r="T212" s="1722"/>
      <c r="U212" s="1722"/>
      <c r="V212" s="1643"/>
      <c r="AM212" s="2094">
        <v>212</v>
      </c>
    </row>
    <row r="213" spans="1:39" ht="15.95" customHeight="1">
      <c r="A213" s="1899"/>
      <c r="B213" s="1849" t="s">
        <v>1940</v>
      </c>
      <c r="D213" s="1775"/>
      <c r="E213" s="1775"/>
      <c r="F213" s="1775"/>
      <c r="G213" s="1775"/>
      <c r="H213" s="1775"/>
      <c r="I213" s="1775"/>
      <c r="K213" s="2559"/>
      <c r="L213" s="1759" t="str">
        <f t="shared" ref="L213:L214" si="6">IF(OR($O213=$M213,$O213=0,$O213=""),"","* * Check Score! * *")</f>
        <v/>
      </c>
      <c r="M213" s="2559">
        <v>2</v>
      </c>
      <c r="N213" s="1777"/>
      <c r="O213" s="1644"/>
      <c r="P213" s="1847"/>
      <c r="R213" s="1722"/>
      <c r="S213" s="1722"/>
      <c r="T213" s="1722"/>
      <c r="U213" s="1722"/>
      <c r="AM213" s="2095">
        <v>213</v>
      </c>
    </row>
    <row r="214" spans="1:39" ht="15.95" customHeight="1">
      <c r="A214" s="1790"/>
      <c r="B214" s="1724" t="s">
        <v>1941</v>
      </c>
      <c r="D214" s="1882"/>
      <c r="E214" s="1882"/>
      <c r="F214" s="1882"/>
      <c r="G214" s="1882"/>
      <c r="H214" s="1882"/>
      <c r="I214" s="1882"/>
      <c r="J214" s="1882"/>
      <c r="K214" s="1882"/>
      <c r="L214" s="1759" t="str">
        <f t="shared" si="6"/>
        <v/>
      </c>
      <c r="M214" s="2559">
        <v>1</v>
      </c>
      <c r="N214" s="1760"/>
      <c r="O214" s="1641"/>
      <c r="P214" s="1889"/>
      <c r="Q214" s="1846" t="str">
        <f>IF(OR($O214=$M214,$O214=0,$O214=""),"","*CHECK!*")</f>
        <v/>
      </c>
      <c r="R214" s="1763"/>
      <c r="AM214" s="2094">
        <v>214</v>
      </c>
    </row>
    <row r="215" spans="1:39" ht="15.95" customHeight="1">
      <c r="A215" s="1899"/>
      <c r="B215" s="1849" t="s">
        <v>1942</v>
      </c>
      <c r="D215" s="1775"/>
      <c r="E215" s="1775"/>
      <c r="F215" s="1775"/>
      <c r="G215" s="1775"/>
      <c r="H215" s="1775"/>
      <c r="I215" s="1775"/>
      <c r="K215" s="2559"/>
      <c r="L215" s="1821" t="s">
        <v>1767</v>
      </c>
      <c r="M215" s="2559">
        <v>3</v>
      </c>
      <c r="N215" s="1724"/>
      <c r="O215" s="1826">
        <f>MIN($M215,O216+O220+O221)</f>
        <v>0</v>
      </c>
      <c r="P215" s="1826">
        <f>MIN($M215,P216+P220+P221)</f>
        <v>0</v>
      </c>
      <c r="R215" s="1722"/>
      <c r="S215" s="1722"/>
      <c r="T215" s="1722"/>
      <c r="U215" s="1722"/>
      <c r="AM215" s="2094">
        <v>215</v>
      </c>
    </row>
    <row r="216" spans="1:39" ht="15.95" customHeight="1">
      <c r="A216" s="2559"/>
      <c r="B216" s="1765"/>
      <c r="C216" s="1774" t="s">
        <v>1943</v>
      </c>
      <c r="D216" s="2563"/>
      <c r="E216" s="2563"/>
      <c r="F216" s="2563"/>
      <c r="G216" s="2563"/>
      <c r="H216" s="2563"/>
      <c r="I216" s="2563"/>
      <c r="J216" s="2563"/>
      <c r="K216" s="2563"/>
      <c r="L216" s="2563"/>
      <c r="M216" s="2559">
        <v>3</v>
      </c>
      <c r="N216" s="1784"/>
      <c r="O216" s="2005">
        <f>IF(OR(O217="Yes", O218="Yes", O219="Yes"),$M216,0)</f>
        <v>0</v>
      </c>
      <c r="P216" s="2005">
        <f>IF(OR(P217="Yes", P218="Yes", P219="Yes"),$M216,0)</f>
        <v>0</v>
      </c>
      <c r="AM216" s="2094">
        <v>216</v>
      </c>
    </row>
    <row r="217" spans="1:39" ht="15.95" customHeight="1">
      <c r="A217" s="1790"/>
      <c r="C217" s="1755"/>
      <c r="D217" s="1775" t="s">
        <v>1944</v>
      </c>
      <c r="E217" s="1775"/>
      <c r="F217" s="1775"/>
      <c r="G217" s="1775"/>
      <c r="H217" s="1775"/>
      <c r="I217" s="1775"/>
      <c r="J217" s="1775"/>
      <c r="K217" s="1775"/>
      <c r="L217" s="1775"/>
      <c r="M217" s="1776"/>
      <c r="N217" s="1777"/>
      <c r="O217" s="1632"/>
      <c r="P217" s="1850"/>
      <c r="Q217" s="1846"/>
      <c r="R217" s="1763"/>
      <c r="AM217" s="2094">
        <v>217</v>
      </c>
    </row>
    <row r="218" spans="1:39" ht="15" customHeight="1">
      <c r="A218" s="1790"/>
      <c r="C218" s="1755"/>
      <c r="D218" s="1775" t="s">
        <v>1945</v>
      </c>
      <c r="E218" s="1775"/>
      <c r="F218" s="1775"/>
      <c r="G218" s="1775"/>
      <c r="H218" s="1775"/>
      <c r="I218" s="1775"/>
      <c r="J218" s="1775"/>
      <c r="K218" s="1775"/>
      <c r="L218" s="1775"/>
      <c r="M218" s="1776"/>
      <c r="N218" s="1777"/>
      <c r="O218" s="1645"/>
      <c r="P218" s="1852"/>
      <c r="Q218" s="1846" t="str">
        <f>IF(OR($O218=$M218,$O218=0,$O218=""),"","*CHECK!*")</f>
        <v/>
      </c>
      <c r="R218" s="1763"/>
      <c r="AM218" s="2094">
        <v>218</v>
      </c>
    </row>
    <row r="219" spans="1:39">
      <c r="A219" s="1790"/>
      <c r="B219" s="1765"/>
      <c r="C219" s="1755"/>
      <c r="D219" s="1775" t="s">
        <v>1946</v>
      </c>
      <c r="E219" s="1775"/>
      <c r="F219" s="1775"/>
      <c r="G219" s="1775"/>
      <c r="H219" s="1775"/>
      <c r="I219" s="1775"/>
      <c r="J219" s="1775"/>
      <c r="K219" s="1775"/>
      <c r="L219" s="1775"/>
      <c r="M219" s="1776"/>
      <c r="N219" s="1777"/>
      <c r="O219" s="1671"/>
      <c r="P219" s="1891"/>
      <c r="Q219" s="1846" t="str">
        <f>IF(OR($O219=$M219,$O219=0,$O219=""),"","*CHECK!*")</f>
        <v/>
      </c>
      <c r="R219" s="1763"/>
      <c r="AM219" s="2094">
        <v>219</v>
      </c>
    </row>
    <row r="220" spans="1:39" ht="15.95" customHeight="1">
      <c r="A220" s="2559"/>
      <c r="C220" s="1774" t="s">
        <v>1947</v>
      </c>
      <c r="E220" s="2563"/>
      <c r="F220" s="2563"/>
      <c r="G220" s="2563"/>
      <c r="H220" s="2563"/>
      <c r="I220" s="2563"/>
      <c r="J220" s="2563"/>
      <c r="K220" s="2563"/>
      <c r="L220" s="1759" t="str">
        <f t="shared" ref="L220:L221" si="7">IF(OR($O220=$M220,$O220=0,$O220=""),"","* * Check Score! * *")</f>
        <v/>
      </c>
      <c r="M220" s="2560">
        <v>1</v>
      </c>
      <c r="N220" s="1784"/>
      <c r="O220" s="1644"/>
      <c r="P220" s="1847"/>
      <c r="AM220" s="2094">
        <v>220</v>
      </c>
    </row>
    <row r="221" spans="1:39" ht="15.95" customHeight="1">
      <c r="A221" s="2559"/>
      <c r="C221" s="1774" t="s">
        <v>1948</v>
      </c>
      <c r="E221" s="2563"/>
      <c r="F221" s="2563"/>
      <c r="G221" s="2563"/>
      <c r="H221" s="2563"/>
      <c r="I221" s="2563"/>
      <c r="J221" s="2563"/>
      <c r="K221" s="2563"/>
      <c r="L221" s="1759" t="str">
        <f t="shared" si="7"/>
        <v/>
      </c>
      <c r="M221" s="2560">
        <v>2</v>
      </c>
      <c r="N221" s="1784"/>
      <c r="O221" s="1633"/>
      <c r="P221" s="1848"/>
      <c r="AM221" s="2095">
        <v>221</v>
      </c>
    </row>
    <row r="222" spans="1:39" ht="15.95" customHeight="1">
      <c r="A222" s="1727" t="s">
        <v>209</v>
      </c>
      <c r="B222" s="1734" t="s">
        <v>1949</v>
      </c>
      <c r="C222" s="2563"/>
      <c r="D222" s="2563"/>
      <c r="E222" s="2563"/>
      <c r="F222" s="2563"/>
      <c r="G222" s="2563"/>
      <c r="H222" s="2563"/>
      <c r="I222" s="2563"/>
      <c r="J222" s="2563"/>
      <c r="K222" s="2563"/>
      <c r="L222" s="1821" t="s">
        <v>1767</v>
      </c>
      <c r="M222" s="1727">
        <v>3</v>
      </c>
      <c r="N222" s="1784"/>
      <c r="O222" s="1770">
        <f>IF(O223="yes",MIN($M222,O224+O228),0)</f>
        <v>0</v>
      </c>
      <c r="P222" s="1770">
        <f>IF(P223="yes",MIN($M222,P224+P228),0)</f>
        <v>0</v>
      </c>
      <c r="Q222" s="1757"/>
      <c r="R222" s="1763"/>
      <c r="AM222" s="2095">
        <v>222</v>
      </c>
    </row>
    <row r="223" spans="1:39" ht="15.95" customHeight="1">
      <c r="A223" s="1727"/>
      <c r="B223" s="1725" t="s">
        <v>1950</v>
      </c>
      <c r="C223" s="2563"/>
      <c r="D223" s="2563"/>
      <c r="E223" s="2563"/>
      <c r="F223" s="2563"/>
      <c r="G223" s="2563"/>
      <c r="H223" s="2563"/>
      <c r="I223" s="2563"/>
      <c r="J223" s="2563"/>
      <c r="K223" s="2563"/>
      <c r="L223" s="1821"/>
      <c r="M223" s="1727"/>
      <c r="N223" s="1784"/>
      <c r="O223" s="1671"/>
      <c r="P223" s="1891"/>
      <c r="Q223" s="1757"/>
      <c r="R223" s="1763"/>
      <c r="AM223" s="2095">
        <v>223</v>
      </c>
    </row>
    <row r="224" spans="1:39" ht="15.95" customHeight="1">
      <c r="A224" s="1746"/>
      <c r="B224" s="1900" t="s">
        <v>212</v>
      </c>
      <c r="C224" s="1774" t="s">
        <v>1951</v>
      </c>
      <c r="D224" s="2563"/>
      <c r="E224" s="2563"/>
      <c r="F224" s="2563"/>
      <c r="G224" s="2563"/>
      <c r="H224" s="2563"/>
      <c r="L224" s="1821" t="s">
        <v>1767</v>
      </c>
      <c r="M224" s="2559">
        <v>3</v>
      </c>
      <c r="N224" s="1784"/>
      <c r="O224" s="2006">
        <f>MIN($M224,O225+O226+O227)</f>
        <v>0</v>
      </c>
      <c r="P224" s="2006">
        <f>MIN($M224,P225+P226+P227)</f>
        <v>0</v>
      </c>
      <c r="Q224" s="1757"/>
      <c r="R224" s="1763"/>
      <c r="AM224" s="2095">
        <v>224</v>
      </c>
    </row>
    <row r="225" spans="1:39" ht="15.95" customHeight="1">
      <c r="B225" s="1765" t="s">
        <v>214</v>
      </c>
      <c r="C225" s="1724" t="s">
        <v>1952</v>
      </c>
      <c r="L225" s="1759" t="str">
        <f>IF(OR($O225=$M225,$O225=0,$O225=""),"","* * Check Score! * *")</f>
        <v/>
      </c>
      <c r="M225" s="2558">
        <v>1</v>
      </c>
      <c r="N225" s="2558"/>
      <c r="O225" s="1644"/>
      <c r="P225" s="1847"/>
      <c r="AM225" s="2094">
        <v>225</v>
      </c>
    </row>
    <row r="226" spans="1:39" ht="15.95" customHeight="1">
      <c r="B226" s="1765" t="s">
        <v>217</v>
      </c>
      <c r="C226" s="1724" t="s">
        <v>1953</v>
      </c>
      <c r="L226" s="1759" t="str">
        <f t="shared" ref="L226" si="8">IF(OR($O226=$M226,$O226=0,$O226=""),"","* * Check Score! * *")</f>
        <v/>
      </c>
      <c r="M226" s="2558">
        <v>1</v>
      </c>
      <c r="N226" s="2558"/>
      <c r="O226" s="1632"/>
      <c r="P226" s="1850"/>
      <c r="AM226" s="2095">
        <v>226</v>
      </c>
    </row>
    <row r="227" spans="1:39" ht="15.95" customHeight="1">
      <c r="B227" s="1765" t="s">
        <v>219</v>
      </c>
      <c r="C227" s="1724" t="s">
        <v>1954</v>
      </c>
      <c r="L227" s="1759"/>
      <c r="M227" s="2558">
        <v>1</v>
      </c>
      <c r="N227" s="2558"/>
      <c r="O227" s="1633"/>
      <c r="P227" s="1848"/>
      <c r="AM227" s="2094">
        <v>227</v>
      </c>
    </row>
    <row r="228" spans="1:39" ht="15.95" customHeight="1">
      <c r="A228" s="1746"/>
      <c r="B228" s="1764" t="s">
        <v>220</v>
      </c>
      <c r="C228" s="1725" t="s">
        <v>1955</v>
      </c>
      <c r="D228" s="1821"/>
      <c r="E228" s="2563"/>
      <c r="F228" s="2563"/>
      <c r="G228" s="2563"/>
      <c r="H228" s="2563"/>
      <c r="M228" s="2559">
        <v>2</v>
      </c>
      <c r="N228" s="1901" t="str">
        <f>IF(OR(O$265&gt;0,O$238&gt;0),"Applicant is ineligible for points in this section!  Points claimed in Stable Communities or Community Designations.","")</f>
        <v>Applicant is ineligible for points in this section!  Points claimed in Stable Communities or Community Designations.</v>
      </c>
      <c r="O228" s="1633"/>
      <c r="P228" s="1848"/>
      <c r="Q228" s="1757"/>
      <c r="R228" s="1722"/>
      <c r="S228" s="1722"/>
      <c r="T228" s="1722"/>
      <c r="U228" s="1722"/>
      <c r="AM228" s="2094">
        <v>228</v>
      </c>
    </row>
    <row r="229" spans="1:39" ht="15.95" customHeight="1">
      <c r="A229" s="1727" t="s">
        <v>230</v>
      </c>
      <c r="B229" s="1734" t="s">
        <v>1956</v>
      </c>
      <c r="D229" s="1725"/>
      <c r="F229" s="1902"/>
      <c r="K229" s="1903"/>
      <c r="L229" s="1821" t="s">
        <v>1767</v>
      </c>
      <c r="M229" s="1727">
        <v>3</v>
      </c>
      <c r="N229" s="1760"/>
      <c r="O229" s="1904">
        <f>MIN($M229,O230+O231)</f>
        <v>0</v>
      </c>
      <c r="P229" s="1904">
        <f>MIN($M229,P230+P231)</f>
        <v>0</v>
      </c>
      <c r="Q229" s="1762"/>
      <c r="R229" s="1763"/>
      <c r="AM229" s="2094">
        <v>229</v>
      </c>
    </row>
    <row r="230" spans="1:39" ht="15.95" customHeight="1">
      <c r="A230" s="1725"/>
      <c r="B230" s="1900" t="s">
        <v>212</v>
      </c>
      <c r="C230" s="1774" t="s">
        <v>1957</v>
      </c>
      <c r="D230" s="2563"/>
      <c r="E230" s="2563"/>
      <c r="F230" s="2563"/>
      <c r="G230" s="2563"/>
      <c r="H230" s="2563"/>
      <c r="I230" s="2563"/>
      <c r="J230" s="2563"/>
      <c r="K230" s="2563"/>
      <c r="L230" s="1821" t="s">
        <v>1767</v>
      </c>
      <c r="M230" s="1784">
        <v>2</v>
      </c>
      <c r="N230" s="1784"/>
      <c r="O230" s="1633"/>
      <c r="P230" s="1848"/>
      <c r="AM230" s="2094">
        <v>230</v>
      </c>
    </row>
    <row r="231" spans="1:39" ht="15.95" customHeight="1">
      <c r="A231" s="1725"/>
      <c r="B231" s="1764" t="s">
        <v>220</v>
      </c>
      <c r="C231" s="1774" t="s">
        <v>1958</v>
      </c>
      <c r="D231" s="2563"/>
      <c r="E231" s="2563"/>
      <c r="F231" s="2563"/>
      <c r="G231" s="2563"/>
      <c r="H231" s="2563"/>
      <c r="I231" s="2563"/>
      <c r="J231" s="2563"/>
      <c r="K231" s="2563"/>
      <c r="L231" s="2563"/>
      <c r="M231" s="1784">
        <v>1</v>
      </c>
      <c r="N231" s="1784"/>
      <c r="O231" s="1633"/>
      <c r="P231" s="1848"/>
      <c r="AM231" s="2094">
        <v>231</v>
      </c>
    </row>
    <row r="232" spans="1:39" s="1725" customFormat="1" ht="15.95" customHeight="1">
      <c r="B232" s="1745" t="s">
        <v>1794</v>
      </c>
      <c r="L232" s="1724"/>
      <c r="M232" s="2559"/>
      <c r="N232" s="2558"/>
      <c r="O232" s="1736"/>
      <c r="P232" s="1735"/>
      <c r="AM232" s="2094">
        <v>232</v>
      </c>
    </row>
    <row r="233" spans="1:39" ht="15.95" customHeight="1">
      <c r="A233" s="3723" t="s">
        <v>1959</v>
      </c>
      <c r="B233" s="3724"/>
      <c r="C233" s="3724"/>
      <c r="D233" s="3724"/>
      <c r="E233" s="3724"/>
      <c r="F233" s="3724"/>
      <c r="G233" s="3724"/>
      <c r="H233" s="3724"/>
      <c r="I233" s="3724"/>
      <c r="J233" s="3724"/>
      <c r="K233" s="3724"/>
      <c r="L233" s="3724"/>
      <c r="M233" s="3724"/>
      <c r="N233" s="3724"/>
      <c r="O233" s="3724"/>
      <c r="P233" s="3725"/>
      <c r="Q233" s="1802"/>
      <c r="AM233" s="2095">
        <v>233</v>
      </c>
    </row>
    <row r="234" spans="1:39" s="1725" customFormat="1" ht="15.95" customHeight="1">
      <c r="B234" s="1830" t="s">
        <v>1447</v>
      </c>
      <c r="D234" s="1830"/>
      <c r="E234" s="2565"/>
      <c r="F234" s="2565"/>
      <c r="G234" s="2565"/>
      <c r="H234" s="2565"/>
      <c r="I234" s="2565"/>
      <c r="J234" s="2565"/>
      <c r="K234" s="2565"/>
      <c r="L234" s="2565"/>
      <c r="M234" s="2565"/>
      <c r="N234" s="2560"/>
      <c r="O234" s="2566"/>
      <c r="P234" s="1727"/>
      <c r="Q234" s="1724"/>
      <c r="AM234" s="2095">
        <v>234</v>
      </c>
    </row>
    <row r="235" spans="1:39" ht="15.95" customHeight="1">
      <c r="A235" s="3700"/>
      <c r="B235" s="3701"/>
      <c r="C235" s="3701"/>
      <c r="D235" s="3701"/>
      <c r="E235" s="3701"/>
      <c r="F235" s="3701"/>
      <c r="G235" s="3701"/>
      <c r="H235" s="3701"/>
      <c r="I235" s="3701"/>
      <c r="J235" s="3701"/>
      <c r="K235" s="3701"/>
      <c r="L235" s="3701"/>
      <c r="M235" s="3701"/>
      <c r="N235" s="3701"/>
      <c r="O235" s="3701"/>
      <c r="P235" s="3702"/>
      <c r="Q235" s="1786"/>
      <c r="AM235" s="2095">
        <v>235</v>
      </c>
    </row>
    <row r="236" spans="1:39" ht="9.75" customHeight="1">
      <c r="N236" s="2558"/>
      <c r="AM236" s="2094">
        <v>236</v>
      </c>
    </row>
    <row r="237" spans="1:39" ht="9.75" customHeight="1" thickBot="1">
      <c r="N237" s="2558"/>
      <c r="AM237" s="2094">
        <v>237</v>
      </c>
    </row>
    <row r="238" spans="1:39" s="1725" customFormat="1" ht="15.95" customHeight="1" thickBot="1">
      <c r="A238" s="1746" t="s">
        <v>1539</v>
      </c>
      <c r="B238" s="1747" t="s">
        <v>1960</v>
      </c>
      <c r="D238" s="1747"/>
      <c r="E238" s="1747"/>
      <c r="F238" s="1754" t="s">
        <v>55</v>
      </c>
      <c r="G238" s="1754" t="str">
        <f>'Part I-Project Identification'!$P$26</f>
        <v>No</v>
      </c>
      <c r="K238" s="1788" t="str">
        <f>IF(OR($O$206&gt;0,$O$265&gt;0,$O$303&gt;0),"Points already claimed in another restricted section!","")</f>
        <v/>
      </c>
      <c r="L238" s="1759" t="str">
        <f>IF(OR($O238=$M238,$O238=0,$O238=""),"",IF(OR($O238&lt;$J$251,$O238&gt;$J$251),"* * Check Score! * *",""))</f>
        <v/>
      </c>
      <c r="M238" s="1727">
        <v>10</v>
      </c>
      <c r="N238" s="2559"/>
      <c r="O238" s="1756">
        <f>IF($C$16="Stable Communities",J251,0)</f>
        <v>9</v>
      </c>
      <c r="P238" s="1756">
        <f>IF($H$16="Stable Communities",K251,0)</f>
        <v>0</v>
      </c>
      <c r="Q238" s="1757" t="s">
        <v>795</v>
      </c>
      <c r="R238" s="2049" t="s">
        <v>1932</v>
      </c>
      <c r="S238" s="1722"/>
      <c r="T238" s="1722"/>
      <c r="U238" s="1722"/>
      <c r="V238" s="2050" t="str">
        <f>$C$16</f>
        <v>Stable Communities</v>
      </c>
      <c r="W238" s="1724"/>
      <c r="X238" s="1724"/>
      <c r="AM238" s="2095">
        <v>238</v>
      </c>
    </row>
    <row r="239" spans="1:39" s="1725" customFormat="1" ht="15.95" customHeight="1">
      <c r="A239" s="1746"/>
      <c r="B239" s="1747"/>
      <c r="D239" s="1747"/>
      <c r="E239" s="1747"/>
      <c r="F239" s="1754" t="s">
        <v>1933</v>
      </c>
      <c r="L239" s="1788"/>
      <c r="M239" s="1727"/>
      <c r="N239" s="2559"/>
      <c r="O239" s="1736">
        <f>MAX(J251,O238)</f>
        <v>9</v>
      </c>
      <c r="P239" s="1736">
        <f>MAX(K251,P238)</f>
        <v>0</v>
      </c>
      <c r="Q239" s="1757"/>
      <c r="R239" s="1763"/>
      <c r="S239" s="1722"/>
      <c r="T239" s="1722"/>
      <c r="U239" s="1722"/>
      <c r="V239" s="1724"/>
      <c r="W239" s="1724"/>
      <c r="X239" s="1724"/>
      <c r="AM239" s="2094">
        <v>239</v>
      </c>
    </row>
    <row r="240" spans="1:39" s="1725" customFormat="1" ht="15.95" customHeight="1">
      <c r="A240" s="1746"/>
      <c r="B240" s="1734" t="s">
        <v>1961</v>
      </c>
      <c r="D240" s="1747"/>
      <c r="J240" s="1952" t="s">
        <v>1758</v>
      </c>
      <c r="K240" s="2007" t="s">
        <v>1749</v>
      </c>
      <c r="L240" s="1788"/>
      <c r="M240" s="1727"/>
      <c r="N240" s="2559"/>
      <c r="O240" s="1736"/>
      <c r="P240" s="1736"/>
      <c r="Q240" s="1757"/>
      <c r="R240" s="1763"/>
      <c r="S240" s="1722"/>
      <c r="T240" s="1722"/>
      <c r="U240" s="1722"/>
      <c r="V240" s="1724"/>
      <c r="W240" s="1724"/>
      <c r="X240" s="1724"/>
      <c r="AM240" s="2094">
        <v>240</v>
      </c>
    </row>
    <row r="241" spans="1:39" s="2015" customFormat="1" ht="15.95" hidden="1" customHeight="1">
      <c r="A241" s="2013"/>
      <c r="B241" s="2012"/>
      <c r="C241" s="2014" t="s">
        <v>1962</v>
      </c>
      <c r="D241" s="2014"/>
      <c r="E241" s="2014"/>
      <c r="G241" s="3816" t="s">
        <v>1963</v>
      </c>
      <c r="H241" s="3817"/>
      <c r="I241" s="2016" t="s">
        <v>1964</v>
      </c>
      <c r="J241" s="2017"/>
      <c r="L241" s="2017"/>
      <c r="M241" s="2017"/>
      <c r="N241" s="2018"/>
      <c r="O241" s="2018"/>
      <c r="P241" s="2018"/>
      <c r="Q241" s="2019"/>
      <c r="R241" s="1763"/>
      <c r="S241" s="2020"/>
      <c r="T241" s="2020"/>
      <c r="U241" s="2020"/>
      <c r="V241" s="2021"/>
      <c r="W241" s="2021"/>
      <c r="X241" s="2021"/>
      <c r="AM241" s="2095">
        <v>241</v>
      </c>
    </row>
    <row r="242" spans="1:39" s="2015" customFormat="1" ht="15.95" hidden="1" customHeight="1">
      <c r="A242" s="2013"/>
      <c r="B242" s="2012"/>
      <c r="C242" s="2014" t="s">
        <v>1965</v>
      </c>
      <c r="D242" s="2014"/>
      <c r="E242" s="2014"/>
      <c r="H242" s="2017"/>
      <c r="I242" s="2017"/>
      <c r="J242" s="2017"/>
      <c r="K242" s="2017"/>
      <c r="L242" s="2017"/>
      <c r="M242" s="2017"/>
      <c r="N242" s="2018"/>
      <c r="O242" s="2018"/>
      <c r="P242" s="2018"/>
      <c r="Q242" s="2019"/>
      <c r="R242" s="1763"/>
      <c r="S242" s="2020"/>
      <c r="T242" s="2020"/>
      <c r="U242" s="2020"/>
      <c r="V242" s="2021"/>
      <c r="W242" s="2021"/>
      <c r="X242" s="2021"/>
      <c r="AM242" s="2095">
        <v>242</v>
      </c>
    </row>
    <row r="243" spans="1:39" s="2015" customFormat="1" ht="6" hidden="1" customHeight="1">
      <c r="A243" s="2013"/>
      <c r="B243" s="2022"/>
      <c r="D243" s="2022"/>
      <c r="E243" s="2022"/>
      <c r="L243" s="2023"/>
      <c r="M243" s="2024"/>
      <c r="N243" s="2025"/>
      <c r="O243" s="2026"/>
      <c r="P243" s="2026"/>
      <c r="Q243" s="2019"/>
      <c r="R243" s="1763"/>
      <c r="S243" s="2020"/>
      <c r="T243" s="2020"/>
      <c r="U243" s="2020"/>
      <c r="V243" s="2021"/>
      <c r="W243" s="2021"/>
      <c r="X243" s="2021"/>
      <c r="AM243" s="2095">
        <v>243</v>
      </c>
    </row>
    <row r="244" spans="1:39" s="2021" customFormat="1" ht="15.95" hidden="1" customHeight="1">
      <c r="C244" s="2027" t="s">
        <v>1966</v>
      </c>
      <c r="J244" s="3818"/>
      <c r="K244" s="3819"/>
      <c r="L244" s="3819"/>
      <c r="M244" s="3820"/>
      <c r="N244" s="2025"/>
      <c r="O244" s="2025"/>
      <c r="P244" s="2025"/>
      <c r="R244" s="1763"/>
      <c r="S244" s="2020"/>
      <c r="AM244" s="2095">
        <v>244</v>
      </c>
    </row>
    <row r="245" spans="1:39" s="2015" customFormat="1" ht="6" hidden="1" customHeight="1">
      <c r="A245" s="2013"/>
      <c r="B245" s="2022"/>
      <c r="D245" s="2022"/>
      <c r="E245" s="2022"/>
      <c r="L245" s="2023"/>
      <c r="M245" s="2024"/>
      <c r="N245" s="2025"/>
      <c r="O245" s="2026"/>
      <c r="P245" s="2026"/>
      <c r="Q245" s="2019"/>
      <c r="R245" s="1763"/>
      <c r="S245" s="2020"/>
      <c r="T245" s="2020"/>
      <c r="U245" s="2020"/>
      <c r="V245" s="2021"/>
      <c r="W245" s="2021"/>
      <c r="X245" s="2021"/>
      <c r="AM245" s="2094">
        <v>245</v>
      </c>
    </row>
    <row r="246" spans="1:39" s="2015" customFormat="1" ht="15.95" hidden="1" customHeight="1">
      <c r="A246" s="2013"/>
      <c r="D246" s="2028" t="s">
        <v>1967</v>
      </c>
      <c r="E246" s="2029"/>
      <c r="F246" s="2028"/>
      <c r="G246" s="2028"/>
      <c r="H246" s="2028"/>
      <c r="I246" s="2028"/>
      <c r="J246" s="2030">
        <v>2</v>
      </c>
      <c r="K246" s="2030">
        <v>3</v>
      </c>
      <c r="L246" s="2030">
        <v>4</v>
      </c>
      <c r="M246" s="2024"/>
      <c r="N246" s="2025"/>
      <c r="O246" s="2026"/>
      <c r="P246" s="2026"/>
      <c r="Q246" s="2019"/>
      <c r="R246" s="1763"/>
      <c r="S246" s="2020"/>
      <c r="T246" s="2020"/>
      <c r="U246" s="2020"/>
      <c r="V246" s="2021"/>
      <c r="W246" s="2021"/>
      <c r="X246" s="2021"/>
      <c r="AM246" s="2095">
        <v>246</v>
      </c>
    </row>
    <row r="247" spans="1:39" s="2015" customFormat="1" ht="15.95" hidden="1" customHeight="1">
      <c r="A247" s="2013"/>
      <c r="D247" s="2031" t="s">
        <v>1968</v>
      </c>
      <c r="E247" s="2022"/>
      <c r="J247" s="2032">
        <v>6</v>
      </c>
      <c r="K247" s="2032">
        <v>8</v>
      </c>
      <c r="L247" s="2032">
        <v>10</v>
      </c>
      <c r="M247" s="2024"/>
      <c r="N247" s="2025"/>
      <c r="O247" s="2026"/>
      <c r="P247" s="2026"/>
      <c r="Q247" s="2019"/>
      <c r="R247" s="1763"/>
      <c r="S247" s="2020"/>
      <c r="T247" s="2020"/>
      <c r="U247" s="2020"/>
      <c r="V247" s="2021"/>
      <c r="W247" s="2021"/>
      <c r="X247" s="2021"/>
      <c r="AM247" s="2094">
        <v>247</v>
      </c>
    </row>
    <row r="248" spans="1:39" s="2015" customFormat="1" ht="15.95" hidden="1" customHeight="1">
      <c r="A248" s="2013"/>
      <c r="D248" s="2031" t="s">
        <v>1969</v>
      </c>
      <c r="E248" s="2022"/>
      <c r="J248" s="2033">
        <v>5</v>
      </c>
      <c r="K248" s="2033">
        <v>7</v>
      </c>
      <c r="L248" s="2032">
        <v>9</v>
      </c>
      <c r="M248" s="2024"/>
      <c r="N248" s="2025"/>
      <c r="O248" s="2026"/>
      <c r="P248" s="2026"/>
      <c r="Q248" s="2019"/>
      <c r="R248" s="1763"/>
      <c r="S248" s="2020"/>
      <c r="T248" s="2020"/>
      <c r="U248" s="2020"/>
      <c r="V248" s="2021"/>
      <c r="W248" s="2021"/>
      <c r="X248" s="2021"/>
      <c r="AM248" s="2094">
        <v>248</v>
      </c>
    </row>
    <row r="249" spans="1:39" s="1725" customFormat="1" ht="15.95" customHeight="1">
      <c r="A249" s="1746"/>
      <c r="C249" s="1754" t="s">
        <v>1970</v>
      </c>
      <c r="D249" s="1897"/>
      <c r="E249" s="1747"/>
      <c r="J249" s="2034">
        <f>COUNTIF(E254:F258,"Above 50th")</f>
        <v>4</v>
      </c>
      <c r="K249" s="2034">
        <f>COUNTIF(G254:G258,"Above 50th")</f>
        <v>0</v>
      </c>
      <c r="M249" s="1824"/>
      <c r="N249" s="2559"/>
      <c r="O249" s="1736"/>
      <c r="P249" s="1736"/>
      <c r="Q249" s="1757"/>
      <c r="R249" s="1763"/>
      <c r="S249" s="1722"/>
      <c r="T249" s="1722"/>
      <c r="U249" s="1722"/>
      <c r="V249" s="1724"/>
      <c r="W249" s="1724"/>
      <c r="X249" s="1724"/>
      <c r="AM249" s="2094">
        <v>249</v>
      </c>
    </row>
    <row r="250" spans="1:39" s="1725" customFormat="1" ht="15.95" customHeight="1">
      <c r="A250" s="1746"/>
      <c r="C250" s="1754" t="s">
        <v>1971</v>
      </c>
      <c r="D250" s="1897"/>
      <c r="E250" s="1747"/>
      <c r="J250" s="2035" t="str">
        <f>IF(OR(I254="Near Census Tract",I255="Near Census Tract",I256="Near Census Tract",I257="Near Census Tract",I258="Near Census Tract"),"Yes","No")</f>
        <v>Yes</v>
      </c>
      <c r="K250" s="2035" t="str">
        <f>IF(OR(K254="Near Census Tract",K255="Near Census Tract",K256="Near Census Tract",K257="Near Census Tract",K258="Near Census Tract"),"Yes","No")</f>
        <v>No</v>
      </c>
      <c r="M250" s="1824"/>
      <c r="N250" s="2559"/>
      <c r="O250" s="1736"/>
      <c r="P250" s="1736"/>
      <c r="Q250" s="1757"/>
      <c r="R250" s="1763"/>
      <c r="S250" s="1722"/>
      <c r="T250" s="1722"/>
      <c r="U250" s="1722"/>
      <c r="V250" s="1724"/>
      <c r="W250" s="1724"/>
      <c r="X250" s="1724"/>
      <c r="AM250" s="2094">
        <v>250</v>
      </c>
    </row>
    <row r="251" spans="1:39" s="1725" customFormat="1" ht="15.95" customHeight="1">
      <c r="A251" s="1746"/>
      <c r="C251" s="1754" t="s">
        <v>1972</v>
      </c>
      <c r="D251" s="1897"/>
      <c r="E251" s="1747"/>
      <c r="J251" s="2055">
        <f>IF(AND(J249=2,J250="No"),6,IF(AND(J249=3,J250="No"),8,IF(AND(J249&gt;=4,J250="No"),10,IF(AND(J249=2,J250="Yes"),5,IF(AND(J249=3,J250="Yes"),7,IF(AND(J249&gt;=4,J250="Yes"),9,0))))))</f>
        <v>9</v>
      </c>
      <c r="K251" s="2036">
        <f>IF(AND(K249=2,K250="No"),6,IF(AND(K249=3,K250="No"),8,IF(AND(K249&gt;=4,K250="No"),10,IF(AND(K249=2,K250="Yes"),5,IF(AND(K249=3,K250="Yes"),7,IF(AND(K249&gt;=4,K250="Yes"),9,0))))))</f>
        <v>0</v>
      </c>
      <c r="L251" s="1824"/>
      <c r="M251" s="1824"/>
      <c r="N251" s="2559"/>
      <c r="O251" s="1736"/>
      <c r="P251" s="1736"/>
      <c r="Q251" s="1757"/>
      <c r="R251" s="1763"/>
      <c r="S251" s="1722"/>
      <c r="T251" s="1722"/>
      <c r="U251" s="1722"/>
      <c r="V251" s="1724"/>
      <c r="W251" s="1724"/>
      <c r="X251" s="1724"/>
      <c r="AM251" s="2095">
        <v>251</v>
      </c>
    </row>
    <row r="252" spans="1:39" s="1725" customFormat="1" ht="15.95" customHeight="1">
      <c r="A252" s="1746"/>
      <c r="B252" s="1734" t="s">
        <v>1973</v>
      </c>
      <c r="D252" s="1747"/>
      <c r="E252" s="1747"/>
      <c r="L252" s="1788"/>
      <c r="M252" s="1727"/>
      <c r="N252" s="2559"/>
      <c r="O252" s="1736"/>
      <c r="P252" s="1736"/>
      <c r="Q252" s="1757"/>
      <c r="R252" s="1763"/>
      <c r="S252" s="1722"/>
      <c r="T252" s="1722"/>
      <c r="U252" s="1722"/>
      <c r="V252" s="1724"/>
      <c r="W252" s="1724"/>
      <c r="X252" s="1724"/>
      <c r="AM252" s="2095">
        <v>252</v>
      </c>
    </row>
    <row r="253" spans="1:39" s="1725" customFormat="1" ht="30.75" customHeight="1">
      <c r="A253" s="1746"/>
      <c r="B253" s="2008" t="s">
        <v>1974</v>
      </c>
      <c r="C253" s="1724"/>
      <c r="D253" s="2009"/>
      <c r="E253" s="3821" t="s">
        <v>1975</v>
      </c>
      <c r="F253" s="3821"/>
      <c r="G253" s="3821"/>
      <c r="H253" s="2562" t="s">
        <v>1976</v>
      </c>
      <c r="I253" s="3822" t="s">
        <v>1977</v>
      </c>
      <c r="J253" s="3822"/>
      <c r="K253" s="3822"/>
      <c r="L253" s="3822"/>
      <c r="M253" s="3822"/>
      <c r="N253" s="3822"/>
      <c r="O253" s="3822"/>
      <c r="P253" s="3822"/>
      <c r="R253" s="1763"/>
      <c r="S253" s="1722"/>
      <c r="T253" s="1722"/>
      <c r="U253" s="1722"/>
      <c r="V253" s="1724"/>
      <c r="W253" s="1724"/>
      <c r="X253" s="1724"/>
      <c r="AM253" s="2095">
        <v>253</v>
      </c>
    </row>
    <row r="254" spans="1:39" s="1725" customFormat="1" ht="15.95" customHeight="1">
      <c r="A254" s="1746"/>
      <c r="B254" s="1725" t="s">
        <v>1978</v>
      </c>
      <c r="C254" s="1724"/>
      <c r="D254" s="2009"/>
      <c r="E254" s="3823" t="s">
        <v>1979</v>
      </c>
      <c r="F254" s="3824"/>
      <c r="G254" s="2052"/>
      <c r="H254" s="2010"/>
      <c r="I254" s="3823" t="s">
        <v>1980</v>
      </c>
      <c r="J254" s="3824"/>
      <c r="K254" s="3825"/>
      <c r="L254" s="3826"/>
      <c r="M254" s="3823">
        <v>130670314.14</v>
      </c>
      <c r="N254" s="3827"/>
      <c r="O254" s="3827"/>
      <c r="P254" s="3824"/>
      <c r="R254" s="1763"/>
      <c r="S254" s="1722"/>
      <c r="T254" s="1722"/>
      <c r="U254" s="1722"/>
      <c r="V254" s="1724"/>
      <c r="W254" s="1724"/>
      <c r="X254" s="1724"/>
      <c r="AM254" s="2095">
        <v>254</v>
      </c>
    </row>
    <row r="255" spans="1:39" s="1725" customFormat="1" ht="15.95" customHeight="1">
      <c r="A255" s="1746"/>
      <c r="B255" s="1725" t="s">
        <v>1981</v>
      </c>
      <c r="C255" s="1724"/>
      <c r="D255" s="2009"/>
      <c r="E255" s="3811" t="s">
        <v>1979</v>
      </c>
      <c r="F255" s="3812"/>
      <c r="G255" s="2053"/>
      <c r="H255" s="2011"/>
      <c r="I255" s="3811" t="s">
        <v>1982</v>
      </c>
      <c r="J255" s="3812"/>
      <c r="K255" s="3813"/>
      <c r="L255" s="3814"/>
      <c r="M255" s="3811">
        <v>130670314.15000001</v>
      </c>
      <c r="N255" s="3815"/>
      <c r="O255" s="3815"/>
      <c r="P255" s="3812"/>
      <c r="R255" s="1763"/>
      <c r="S255" s="1722"/>
      <c r="T255" s="1722"/>
      <c r="U255" s="1722"/>
      <c r="V255" s="1724"/>
      <c r="W255" s="1724"/>
      <c r="X255" s="1724"/>
      <c r="AM255" s="2094">
        <v>255</v>
      </c>
    </row>
    <row r="256" spans="1:39" s="1725" customFormat="1" ht="15.95" customHeight="1">
      <c r="A256" s="1746"/>
      <c r="B256" s="1725" t="s">
        <v>1983</v>
      </c>
      <c r="C256" s="1724"/>
      <c r="D256" s="2009"/>
      <c r="E256" s="3811" t="s">
        <v>1984</v>
      </c>
      <c r="F256" s="3812"/>
      <c r="G256" s="2053"/>
      <c r="H256" s="2011"/>
      <c r="I256" s="3811"/>
      <c r="J256" s="3812"/>
      <c r="K256" s="3813"/>
      <c r="L256" s="3814"/>
      <c r="M256" s="3811"/>
      <c r="N256" s="3815"/>
      <c r="O256" s="3815"/>
      <c r="P256" s="3812"/>
      <c r="R256" s="1763"/>
      <c r="S256" s="1722"/>
      <c r="T256" s="1722"/>
      <c r="U256" s="1722"/>
      <c r="V256" s="1724"/>
      <c r="W256" s="1724"/>
      <c r="X256" s="1724"/>
      <c r="AM256" s="2095">
        <v>256</v>
      </c>
    </row>
    <row r="257" spans="1:39" s="1725" customFormat="1" ht="15.95" customHeight="1">
      <c r="A257" s="1746"/>
      <c r="B257" s="1725" t="s">
        <v>1985</v>
      </c>
      <c r="C257" s="1747"/>
      <c r="D257" s="1747"/>
      <c r="E257" s="3811" t="s">
        <v>1979</v>
      </c>
      <c r="F257" s="3812"/>
      <c r="G257" s="2053"/>
      <c r="H257" s="2056">
        <v>2022</v>
      </c>
      <c r="I257" s="3811" t="s">
        <v>1980</v>
      </c>
      <c r="J257" s="3812"/>
      <c r="K257" s="3813"/>
      <c r="L257" s="3814"/>
      <c r="M257" s="3811">
        <v>130670314.14</v>
      </c>
      <c r="N257" s="3815"/>
      <c r="O257" s="3815"/>
      <c r="P257" s="3812"/>
      <c r="R257" s="1763"/>
      <c r="S257" s="1722"/>
      <c r="T257" s="1722"/>
      <c r="U257" s="1722"/>
      <c r="V257" s="1724"/>
      <c r="W257" s="1724"/>
      <c r="X257" s="1724"/>
      <c r="AM257" s="2094">
        <v>257</v>
      </c>
    </row>
    <row r="258" spans="1:39" s="1725" customFormat="1" ht="15.95" customHeight="1">
      <c r="A258" s="1746"/>
      <c r="B258" s="1725" t="s">
        <v>1986</v>
      </c>
      <c r="C258" s="1747"/>
      <c r="D258" s="1747"/>
      <c r="E258" s="3830" t="s">
        <v>1979</v>
      </c>
      <c r="F258" s="3831"/>
      <c r="G258" s="2054"/>
      <c r="H258" s="2057">
        <v>2022</v>
      </c>
      <c r="I258" s="3830" t="s">
        <v>1980</v>
      </c>
      <c r="J258" s="3831"/>
      <c r="K258" s="3832"/>
      <c r="L258" s="3833"/>
      <c r="M258" s="3830">
        <v>130670314.14</v>
      </c>
      <c r="N258" s="3834"/>
      <c r="O258" s="3834"/>
      <c r="P258" s="3831"/>
      <c r="R258" s="1763"/>
      <c r="S258" s="1722"/>
      <c r="T258" s="1722"/>
      <c r="U258" s="1722"/>
      <c r="V258" s="1724"/>
      <c r="W258" s="1724"/>
      <c r="X258" s="1724"/>
      <c r="AM258" s="2094">
        <v>258</v>
      </c>
    </row>
    <row r="259" spans="1:39" ht="15.95" customHeight="1">
      <c r="A259" s="1725"/>
      <c r="B259" s="1745" t="s">
        <v>1794</v>
      </c>
      <c r="C259" s="1725"/>
      <c r="D259" s="1725"/>
      <c r="E259" s="1725"/>
      <c r="F259" s="1725"/>
      <c r="G259" s="1725"/>
      <c r="H259" s="1725"/>
      <c r="I259" s="1725"/>
      <c r="J259" s="1725"/>
      <c r="K259" s="1725"/>
      <c r="M259" s="2559"/>
      <c r="N259" s="2558"/>
      <c r="O259" s="1736"/>
      <c r="AM259" s="2094">
        <v>259</v>
      </c>
    </row>
    <row r="260" spans="1:39" ht="36" customHeight="1">
      <c r="A260" s="3723" t="s">
        <v>1987</v>
      </c>
      <c r="B260" s="3724"/>
      <c r="C260" s="3724"/>
      <c r="D260" s="3724"/>
      <c r="E260" s="3724"/>
      <c r="F260" s="3724"/>
      <c r="G260" s="3724"/>
      <c r="H260" s="3724"/>
      <c r="I260" s="3724"/>
      <c r="J260" s="3724"/>
      <c r="K260" s="3724"/>
      <c r="L260" s="3724"/>
      <c r="M260" s="3724"/>
      <c r="N260" s="3724"/>
      <c r="O260" s="3724"/>
      <c r="P260" s="3725"/>
      <c r="Q260" s="1802"/>
      <c r="AM260" s="2094">
        <v>260</v>
      </c>
    </row>
    <row r="261" spans="1:39" ht="15.95" customHeight="1">
      <c r="A261" s="1725"/>
      <c r="B261" s="1781" t="s">
        <v>1447</v>
      </c>
      <c r="C261" s="1725"/>
      <c r="D261" s="1781"/>
      <c r="E261" s="2563"/>
      <c r="F261" s="2563"/>
      <c r="G261" s="2563"/>
      <c r="H261" s="2563"/>
      <c r="I261" s="2563"/>
      <c r="J261" s="2563"/>
      <c r="K261" s="2563"/>
      <c r="L261" s="2563"/>
      <c r="M261" s="2563"/>
      <c r="N261" s="1784"/>
      <c r="O261" s="1785"/>
      <c r="P261" s="1727"/>
      <c r="AM261" s="2095">
        <v>261</v>
      </c>
    </row>
    <row r="262" spans="1:39" ht="15.95" customHeight="1">
      <c r="A262" s="3700"/>
      <c r="B262" s="3701"/>
      <c r="C262" s="3701"/>
      <c r="D262" s="3701"/>
      <c r="E262" s="3701"/>
      <c r="F262" s="3701"/>
      <c r="G262" s="3701"/>
      <c r="H262" s="3701"/>
      <c r="I262" s="3701"/>
      <c r="J262" s="3701"/>
      <c r="K262" s="3701"/>
      <c r="L262" s="3701"/>
      <c r="M262" s="3701"/>
      <c r="N262" s="3701"/>
      <c r="O262" s="3701"/>
      <c r="P262" s="3702"/>
      <c r="Q262" s="1786"/>
      <c r="AM262" s="2095">
        <v>262</v>
      </c>
    </row>
    <row r="263" spans="1:39" ht="9.75" customHeight="1">
      <c r="N263" s="2558"/>
      <c r="AM263" s="2095">
        <v>263</v>
      </c>
    </row>
    <row r="264" spans="1:39" ht="9.75" customHeight="1" thickBot="1">
      <c r="N264" s="2558"/>
      <c r="AM264" s="2095">
        <v>264</v>
      </c>
    </row>
    <row r="265" spans="1:39" s="1725" customFormat="1" ht="15.95" customHeight="1" thickBot="1">
      <c r="A265" s="1746" t="s">
        <v>1547</v>
      </c>
      <c r="B265" s="1747" t="s">
        <v>1988</v>
      </c>
      <c r="D265" s="1747"/>
      <c r="E265" s="1747"/>
      <c r="G265" s="1787"/>
      <c r="J265" s="1788" t="str">
        <f>IF(OR($O$206&gt;0,$O$238&gt;0,$O$303&gt;0),"Points already claimed in another restricted section!","")</f>
        <v>Points already claimed in another restricted section!</v>
      </c>
      <c r="L265" s="1923" t="str">
        <f>IF(AND(O265&gt;0,NOT($F$12="New Affordability")), "Not New Affordability!","")</f>
        <v/>
      </c>
      <c r="M265" s="1727">
        <v>10</v>
      </c>
      <c r="N265" s="2559"/>
      <c r="O265" s="1756">
        <f>IF(AND($F$12="New Affordability",$C$16="Community Designations"),IF(OR(O$206&gt;0,O$238&gt;0,O$303&gt;0),0,IF(OR(O266="Yes",O267="Yes"),$M$265,0)),0)</f>
        <v>0</v>
      </c>
      <c r="P265" s="1756">
        <f>IF(AND($H$12="New Affordability",$H$16="Community Designations"),IF(OR(P$206&gt;0,P$238&gt;0,P$303&gt;0),0,IF(OR(P266="Yes",P267="Yes"),$M$265,0)),0)</f>
        <v>0</v>
      </c>
      <c r="Q265" s="1757" t="s">
        <v>795</v>
      </c>
      <c r="R265" s="2049" t="s">
        <v>1932</v>
      </c>
      <c r="S265" s="1722"/>
      <c r="T265" s="1722"/>
      <c r="U265" s="1722"/>
      <c r="V265" s="2050" t="str">
        <f>$C$16</f>
        <v>Stable Communities</v>
      </c>
      <c r="AM265" s="2094">
        <v>265</v>
      </c>
    </row>
    <row r="266" spans="1:39" ht="15.95" customHeight="1">
      <c r="A266" s="1727" t="s">
        <v>197</v>
      </c>
      <c r="B266" s="1794" t="s">
        <v>1989</v>
      </c>
      <c r="D266" s="1774"/>
      <c r="E266" s="1774"/>
      <c r="F266" s="1774"/>
      <c r="G266" s="1774"/>
      <c r="H266" s="1774"/>
      <c r="L266" s="1774"/>
      <c r="M266" s="3828" t="str">
        <f>IF(AND(O266="Yes",O267="Yes"),"Only one category can be selected!","")</f>
        <v/>
      </c>
      <c r="N266" s="1760"/>
      <c r="O266" s="1635"/>
      <c r="P266" s="1766"/>
      <c r="Q266" s="2556"/>
      <c r="R266" s="1722"/>
      <c r="S266" s="1722"/>
      <c r="T266" s="1722"/>
      <c r="U266" s="1722"/>
      <c r="V266" s="1722"/>
      <c r="AM266" s="2095">
        <v>266</v>
      </c>
    </row>
    <row r="267" spans="1:39" ht="15.95" customHeight="1">
      <c r="A267" s="1727" t="s">
        <v>209</v>
      </c>
      <c r="B267" s="1794" t="s">
        <v>1990</v>
      </c>
      <c r="D267" s="1774"/>
      <c r="L267" s="1774"/>
      <c r="M267" s="3828"/>
      <c r="N267" s="1760"/>
      <c r="O267" s="1634"/>
      <c r="P267" s="1769"/>
      <c r="Q267" s="2556"/>
      <c r="R267" s="1722"/>
      <c r="S267" s="1722"/>
      <c r="T267" s="1722"/>
      <c r="U267" s="1722"/>
      <c r="V267" s="1722"/>
      <c r="AM267" s="2094">
        <v>267</v>
      </c>
    </row>
    <row r="268" spans="1:39" ht="15.95" customHeight="1">
      <c r="A268" s="1725"/>
      <c r="B268" s="1745" t="s">
        <v>1794</v>
      </c>
      <c r="C268" s="1725"/>
      <c r="D268" s="1725"/>
      <c r="E268" s="1725"/>
      <c r="F268" s="1725"/>
      <c r="G268" s="1725"/>
      <c r="H268" s="1725"/>
      <c r="I268" s="1725"/>
      <c r="J268" s="1725"/>
      <c r="K268" s="1725"/>
      <c r="M268" s="2559"/>
      <c r="N268" s="2558"/>
      <c r="O268" s="1736"/>
      <c r="R268" s="1722"/>
      <c r="S268" s="1722"/>
      <c r="T268" s="1722"/>
      <c r="U268" s="1722"/>
      <c r="V268" s="1722"/>
      <c r="AM268" s="2094">
        <v>268</v>
      </c>
    </row>
    <row r="269" spans="1:39" ht="15.95" customHeight="1">
      <c r="A269" s="3723" t="s">
        <v>1991</v>
      </c>
      <c r="B269" s="3724"/>
      <c r="C269" s="3724"/>
      <c r="D269" s="3724"/>
      <c r="E269" s="3724"/>
      <c r="F269" s="3724"/>
      <c r="G269" s="3724"/>
      <c r="H269" s="3724"/>
      <c r="I269" s="3724"/>
      <c r="J269" s="3724"/>
      <c r="K269" s="3724"/>
      <c r="L269" s="3724"/>
      <c r="M269" s="3724"/>
      <c r="N269" s="3724"/>
      <c r="O269" s="3724"/>
      <c r="P269" s="3725"/>
      <c r="Q269" s="1802"/>
      <c r="AM269" s="2094">
        <v>269</v>
      </c>
    </row>
    <row r="270" spans="1:39" ht="15.95" customHeight="1">
      <c r="A270" s="1725"/>
      <c r="B270" s="1781" t="s">
        <v>1447</v>
      </c>
      <c r="C270" s="1725"/>
      <c r="D270" s="1781"/>
      <c r="E270" s="2563"/>
      <c r="F270" s="2563"/>
      <c r="G270" s="2563"/>
      <c r="H270" s="2563"/>
      <c r="I270" s="2563"/>
      <c r="J270" s="2563"/>
      <c r="K270" s="2563"/>
      <c r="L270" s="2563"/>
      <c r="M270" s="2563"/>
      <c r="N270" s="1784"/>
      <c r="O270" s="1785"/>
      <c r="P270" s="1727"/>
      <c r="AM270" s="2095">
        <v>270</v>
      </c>
    </row>
    <row r="271" spans="1:39" ht="15.95" customHeight="1">
      <c r="A271" s="3700"/>
      <c r="B271" s="3701"/>
      <c r="C271" s="3701"/>
      <c r="D271" s="3701"/>
      <c r="E271" s="3701"/>
      <c r="F271" s="3701"/>
      <c r="G271" s="3701"/>
      <c r="H271" s="3701"/>
      <c r="I271" s="3701"/>
      <c r="J271" s="3701"/>
      <c r="K271" s="3701"/>
      <c r="L271" s="3701"/>
      <c r="M271" s="3701"/>
      <c r="N271" s="3701"/>
      <c r="O271" s="3701"/>
      <c r="P271" s="3702"/>
      <c r="Q271" s="1786"/>
      <c r="AM271" s="2095">
        <v>271</v>
      </c>
    </row>
    <row r="272" spans="1:39" ht="9.75" customHeight="1">
      <c r="N272" s="2558"/>
      <c r="AM272" s="2095">
        <v>272</v>
      </c>
    </row>
    <row r="273" spans="1:39" ht="9.75" customHeight="1" thickBot="1">
      <c r="N273" s="2558"/>
      <c r="AM273" s="2095">
        <v>273</v>
      </c>
    </row>
    <row r="274" spans="1:39" ht="15.95" customHeight="1" thickBot="1">
      <c r="A274" s="1746" t="s">
        <v>1568</v>
      </c>
      <c r="B274" s="1747" t="s">
        <v>1992</v>
      </c>
      <c r="E274" s="1763" t="str">
        <f>IF(AND(O274&gt;0,NOT($F$12="New Affordability"),NOT($O$12="9%")), "Ineligible, not New Affordability and 9%!","")</f>
        <v/>
      </c>
      <c r="G274" s="1895" t="str">
        <f>$O$12</f>
        <v>9%</v>
      </c>
      <c r="H274" s="1820" t="str">
        <f>$J$12</f>
        <v>Atlanta Metro</v>
      </c>
      <c r="L274" s="1755" t="s">
        <v>1767</v>
      </c>
      <c r="M274" s="1727">
        <v>4</v>
      </c>
      <c r="N274" s="2559"/>
      <c r="O274" s="1756">
        <f>IF(AND($F$12="New Affordability",O275="Yes",$G$274="9%",OR($H$274="Atlanta Metro",$H$274= "Other Metro")),4,IF(AND($F$12="New Affordability",O275="Yes"),3,0))</f>
        <v>0</v>
      </c>
      <c r="P274" s="1756">
        <f>IF(AND(P275="Yes",$G$274="9%",OR($L$274="Atlanta Metro",$L$274= "Other Metro")),4,IF(P275="Yes",3,0))</f>
        <v>0</v>
      </c>
      <c r="Q274" s="1757" t="s">
        <v>795</v>
      </c>
      <c r="R274" s="1763"/>
      <c r="S274" s="1722"/>
      <c r="T274" s="1722"/>
      <c r="U274" s="1722"/>
      <c r="V274" s="1722"/>
      <c r="W274" s="1924"/>
      <c r="X274" s="1924"/>
      <c r="AM274" s="2094">
        <v>274</v>
      </c>
    </row>
    <row r="275" spans="1:39" ht="15.95" customHeight="1">
      <c r="A275" s="1925"/>
      <c r="B275" s="1775" t="s">
        <v>1993</v>
      </c>
      <c r="C275" s="1775"/>
      <c r="D275" s="1775"/>
      <c r="E275" s="1775"/>
      <c r="F275" s="1775"/>
      <c r="N275" s="1777"/>
      <c r="O275" s="1648"/>
      <c r="P275" s="1868"/>
      <c r="Q275" s="1926"/>
      <c r="R275" s="1874"/>
      <c r="S275" s="1874"/>
      <c r="T275" s="1874"/>
      <c r="W275" s="1874"/>
      <c r="X275" s="1874"/>
      <c r="Y275" s="1874"/>
      <c r="Z275" s="1874"/>
      <c r="AA275" s="1874"/>
      <c r="AM275" s="2095">
        <v>275</v>
      </c>
    </row>
    <row r="276" spans="1:39" ht="15.95" customHeight="1">
      <c r="A276" s="1925"/>
      <c r="B276" s="1775"/>
      <c r="C276" s="1775"/>
      <c r="D276" s="1775"/>
      <c r="E276" s="1775"/>
      <c r="F276" s="1775"/>
      <c r="G276" s="2558" t="s">
        <v>1994</v>
      </c>
      <c r="H276" s="3648" t="s">
        <v>53</v>
      </c>
      <c r="I276" s="3648"/>
      <c r="J276" s="3648"/>
      <c r="K276" s="3829" t="s">
        <v>1995</v>
      </c>
      <c r="L276" s="3829"/>
      <c r="M276" s="3829"/>
      <c r="N276" s="2561"/>
      <c r="O276" s="2561"/>
      <c r="P276" s="2561"/>
      <c r="Q276" s="1874"/>
      <c r="R276" s="1874"/>
      <c r="S276" s="1874"/>
      <c r="T276" s="1874"/>
      <c r="W276" s="1874"/>
      <c r="X276" s="1874"/>
      <c r="Y276" s="1874"/>
      <c r="Z276" s="1874"/>
      <c r="AA276" s="1874"/>
      <c r="AM276" s="2094">
        <v>276</v>
      </c>
    </row>
    <row r="277" spans="1:39" ht="15.95" customHeight="1">
      <c r="A277" s="1925"/>
      <c r="B277" s="1925"/>
      <c r="D277" s="2564" t="s">
        <v>1996</v>
      </c>
      <c r="G277" s="1649"/>
      <c r="H277" s="3837"/>
      <c r="I277" s="3838"/>
      <c r="J277" s="3839"/>
      <c r="K277" s="3840"/>
      <c r="L277" s="3840"/>
      <c r="M277" s="3840"/>
      <c r="N277" s="1777"/>
      <c r="O277" s="1867"/>
      <c r="P277" s="1867"/>
      <c r="Q277" s="1874"/>
      <c r="R277" s="1874"/>
      <c r="S277" s="1874"/>
      <c r="T277" s="1874"/>
      <c r="W277" s="1874"/>
      <c r="X277" s="1874"/>
      <c r="Y277" s="1874"/>
      <c r="Z277" s="1874"/>
      <c r="AA277" s="1874"/>
      <c r="AM277" s="2094">
        <v>277</v>
      </c>
    </row>
    <row r="278" spans="1:39" s="1725" customFormat="1" ht="15.95" customHeight="1">
      <c r="A278" s="1806"/>
      <c r="B278" s="1925"/>
      <c r="D278" s="1754" t="s">
        <v>1997</v>
      </c>
      <c r="G278" s="1650"/>
      <c r="H278" s="3841"/>
      <c r="I278" s="3842"/>
      <c r="J278" s="3843"/>
      <c r="K278" s="3844"/>
      <c r="L278" s="3844"/>
      <c r="M278" s="3844"/>
      <c r="AM278" s="2094">
        <v>278</v>
      </c>
    </row>
    <row r="279" spans="1:39" ht="15.95" hidden="1" customHeight="1">
      <c r="A279" s="1725"/>
      <c r="D279" s="1725"/>
      <c r="E279" s="1725"/>
      <c r="F279" s="1727"/>
      <c r="G279" s="1727"/>
      <c r="H279" s="1727"/>
      <c r="I279" s="1727"/>
      <c r="J279" s="1754"/>
      <c r="K279" s="1754"/>
      <c r="L279" s="1754"/>
      <c r="M279" s="2559"/>
      <c r="N279" s="1727"/>
      <c r="P279" s="1736"/>
      <c r="AM279" s="2094">
        <v>279</v>
      </c>
    </row>
    <row r="280" spans="1:39" ht="15.95" customHeight="1">
      <c r="A280" s="1725"/>
      <c r="B280" s="1745" t="s">
        <v>1794</v>
      </c>
      <c r="C280" s="1725"/>
      <c r="D280" s="1725"/>
      <c r="E280" s="1725"/>
      <c r="F280" s="1725"/>
      <c r="G280" s="1725"/>
      <c r="H280" s="1725"/>
      <c r="I280" s="1725"/>
      <c r="J280" s="1725"/>
      <c r="K280" s="1725"/>
      <c r="M280" s="2559"/>
      <c r="N280" s="2558"/>
      <c r="O280" s="1736"/>
      <c r="AM280" s="2094">
        <v>280</v>
      </c>
    </row>
    <row r="281" spans="1:39" ht="15.95" customHeight="1">
      <c r="A281" s="3723" t="s">
        <v>1998</v>
      </c>
      <c r="B281" s="3724"/>
      <c r="C281" s="3724"/>
      <c r="D281" s="3724"/>
      <c r="E281" s="3724"/>
      <c r="F281" s="3724"/>
      <c r="G281" s="3724"/>
      <c r="H281" s="3724"/>
      <c r="I281" s="3724"/>
      <c r="J281" s="3724"/>
      <c r="K281" s="3724"/>
      <c r="L281" s="3724"/>
      <c r="M281" s="3724"/>
      <c r="N281" s="3724"/>
      <c r="O281" s="3724"/>
      <c r="P281" s="3725"/>
      <c r="Q281" s="1802"/>
      <c r="AM281" s="2094">
        <v>281</v>
      </c>
    </row>
    <row r="282" spans="1:39" ht="15.95" customHeight="1">
      <c r="B282" s="1781" t="s">
        <v>1447</v>
      </c>
      <c r="C282" s="1782"/>
      <c r="D282" s="1781"/>
      <c r="E282" s="1783"/>
      <c r="F282" s="2563"/>
      <c r="G282" s="2563"/>
      <c r="H282" s="2563"/>
      <c r="I282" s="2563"/>
      <c r="J282" s="2563"/>
      <c r="K282" s="2563"/>
      <c r="L282" s="2563"/>
      <c r="M282" s="2563"/>
      <c r="N282" s="1784"/>
      <c r="O282" s="1785"/>
      <c r="P282" s="1727"/>
      <c r="AM282" s="2095">
        <v>282</v>
      </c>
    </row>
    <row r="283" spans="1:39" ht="15.95" customHeight="1">
      <c r="A283" s="3700"/>
      <c r="B283" s="3701"/>
      <c r="C283" s="3701"/>
      <c r="D283" s="3701"/>
      <c r="E283" s="3701"/>
      <c r="F283" s="3701"/>
      <c r="G283" s="3701"/>
      <c r="H283" s="3701"/>
      <c r="I283" s="3701"/>
      <c r="J283" s="3701"/>
      <c r="K283" s="3701"/>
      <c r="L283" s="3701"/>
      <c r="M283" s="3701"/>
      <c r="N283" s="3701"/>
      <c r="O283" s="3701"/>
      <c r="P283" s="3702"/>
      <c r="Q283" s="1786"/>
      <c r="AM283" s="2095">
        <v>283</v>
      </c>
    </row>
    <row r="284" spans="1:39" ht="9.75" customHeight="1">
      <c r="N284" s="2558"/>
      <c r="AM284" s="2095">
        <v>284</v>
      </c>
    </row>
    <row r="285" spans="1:39" ht="9.75" customHeight="1" thickBot="1">
      <c r="N285" s="2558"/>
      <c r="AM285" s="2094">
        <v>285</v>
      </c>
    </row>
    <row r="286" spans="1:39" ht="15.95" customHeight="1" thickBot="1">
      <c r="A286" s="1746" t="s">
        <v>1578</v>
      </c>
      <c r="B286" s="1747" t="s">
        <v>1999</v>
      </c>
      <c r="G286" s="1758"/>
      <c r="I286" s="1788" t="str">
        <f>IF($O$274&gt;0,"Points already claimed in another restricted section!","")</f>
        <v/>
      </c>
      <c r="K286" s="1923" t="str">
        <f>IF(AND(SUM(O288,O291,O294)&gt;0,NOT($F$12="New Affordability"),NOT($O$12="9%")), "Not 9% New Affordability!","")</f>
        <v/>
      </c>
      <c r="L286" s="1755" t="s">
        <v>1767</v>
      </c>
      <c r="M286" s="1727">
        <v>5</v>
      </c>
      <c r="N286" s="2559"/>
      <c r="O286" s="1756">
        <f>IF(AND(O274=0,$F$12="New Affordability",$O$12="9%"),MIN($M286,MAX(O288,O291,O294)),0)</f>
        <v>5</v>
      </c>
      <c r="P286" s="1756">
        <f>IF(AND(P274=0,$H$12="New Affordability",$O$12="9%"),MIN($M286,MAX(P288,P291,P294)),0)</f>
        <v>0</v>
      </c>
      <c r="Q286" s="1757" t="s">
        <v>795</v>
      </c>
      <c r="R286" s="1763"/>
      <c r="S286" s="1722"/>
      <c r="T286" s="1722"/>
      <c r="U286" s="1722"/>
      <c r="V286" s="1722"/>
      <c r="W286" s="1924"/>
      <c r="X286" s="1924"/>
      <c r="AM286" s="2094">
        <v>286</v>
      </c>
    </row>
    <row r="287" spans="1:39" ht="15" customHeight="1">
      <c r="B287" s="1724" t="s">
        <v>2000</v>
      </c>
      <c r="N287" s="2558"/>
      <c r="AM287" s="2095">
        <v>287</v>
      </c>
    </row>
    <row r="288" spans="1:39" s="1725" customFormat="1" ht="15.95" customHeight="1">
      <c r="A288" s="1727" t="s">
        <v>197</v>
      </c>
      <c r="B288" s="1734" t="s">
        <v>2001</v>
      </c>
      <c r="L288" s="1821" t="s">
        <v>1767</v>
      </c>
      <c r="M288" s="2559">
        <v>5</v>
      </c>
      <c r="N288" s="1760"/>
      <c r="O288" s="1640">
        <v>5</v>
      </c>
      <c r="P288" s="1887"/>
      <c r="Q288" s="1762" t="str">
        <f>IF(OR($O288&lt;=$M288,$O288=""),"","*CHECK!*")</f>
        <v/>
      </c>
      <c r="R288" s="1763"/>
      <c r="S288" s="1722"/>
      <c r="T288" s="1722"/>
      <c r="U288" s="1722"/>
      <c r="V288" s="1722"/>
      <c r="AM288" s="2094">
        <v>288</v>
      </c>
    </row>
    <row r="289" spans="1:39" ht="15.75" customHeight="1">
      <c r="C289" s="1724" t="s">
        <v>2002</v>
      </c>
      <c r="N289" s="2558"/>
      <c r="O289" s="1644">
        <v>0</v>
      </c>
      <c r="P289" s="1847"/>
      <c r="AM289" s="2094">
        <v>289</v>
      </c>
    </row>
    <row r="290" spans="1:39" ht="15.75" customHeight="1">
      <c r="C290" s="1724" t="s">
        <v>2003</v>
      </c>
      <c r="N290" s="2558"/>
      <c r="O290" s="1648" t="s">
        <v>1205</v>
      </c>
      <c r="P290" s="1848"/>
      <c r="AM290" s="2095">
        <v>290</v>
      </c>
    </row>
    <row r="291" spans="1:39" s="1725" customFormat="1" ht="15.95" customHeight="1">
      <c r="A291" s="1727" t="s">
        <v>209</v>
      </c>
      <c r="B291" s="1734" t="s">
        <v>2004</v>
      </c>
      <c r="L291" s="1821" t="s">
        <v>1767</v>
      </c>
      <c r="M291" s="2559">
        <v>3</v>
      </c>
      <c r="N291" s="1760"/>
      <c r="O291" s="1642"/>
      <c r="P291" s="1838"/>
      <c r="Q291" s="1762" t="str">
        <f>IF(OR($O291&lt;=$M291,$O291=""),"","*CHECK!*")</f>
        <v/>
      </c>
      <c r="R291" s="1763"/>
      <c r="AM291" s="2095">
        <v>291</v>
      </c>
    </row>
    <row r="292" spans="1:39" ht="15.75" customHeight="1">
      <c r="C292" s="1724" t="s">
        <v>2005</v>
      </c>
      <c r="N292" s="2558"/>
      <c r="O292" s="1721"/>
      <c r="P292" s="1836"/>
      <c r="AM292" s="2095">
        <v>292</v>
      </c>
    </row>
    <row r="293" spans="1:39" ht="15" customHeight="1">
      <c r="C293" s="1724" t="s">
        <v>2006</v>
      </c>
      <c r="N293" s="2558"/>
      <c r="O293" s="1648"/>
      <c r="P293" s="1850"/>
      <c r="AM293" s="2095">
        <v>293</v>
      </c>
    </row>
    <row r="294" spans="1:39" ht="15.95" customHeight="1">
      <c r="A294" s="1727" t="s">
        <v>230</v>
      </c>
      <c r="B294" s="1734" t="s">
        <v>2007</v>
      </c>
      <c r="G294" s="1754"/>
      <c r="I294" s="1758"/>
      <c r="L294" s="1821" t="s">
        <v>1767</v>
      </c>
      <c r="M294" s="2559">
        <v>3</v>
      </c>
      <c r="N294" s="1760"/>
      <c r="O294" s="1644"/>
      <c r="P294" s="1847"/>
      <c r="Q294" s="1762" t="str">
        <f>IF(OR($O294&lt;=$M294,$O294=""),"","*CHECK!*")</f>
        <v/>
      </c>
      <c r="R294" s="1763"/>
      <c r="AM294" s="2094">
        <v>294</v>
      </c>
    </row>
    <row r="295" spans="1:39" ht="15.75" customHeight="1">
      <c r="C295" s="1724" t="s">
        <v>2008</v>
      </c>
      <c r="N295" s="2558"/>
      <c r="O295" s="1715"/>
      <c r="P295" s="1716"/>
      <c r="AM295" s="2095">
        <v>295</v>
      </c>
    </row>
    <row r="296" spans="1:39" ht="9.75" customHeight="1">
      <c r="N296" s="2558"/>
      <c r="AM296" s="2094">
        <v>296</v>
      </c>
    </row>
    <row r="297" spans="1:39" ht="15.95" customHeight="1">
      <c r="A297" s="1725"/>
      <c r="B297" s="1745" t="s">
        <v>1794</v>
      </c>
      <c r="C297" s="1725"/>
      <c r="D297" s="1725"/>
      <c r="E297" s="1725"/>
      <c r="F297" s="1725"/>
      <c r="G297" s="1725"/>
      <c r="H297" s="1725"/>
      <c r="I297" s="1725"/>
      <c r="J297" s="1725"/>
      <c r="K297" s="1725"/>
      <c r="M297" s="2559"/>
      <c r="N297" s="2558"/>
      <c r="O297" s="1736"/>
      <c r="AM297" s="2094">
        <v>297</v>
      </c>
    </row>
    <row r="298" spans="1:39" ht="48" customHeight="1">
      <c r="A298" s="3723" t="s">
        <v>2009</v>
      </c>
      <c r="B298" s="3724"/>
      <c r="C298" s="3724"/>
      <c r="D298" s="3724"/>
      <c r="E298" s="3724"/>
      <c r="F298" s="3724"/>
      <c r="G298" s="3724"/>
      <c r="H298" s="3724"/>
      <c r="I298" s="3724"/>
      <c r="J298" s="3724"/>
      <c r="K298" s="3724"/>
      <c r="L298" s="3724"/>
      <c r="M298" s="3724"/>
      <c r="N298" s="3724"/>
      <c r="O298" s="3724"/>
      <c r="P298" s="3725"/>
      <c r="Q298" s="1802"/>
      <c r="AM298" s="2094">
        <v>298</v>
      </c>
    </row>
    <row r="299" spans="1:39" ht="15.95" customHeight="1">
      <c r="B299" s="1781" t="s">
        <v>1447</v>
      </c>
      <c r="C299" s="1782"/>
      <c r="D299" s="1781"/>
      <c r="E299" s="1783"/>
      <c r="F299" s="2563"/>
      <c r="G299" s="2563"/>
      <c r="H299" s="2563"/>
      <c r="I299" s="2563"/>
      <c r="J299" s="2563"/>
      <c r="K299" s="2563"/>
      <c r="L299" s="2563"/>
      <c r="M299" s="2563"/>
      <c r="N299" s="1784"/>
      <c r="O299" s="1785"/>
      <c r="P299" s="1727"/>
      <c r="AM299" s="2094">
        <v>299</v>
      </c>
    </row>
    <row r="300" spans="1:39" ht="15.95" customHeight="1">
      <c r="A300" s="3700"/>
      <c r="B300" s="3701"/>
      <c r="C300" s="3701"/>
      <c r="D300" s="3701"/>
      <c r="E300" s="3701"/>
      <c r="F300" s="3701"/>
      <c r="G300" s="3701"/>
      <c r="H300" s="3701"/>
      <c r="I300" s="3701"/>
      <c r="J300" s="3701"/>
      <c r="K300" s="3701"/>
      <c r="L300" s="3701"/>
      <c r="M300" s="3701"/>
      <c r="N300" s="3701"/>
      <c r="O300" s="3701"/>
      <c r="P300" s="3702"/>
      <c r="Q300" s="1786"/>
      <c r="AM300" s="2095">
        <v>300</v>
      </c>
    </row>
    <row r="301" spans="1:39" ht="9.75" customHeight="1">
      <c r="N301" s="2558"/>
      <c r="AM301" s="2095">
        <v>301</v>
      </c>
    </row>
    <row r="302" spans="1:39" ht="9.75" customHeight="1" thickBot="1">
      <c r="N302" s="2558"/>
      <c r="AM302" s="2095">
        <v>302</v>
      </c>
    </row>
    <row r="303" spans="1:39" s="1725" customFormat="1" ht="15.95" customHeight="1" thickBot="1">
      <c r="A303" s="1746" t="s">
        <v>1589</v>
      </c>
      <c r="B303" s="1747" t="s">
        <v>2010</v>
      </c>
      <c r="D303" s="1747"/>
      <c r="E303" s="1747"/>
      <c r="G303" s="1787"/>
      <c r="J303" s="1788" t="str">
        <f>IF(OR($O$206&gt;0,$O$238&gt;0,$O$265&gt;0),"Points already claimed in another restricted section!","")</f>
        <v>Points already claimed in another restricted section!</v>
      </c>
      <c r="K303" s="1788" t="str">
        <f>IF(AND(O303&gt;0,NOT($F$12="New Affordability")), "Not New Affordability!","")</f>
        <v/>
      </c>
      <c r="L303" s="1755" t="s">
        <v>1767</v>
      </c>
      <c r="M303" s="1727">
        <v>10</v>
      </c>
      <c r="N303" s="2559"/>
      <c r="O303" s="1756">
        <f>IF(OR($J$12="Atlanta Metro",O$206&gt;0,O$238&gt;0,O$265&gt;0),0,IF(AND($F$12="New Affordability",$O$12="9%",O309+O310&lt;=$M303),O309+O310,0))</f>
        <v>0</v>
      </c>
      <c r="P303" s="1756">
        <f>IF(AND($H$12="New Affordability",NOT($L$12="Atlanta Metro"),$O$12="9%",P309+P310&lt;=$M303),P309+P310,0)</f>
        <v>0</v>
      </c>
      <c r="Q303" s="1757" t="s">
        <v>795</v>
      </c>
      <c r="R303" s="2049" t="s">
        <v>1932</v>
      </c>
      <c r="S303" s="1722"/>
      <c r="T303" s="1722"/>
      <c r="U303" s="1722"/>
      <c r="V303" s="2050" t="str">
        <f>$C$16</f>
        <v>Stable Communities</v>
      </c>
      <c r="AM303" s="2095">
        <v>303</v>
      </c>
    </row>
    <row r="304" spans="1:39" s="1725" customFormat="1" ht="3.75" customHeight="1">
      <c r="A304" s="1746"/>
      <c r="B304" s="1747"/>
      <c r="D304" s="1747"/>
      <c r="E304" s="1747"/>
      <c r="L304" s="1788"/>
      <c r="M304" s="1727"/>
      <c r="N304" s="2559"/>
      <c r="O304" s="1736"/>
      <c r="P304" s="1736"/>
      <c r="Q304" s="1757"/>
      <c r="R304" s="1763"/>
      <c r="S304" s="1722"/>
      <c r="T304" s="1722"/>
      <c r="U304" s="1722"/>
      <c r="V304" s="1724"/>
      <c r="W304" s="1724"/>
      <c r="X304" s="1724"/>
      <c r="AM304" s="2094">
        <v>304</v>
      </c>
    </row>
    <row r="305" spans="1:48" s="1725" customFormat="1" ht="15.95" customHeight="1">
      <c r="A305" s="1746"/>
      <c r="C305" s="1906" t="s">
        <v>2011</v>
      </c>
      <c r="D305" s="1907"/>
      <c r="E305" s="1907"/>
      <c r="F305" s="1908"/>
      <c r="G305" s="1908"/>
      <c r="H305" s="1908"/>
      <c r="I305" s="1908"/>
      <c r="J305" s="1909" t="s">
        <v>1758</v>
      </c>
      <c r="K305" s="1910" t="s">
        <v>1749</v>
      </c>
      <c r="L305" s="1911"/>
      <c r="M305" s="1727"/>
      <c r="N305" s="2559"/>
      <c r="O305" s="1736"/>
      <c r="P305" s="1736"/>
      <c r="Q305" s="1757"/>
      <c r="R305" s="1763"/>
      <c r="S305" s="1722"/>
      <c r="T305" s="1722"/>
      <c r="U305" s="1722"/>
      <c r="V305" s="1724"/>
      <c r="W305" s="1724"/>
      <c r="X305" s="1724"/>
      <c r="AM305" s="2095">
        <v>305</v>
      </c>
    </row>
    <row r="306" spans="1:48" s="1725" customFormat="1" ht="15.95" customHeight="1">
      <c r="A306" s="1746"/>
      <c r="B306" s="1747"/>
      <c r="C306" s="1912"/>
      <c r="D306" s="1725" t="s">
        <v>2012</v>
      </c>
      <c r="E306" s="1747"/>
      <c r="J306" s="1913">
        <f>MAX(O206,O212+O222+O229)</f>
        <v>0</v>
      </c>
      <c r="K306" s="1914">
        <f>MAX(P206,P212+P222+P229)</f>
        <v>0</v>
      </c>
      <c r="L306" s="1915"/>
      <c r="M306" s="3835" t="str">
        <f>$J$12</f>
        <v>Atlanta Metro</v>
      </c>
      <c r="N306" s="3766"/>
      <c r="O306" s="3766"/>
      <c r="P306" s="3766"/>
      <c r="Q306" s="1757"/>
      <c r="R306" s="1763"/>
      <c r="S306" s="1722"/>
      <c r="T306" s="1722"/>
      <c r="U306" s="1722"/>
      <c r="V306" s="1724"/>
      <c r="W306" s="1724"/>
      <c r="X306" s="1724"/>
      <c r="AM306" s="2094">
        <v>306</v>
      </c>
    </row>
    <row r="307" spans="1:48" s="1725" customFormat="1" ht="15.95" customHeight="1">
      <c r="A307" s="1746"/>
      <c r="B307" s="1747"/>
      <c r="C307" s="1912"/>
      <c r="D307" s="1725" t="s">
        <v>1763</v>
      </c>
      <c r="E307" s="1747"/>
      <c r="J307" s="1916">
        <f>MAX($J$251,$O$238)</f>
        <v>9</v>
      </c>
      <c r="K307" s="1917">
        <f>MAX($K$251,$P$238)</f>
        <v>0</v>
      </c>
      <c r="L307" s="1915"/>
      <c r="M307" s="1727"/>
      <c r="N307" s="2559"/>
      <c r="O307" s="1736"/>
      <c r="P307" s="1736"/>
      <c r="Q307" s="1757"/>
      <c r="R307" s="1763"/>
      <c r="S307" s="1722"/>
      <c r="T307" s="1722"/>
      <c r="U307" s="1722"/>
      <c r="V307" s="1724"/>
      <c r="W307" s="1724"/>
      <c r="X307" s="1724"/>
      <c r="AM307" s="2094">
        <v>307</v>
      </c>
    </row>
    <row r="308" spans="1:48" s="1725" customFormat="1" ht="3.75" customHeight="1">
      <c r="A308" s="1746"/>
      <c r="B308" s="1747"/>
      <c r="C308" s="1918"/>
      <c r="D308" s="1919"/>
      <c r="E308" s="1919"/>
      <c r="F308" s="1920"/>
      <c r="G308" s="1920"/>
      <c r="H308" s="1920"/>
      <c r="I308" s="1920"/>
      <c r="J308" s="1920"/>
      <c r="K308" s="1920"/>
      <c r="L308" s="1921"/>
      <c r="M308" s="1727"/>
      <c r="N308" s="2559"/>
      <c r="O308" s="1736"/>
      <c r="P308" s="1736"/>
      <c r="Q308" s="1757"/>
      <c r="R308" s="1763"/>
      <c r="S308" s="1722"/>
      <c r="T308" s="1722"/>
      <c r="U308" s="1722"/>
      <c r="V308" s="1724"/>
      <c r="W308" s="1724"/>
      <c r="X308" s="1724"/>
      <c r="AM308" s="2094">
        <v>308</v>
      </c>
    </row>
    <row r="309" spans="1:48" ht="15.95" customHeight="1">
      <c r="A309" s="1727" t="s">
        <v>197</v>
      </c>
      <c r="B309" s="1794" t="s">
        <v>2013</v>
      </c>
      <c r="D309" s="1774"/>
      <c r="E309" s="1774"/>
      <c r="F309" s="1774"/>
      <c r="G309" s="1774"/>
      <c r="H309" s="1774"/>
      <c r="L309" s="1759" t="str">
        <f t="shared" ref="L309:L310" si="9">IF(OR($O309=$M309,$O309=0,$O309=""),"","* * Check Score! * *")</f>
        <v/>
      </c>
      <c r="M309" s="2566">
        <v>5</v>
      </c>
      <c r="N309" s="1760"/>
      <c r="O309" s="1640"/>
      <c r="P309" s="1887"/>
      <c r="Q309" s="2556"/>
      <c r="R309" s="1722"/>
      <c r="S309" s="1722"/>
      <c r="T309" s="1722"/>
      <c r="U309" s="1722"/>
      <c r="V309" s="1722"/>
      <c r="AM309" s="2094">
        <v>309</v>
      </c>
    </row>
    <row r="310" spans="1:48" ht="15.95" customHeight="1">
      <c r="A310" s="1727" t="s">
        <v>209</v>
      </c>
      <c r="B310" s="1794" t="s">
        <v>2014</v>
      </c>
      <c r="D310" s="1774"/>
      <c r="J310" s="1927" t="str">
        <f>IF(AND(O309=$M309,OR((O207+O222+O229)&gt;=5,J251&gt;=5)),"Eligible","Currently not eligible")</f>
        <v>Currently not eligible</v>
      </c>
      <c r="L310" s="1759" t="str">
        <f t="shared" si="9"/>
        <v/>
      </c>
      <c r="M310" s="2566">
        <v>5</v>
      </c>
      <c r="N310" s="1760"/>
      <c r="O310" s="1770">
        <f>IF(AND($C$16="Housing Needs Characteristics + Stable Communities Characteristics",O309=$M309,J251&gt;=5),MIN(J251,$M$310),IF(AND($C$16="Housing Needs Characteristics + Revitalization Characteristics",O309=$M309,O207+O222+O23&gt;=5),MIN(O207+O222+O229,$M$310),0))</f>
        <v>0</v>
      </c>
      <c r="P310" s="1770">
        <f>IF(AND($H$16="Housing Needs Characteristics + Stable Communities Characteristics",P309=$M309,K251&gt;=5),MIN(K251,$M$310),IF(AND($H$16="Housing Needs Characteristics + Revitalization Characteristics",P309=$M309,P207+P222+P23&gt;=5),MIN(P207+P222+P229,$M$310),0))</f>
        <v>0</v>
      </c>
      <c r="Q310" s="2556"/>
      <c r="R310" s="1722"/>
      <c r="S310" s="1722"/>
      <c r="T310" s="1722"/>
      <c r="U310" s="1722"/>
      <c r="V310" s="1722"/>
      <c r="AM310" s="2095">
        <v>310</v>
      </c>
    </row>
    <row r="311" spans="1:48" ht="15.95" customHeight="1">
      <c r="A311" s="1725"/>
      <c r="B311" s="1745" t="s">
        <v>1794</v>
      </c>
      <c r="C311" s="1725"/>
      <c r="D311" s="1725"/>
      <c r="E311" s="1725"/>
      <c r="F311" s="1725"/>
      <c r="G311" s="1725"/>
      <c r="H311" s="1725"/>
      <c r="I311" s="1725"/>
      <c r="J311" s="1725"/>
      <c r="K311" s="1725"/>
      <c r="M311" s="2559"/>
      <c r="N311" s="2558"/>
      <c r="O311" s="1736"/>
      <c r="R311" s="1722"/>
      <c r="S311" s="1722"/>
      <c r="T311" s="1722"/>
      <c r="U311" s="1722"/>
      <c r="V311" s="1722"/>
      <c r="AM311" s="2095">
        <v>311</v>
      </c>
    </row>
    <row r="312" spans="1:48" ht="15.95" customHeight="1">
      <c r="A312" s="3723" t="s">
        <v>2015</v>
      </c>
      <c r="B312" s="3724"/>
      <c r="C312" s="3724"/>
      <c r="D312" s="3724"/>
      <c r="E312" s="3724"/>
      <c r="F312" s="3724"/>
      <c r="G312" s="3724"/>
      <c r="H312" s="3724"/>
      <c r="I312" s="3724"/>
      <c r="J312" s="3724"/>
      <c r="K312" s="3724"/>
      <c r="L312" s="3724"/>
      <c r="M312" s="3724"/>
      <c r="N312" s="3724"/>
      <c r="O312" s="3724"/>
      <c r="P312" s="3725"/>
      <c r="Q312" s="1802"/>
      <c r="AM312" s="2095">
        <v>312</v>
      </c>
    </row>
    <row r="313" spans="1:48" ht="15.95" customHeight="1">
      <c r="A313" s="1725"/>
      <c r="B313" s="1781" t="s">
        <v>1447</v>
      </c>
      <c r="C313" s="1725"/>
      <c r="D313" s="1781"/>
      <c r="E313" s="2563"/>
      <c r="F313" s="2563"/>
      <c r="G313" s="2563"/>
      <c r="H313" s="2563"/>
      <c r="I313" s="2563"/>
      <c r="J313" s="2563"/>
      <c r="K313" s="2563"/>
      <c r="L313" s="2563"/>
      <c r="M313" s="2563"/>
      <c r="N313" s="1784"/>
      <c r="O313" s="1785"/>
      <c r="P313" s="1727"/>
      <c r="AM313" s="2095">
        <v>313</v>
      </c>
    </row>
    <row r="314" spans="1:48" ht="15.95" customHeight="1">
      <c r="A314" s="3700"/>
      <c r="B314" s="3701"/>
      <c r="C314" s="3701"/>
      <c r="D314" s="3701"/>
      <c r="E314" s="3701"/>
      <c r="F314" s="3701"/>
      <c r="G314" s="3701"/>
      <c r="H314" s="3701"/>
      <c r="I314" s="3701"/>
      <c r="J314" s="3701"/>
      <c r="K314" s="3701"/>
      <c r="L314" s="3701"/>
      <c r="M314" s="3701"/>
      <c r="N314" s="3701"/>
      <c r="O314" s="3701"/>
      <c r="P314" s="3702"/>
      <c r="Q314" s="1786"/>
      <c r="AM314" s="2094">
        <v>314</v>
      </c>
    </row>
    <row r="315" spans="1:48" ht="9.75" customHeight="1">
      <c r="N315" s="2558"/>
      <c r="AM315" s="2094">
        <v>315</v>
      </c>
    </row>
    <row r="316" spans="1:48" ht="9.75" customHeight="1" thickBot="1">
      <c r="N316" s="2558"/>
      <c r="AM316" s="2095">
        <v>316</v>
      </c>
      <c r="AO316" s="1912"/>
    </row>
    <row r="317" spans="1:48" s="1725" customFormat="1" ht="15.95" customHeight="1" thickBot="1">
      <c r="A317" s="1746" t="s">
        <v>1601</v>
      </c>
      <c r="B317" s="1747" t="s">
        <v>2016</v>
      </c>
      <c r="D317" s="1747"/>
      <c r="E317" s="1747"/>
      <c r="G317" s="1725" t="str">
        <f>$J$12</f>
        <v>Atlanta Metro</v>
      </c>
      <c r="J317" s="1759" t="str">
        <f t="shared" ref="J317" si="10">IF(OR($O317=$M317,$O317=0,$O317=""),"","* * Check Score! * *")</f>
        <v/>
      </c>
      <c r="L317" s="1788" t="str">
        <f>IF(AND(O317&gt;0,$J$12="Atlanta Metro"), "Atlanta Metro is ineligible to score in this section!","")</f>
        <v/>
      </c>
      <c r="M317" s="1727">
        <v>1</v>
      </c>
      <c r="N317" s="2559"/>
      <c r="O317" s="1675"/>
      <c r="P317" s="1892"/>
      <c r="Q317" s="1757" t="s">
        <v>795</v>
      </c>
      <c r="R317" s="1722"/>
      <c r="S317" s="1722"/>
      <c r="T317" s="1722"/>
      <c r="U317" s="1722"/>
      <c r="V317" s="1722"/>
      <c r="AM317" s="2095">
        <v>317</v>
      </c>
    </row>
    <row r="318" spans="1:48" s="1725" customFormat="1" ht="15.95" hidden="1" customHeight="1">
      <c r="A318" s="1746"/>
      <c r="B318" s="1747"/>
      <c r="D318" s="1747"/>
      <c r="E318" s="1747"/>
      <c r="M318" s="1790"/>
      <c r="Q318" s="1757"/>
      <c r="R318" s="1722"/>
      <c r="S318" s="1722"/>
      <c r="T318" s="1722"/>
      <c r="U318" s="1722"/>
      <c r="V318" s="1722"/>
      <c r="W318" s="1724"/>
      <c r="X318" s="1724"/>
      <c r="AM318" s="2095">
        <v>318</v>
      </c>
    </row>
    <row r="319" spans="1:48" s="1725" customFormat="1" ht="15.95" customHeight="1">
      <c r="A319" s="1746"/>
      <c r="B319" s="1747"/>
      <c r="C319" s="1725" t="s">
        <v>2017</v>
      </c>
      <c r="D319" s="1747"/>
      <c r="E319" s="1747"/>
      <c r="L319" s="3836" t="s">
        <v>2018</v>
      </c>
      <c r="M319" s="3836"/>
      <c r="O319" s="3836" t="s">
        <v>2019</v>
      </c>
      <c r="P319" s="3836"/>
      <c r="Q319" s="1757"/>
      <c r="R319" s="1722"/>
      <c r="S319" s="1722"/>
      <c r="T319" s="1722"/>
      <c r="U319" s="1722"/>
      <c r="V319" s="1722"/>
      <c r="W319" s="1724"/>
      <c r="X319" s="1724"/>
      <c r="AM319" s="2095">
        <v>319</v>
      </c>
    </row>
    <row r="320" spans="1:48" s="1725" customFormat="1" ht="15.95" customHeight="1">
      <c r="A320" s="1746"/>
      <c r="C320" s="1725" t="s">
        <v>2020</v>
      </c>
      <c r="D320" s="1747"/>
      <c r="E320" s="1747"/>
      <c r="F320" s="1725" t="s">
        <v>247</v>
      </c>
      <c r="I320" s="1725" t="s">
        <v>57</v>
      </c>
      <c r="K320" s="2559" t="s">
        <v>2021</v>
      </c>
      <c r="L320" s="3836"/>
      <c r="M320" s="3836"/>
      <c r="O320" s="3836"/>
      <c r="P320" s="3836"/>
      <c r="Q320" s="1757"/>
      <c r="R320" s="1722"/>
      <c r="S320" s="1722"/>
      <c r="T320" s="1722"/>
      <c r="U320" s="1722"/>
      <c r="V320" s="1722"/>
      <c r="W320" s="1724"/>
      <c r="X320" s="1724"/>
      <c r="AM320" s="2094">
        <v>320</v>
      </c>
      <c r="AV320" s="1912"/>
    </row>
    <row r="321" spans="1:39" s="1725" customFormat="1" ht="15.95" customHeight="1">
      <c r="A321" s="1746"/>
      <c r="B321" s="1900" t="s">
        <v>212</v>
      </c>
      <c r="C321" s="3845"/>
      <c r="D321" s="3845"/>
      <c r="E321" s="3845"/>
      <c r="F321" s="3845"/>
      <c r="G321" s="3845"/>
      <c r="H321" s="3845"/>
      <c r="I321" s="3846"/>
      <c r="J321" s="3846"/>
      <c r="K321" s="1992"/>
      <c r="L321" s="3847"/>
      <c r="M321" s="3847"/>
      <c r="N321" s="1897"/>
      <c r="O321" s="3848"/>
      <c r="P321" s="3848"/>
      <c r="Q321" s="1757"/>
      <c r="R321" s="1722"/>
      <c r="S321" s="1722"/>
      <c r="T321" s="1722"/>
      <c r="U321" s="1722"/>
      <c r="V321" s="1722"/>
      <c r="W321" s="1724"/>
      <c r="X321" s="1724"/>
      <c r="AM321" s="2095">
        <v>321</v>
      </c>
    </row>
    <row r="322" spans="1:39" s="1725" customFormat="1" ht="15.95" customHeight="1">
      <c r="A322" s="1746"/>
      <c r="B322" s="1764" t="s">
        <v>220</v>
      </c>
      <c r="C322" s="3849"/>
      <c r="D322" s="3849"/>
      <c r="E322" s="3849"/>
      <c r="F322" s="3849"/>
      <c r="G322" s="3849"/>
      <c r="H322" s="3849"/>
      <c r="I322" s="3850"/>
      <c r="J322" s="3850"/>
      <c r="K322" s="1993"/>
      <c r="L322" s="3851"/>
      <c r="M322" s="3851"/>
      <c r="N322" s="1897"/>
      <c r="O322" s="3852"/>
      <c r="P322" s="3852"/>
      <c r="Q322" s="1757"/>
      <c r="R322" s="1722"/>
      <c r="S322" s="1722"/>
      <c r="T322" s="1722"/>
      <c r="U322" s="1722"/>
      <c r="V322" s="1722"/>
      <c r="W322" s="1724"/>
      <c r="X322" s="1724"/>
      <c r="AM322" s="2094">
        <v>322</v>
      </c>
    </row>
    <row r="323" spans="1:39" s="1725" customFormat="1" ht="15.95" customHeight="1">
      <c r="A323" s="1746"/>
      <c r="B323" s="1764" t="s">
        <v>224</v>
      </c>
      <c r="C323" s="3849"/>
      <c r="D323" s="3849"/>
      <c r="E323" s="3849"/>
      <c r="F323" s="3849"/>
      <c r="G323" s="3849"/>
      <c r="H323" s="3849"/>
      <c r="I323" s="3850"/>
      <c r="J323" s="3850"/>
      <c r="K323" s="1993"/>
      <c r="L323" s="3851"/>
      <c r="M323" s="3851"/>
      <c r="N323" s="1897"/>
      <c r="O323" s="3852"/>
      <c r="P323" s="3852"/>
      <c r="Q323" s="1757"/>
      <c r="R323" s="1722"/>
      <c r="S323" s="1722"/>
      <c r="T323" s="1722"/>
      <c r="U323" s="1722"/>
      <c r="V323" s="1722"/>
      <c r="W323" s="1724"/>
      <c r="X323" s="1724"/>
      <c r="AM323" s="2094">
        <v>323</v>
      </c>
    </row>
    <row r="324" spans="1:39" s="1725" customFormat="1" ht="15.95" customHeight="1">
      <c r="A324" s="1746"/>
      <c r="B324" s="1764" t="s">
        <v>264</v>
      </c>
      <c r="C324" s="3861"/>
      <c r="D324" s="3861"/>
      <c r="E324" s="3861"/>
      <c r="F324" s="3861"/>
      <c r="G324" s="3861"/>
      <c r="H324" s="3861"/>
      <c r="I324" s="3862"/>
      <c r="J324" s="3862"/>
      <c r="K324" s="1994"/>
      <c r="L324" s="3863"/>
      <c r="M324" s="3863"/>
      <c r="N324" s="1897"/>
      <c r="O324" s="3864"/>
      <c r="P324" s="3864"/>
      <c r="Q324" s="1757"/>
      <c r="R324" s="1722"/>
      <c r="S324" s="1722"/>
      <c r="T324" s="1722"/>
      <c r="U324" s="1722"/>
      <c r="V324" s="1722"/>
      <c r="W324" s="1724"/>
      <c r="X324" s="1724"/>
      <c r="AM324" s="2094">
        <v>324</v>
      </c>
    </row>
    <row r="325" spans="1:39" ht="15.95" customHeight="1">
      <c r="A325" s="1725"/>
      <c r="B325" s="1745" t="s">
        <v>1794</v>
      </c>
      <c r="C325" s="1725"/>
      <c r="D325" s="1725"/>
      <c r="E325" s="1725"/>
      <c r="F325" s="1725"/>
      <c r="G325" s="1725"/>
      <c r="H325" s="1725"/>
      <c r="I325" s="1725"/>
      <c r="J325" s="1725"/>
      <c r="K325" s="1725"/>
      <c r="M325" s="2559"/>
      <c r="N325" s="2558"/>
      <c r="O325" s="1736"/>
      <c r="R325" s="1722"/>
      <c r="S325" s="1722"/>
      <c r="T325" s="1722"/>
      <c r="U325" s="1722"/>
      <c r="V325" s="1722"/>
      <c r="AM325" s="2094">
        <v>325</v>
      </c>
    </row>
    <row r="326" spans="1:39" ht="15.95" customHeight="1">
      <c r="A326" s="3723" t="s">
        <v>2022</v>
      </c>
      <c r="B326" s="3724"/>
      <c r="C326" s="3724"/>
      <c r="D326" s="3724"/>
      <c r="E326" s="3724"/>
      <c r="F326" s="3724"/>
      <c r="G326" s="3724"/>
      <c r="H326" s="3724"/>
      <c r="I326" s="3724"/>
      <c r="J326" s="3724"/>
      <c r="K326" s="3724"/>
      <c r="L326" s="3724"/>
      <c r="M326" s="3724"/>
      <c r="N326" s="3724"/>
      <c r="O326" s="3724"/>
      <c r="P326" s="3725"/>
      <c r="Q326" s="1802"/>
      <c r="AM326" s="2094">
        <v>326</v>
      </c>
    </row>
    <row r="327" spans="1:39" ht="15.95" customHeight="1">
      <c r="A327" s="1725"/>
      <c r="B327" s="1781" t="s">
        <v>1447</v>
      </c>
      <c r="C327" s="1725"/>
      <c r="D327" s="1781"/>
      <c r="E327" s="2563"/>
      <c r="F327" s="2563"/>
      <c r="G327" s="2563"/>
      <c r="H327" s="2563"/>
      <c r="I327" s="2563"/>
      <c r="J327" s="2563"/>
      <c r="K327" s="2563"/>
      <c r="L327" s="2563"/>
      <c r="M327" s="2563"/>
      <c r="N327" s="1784"/>
      <c r="O327" s="1785"/>
      <c r="P327" s="1727"/>
      <c r="AM327" s="2094">
        <v>327</v>
      </c>
    </row>
    <row r="328" spans="1:39" ht="15.95" customHeight="1">
      <c r="A328" s="3700"/>
      <c r="B328" s="3701"/>
      <c r="C328" s="3701"/>
      <c r="D328" s="3701"/>
      <c r="E328" s="3701"/>
      <c r="F328" s="3701"/>
      <c r="G328" s="3701"/>
      <c r="H328" s="3701"/>
      <c r="I328" s="3701"/>
      <c r="J328" s="3701"/>
      <c r="K328" s="3701"/>
      <c r="L328" s="3701"/>
      <c r="M328" s="3701"/>
      <c r="N328" s="3701"/>
      <c r="O328" s="3701"/>
      <c r="P328" s="3702"/>
      <c r="Q328" s="1786"/>
      <c r="AM328" s="2095">
        <v>328</v>
      </c>
    </row>
    <row r="329" spans="1:39" ht="9.75" customHeight="1">
      <c r="A329" s="1725"/>
      <c r="D329" s="1725"/>
      <c r="E329" s="1725"/>
      <c r="F329" s="1727"/>
      <c r="G329" s="1727"/>
      <c r="H329" s="1727"/>
      <c r="I329" s="1727"/>
      <c r="J329" s="1754"/>
      <c r="K329" s="1754"/>
      <c r="L329" s="1754"/>
      <c r="M329" s="2559"/>
      <c r="N329" s="1727"/>
      <c r="P329" s="1736"/>
      <c r="AM329" s="2095">
        <v>329</v>
      </c>
    </row>
    <row r="330" spans="1:39" ht="9.75" customHeight="1" thickBot="1">
      <c r="A330" s="1725"/>
      <c r="D330" s="1725"/>
      <c r="E330" s="1725"/>
      <c r="F330" s="1727"/>
      <c r="G330" s="1727"/>
      <c r="H330" s="1727"/>
      <c r="I330" s="1727"/>
      <c r="J330" s="1754"/>
      <c r="K330" s="1754"/>
      <c r="L330" s="1754"/>
      <c r="M330" s="2559"/>
      <c r="N330" s="1727"/>
      <c r="P330" s="1736"/>
      <c r="AM330" s="2095">
        <v>330</v>
      </c>
    </row>
    <row r="331" spans="1:39" ht="15.95" customHeight="1" thickBot="1">
      <c r="A331" s="1746" t="s">
        <v>1606</v>
      </c>
      <c r="B331" s="1832" t="s">
        <v>2023</v>
      </c>
      <c r="M331" s="1727">
        <v>1</v>
      </c>
      <c r="N331" s="2558"/>
      <c r="O331" s="1756">
        <f>IF(AND($F$12="New Affordability",$O$12="9%"),IF(O332+O333&gt;$M331,"Choose",MIN($M331,SUM(O332:O333))),0)</f>
        <v>1</v>
      </c>
      <c r="P331" s="1756">
        <f>IF(AND($H$12="New Affordability",$O$12="9%"),IF(P332+P333&gt;$M331,"Choose",MIN($M331,SUM(P332:P333))),0)</f>
        <v>0</v>
      </c>
      <c r="Q331" s="1757" t="s">
        <v>795</v>
      </c>
      <c r="R331" s="1763" t="str">
        <f>IF(AND(O331&gt;0,NOT($F$12="New Affordability")), "Ineligible to score in this section, not New Affordability!","")</f>
        <v/>
      </c>
      <c r="AM331" s="2094">
        <v>331</v>
      </c>
    </row>
    <row r="332" spans="1:39" ht="15.95" customHeight="1">
      <c r="A332" s="1727" t="s">
        <v>197</v>
      </c>
      <c r="B332" s="1803" t="s">
        <v>2024</v>
      </c>
      <c r="G332" s="1824" t="s">
        <v>2025</v>
      </c>
      <c r="H332" s="1928">
        <f>IF('Part V-Revenues &amp; Expenses'!$P$67=0,0,'Part V-Revenues &amp; Expenses'!$P$64/'Part V-Revenues &amp; Expenses'!$P$67)</f>
        <v>0.10344827586206896</v>
      </c>
      <c r="L332" s="1759" t="str">
        <f t="shared" ref="L332:L333" si="11">IF(OR($O332=$M332,$O332=0,$O332=""),"","* * Check Score! * *")</f>
        <v/>
      </c>
      <c r="M332" s="2559">
        <v>1</v>
      </c>
      <c r="N332" s="1760"/>
      <c r="O332" s="1644">
        <v>1</v>
      </c>
      <c r="P332" s="1847"/>
      <c r="Q332" s="1762" t="str">
        <f>IF(OR($O332=$M332,$O332=0,$O332=""),"","*CHECK!*")</f>
        <v/>
      </c>
      <c r="R332" s="1763"/>
      <c r="AM332" s="2094">
        <v>332</v>
      </c>
    </row>
    <row r="333" spans="1:39" ht="15.95" customHeight="1">
      <c r="A333" s="1727" t="s">
        <v>209</v>
      </c>
      <c r="B333" s="1803" t="s">
        <v>1881</v>
      </c>
      <c r="G333" s="3853" t="str">
        <f>'Part V-Revenues &amp; Expenses'!$O$53</f>
        <v>40% of Units at 60% of AMI</v>
      </c>
      <c r="H333" s="3854"/>
      <c r="L333" s="1759" t="str">
        <f t="shared" si="11"/>
        <v/>
      </c>
      <c r="M333" s="2558">
        <v>1</v>
      </c>
      <c r="N333" s="1760"/>
      <c r="O333" s="1633"/>
      <c r="P333" s="1848"/>
      <c r="Q333" s="1762" t="str">
        <f>IF(OR($O333=$M333,$O333=0,$O333=""),"","*CHECK!*")</f>
        <v/>
      </c>
      <c r="R333" s="1763"/>
      <c r="AM333" s="2095">
        <v>333</v>
      </c>
    </row>
    <row r="334" spans="1:39" ht="15.95" hidden="1" customHeight="1">
      <c r="A334" s="1803"/>
      <c r="B334" s="1764"/>
      <c r="M334" s="2559"/>
      <c r="N334" s="2558"/>
      <c r="O334" s="1727"/>
      <c r="P334" s="1727"/>
      <c r="AM334" s="2094">
        <v>334</v>
      </c>
    </row>
    <row r="335" spans="1:39" ht="15.95" customHeight="1">
      <c r="A335" s="1725"/>
      <c r="B335" s="1781" t="s">
        <v>1447</v>
      </c>
      <c r="C335" s="1725"/>
      <c r="D335" s="1781"/>
      <c r="E335" s="2563"/>
      <c r="F335" s="2563"/>
      <c r="G335" s="2563"/>
      <c r="H335" s="2563"/>
      <c r="I335" s="2563"/>
      <c r="J335" s="2563"/>
      <c r="K335" s="2563"/>
      <c r="L335" s="2563"/>
      <c r="M335" s="2563"/>
      <c r="N335" s="1784"/>
      <c r="O335" s="1785"/>
      <c r="P335" s="1727"/>
      <c r="AM335" s="2094">
        <v>335</v>
      </c>
    </row>
    <row r="336" spans="1:39" ht="15.95" customHeight="1">
      <c r="A336" s="3700"/>
      <c r="B336" s="3701"/>
      <c r="C336" s="3701"/>
      <c r="D336" s="3701"/>
      <c r="E336" s="3701"/>
      <c r="F336" s="3701"/>
      <c r="G336" s="3701"/>
      <c r="H336" s="3701"/>
      <c r="I336" s="3701"/>
      <c r="J336" s="3701"/>
      <c r="K336" s="3701"/>
      <c r="L336" s="3701"/>
      <c r="M336" s="3701"/>
      <c r="N336" s="3701"/>
      <c r="O336" s="3701"/>
      <c r="P336" s="3702"/>
      <c r="Q336" s="1786"/>
      <c r="AM336" s="2095">
        <v>336</v>
      </c>
    </row>
    <row r="337" spans="1:39" ht="9.75" customHeight="1">
      <c r="A337" s="1725"/>
      <c r="D337" s="1725"/>
      <c r="E337" s="1725"/>
      <c r="F337" s="1727"/>
      <c r="G337" s="1727"/>
      <c r="H337" s="1727"/>
      <c r="I337" s="1727"/>
      <c r="J337" s="1754"/>
      <c r="K337" s="1754"/>
      <c r="L337" s="1754"/>
      <c r="M337" s="2559"/>
      <c r="N337" s="1727"/>
      <c r="P337" s="1736"/>
      <c r="AM337" s="2095">
        <v>337</v>
      </c>
    </row>
    <row r="338" spans="1:39" ht="9.75" customHeight="1" thickBot="1">
      <c r="A338" s="1725"/>
      <c r="B338" s="1725"/>
      <c r="C338" s="2563"/>
      <c r="D338" s="2563"/>
      <c r="E338" s="2563"/>
      <c r="F338" s="2563"/>
      <c r="G338" s="2563"/>
      <c r="H338" s="2563"/>
      <c r="I338" s="2563"/>
      <c r="J338" s="2563"/>
      <c r="K338" s="2563"/>
      <c r="L338" s="2563"/>
      <c r="M338" s="2563"/>
      <c r="N338" s="1784"/>
      <c r="O338" s="1785"/>
      <c r="P338" s="1727"/>
      <c r="AM338" s="2095">
        <v>338</v>
      </c>
    </row>
    <row r="339" spans="1:39" ht="15.95" customHeight="1" thickBot="1">
      <c r="A339" s="1746" t="s">
        <v>1613</v>
      </c>
      <c r="B339" s="1747" t="s">
        <v>2026</v>
      </c>
      <c r="D339" s="1754"/>
      <c r="G339" s="2563"/>
      <c r="H339" s="2563"/>
      <c r="I339" s="2563"/>
      <c r="J339" s="2563"/>
      <c r="K339" s="2563"/>
      <c r="L339" s="2563"/>
      <c r="M339" s="1727">
        <v>2</v>
      </c>
      <c r="N339" s="1760"/>
      <c r="O339" s="1756">
        <f>IF(AND($F$12="New Affordability",$O$12="9%"),MIN($M339,O341+O343),0)</f>
        <v>0</v>
      </c>
      <c r="P339" s="1756">
        <f>IF(AND($H$12="New Affordability",$O$12="9%"),MIN($M339,P341+P343),0)</f>
        <v>0</v>
      </c>
      <c r="Q339" s="1757" t="s">
        <v>795</v>
      </c>
      <c r="R339" s="1763" t="str">
        <f>IF(AND(O339&gt;0,NOT($F$12="New Affordability")), "Ineligible to score in this section, not New Affordability!","")</f>
        <v/>
      </c>
      <c r="AM339" s="2095">
        <v>339</v>
      </c>
    </row>
    <row r="340" spans="1:39" s="1775" customFormat="1" ht="15.95" customHeight="1">
      <c r="A340" s="1832"/>
      <c r="E340" s="1922" t="s">
        <v>2027</v>
      </c>
      <c r="G340" s="3855" t="s">
        <v>2028</v>
      </c>
      <c r="H340" s="3856"/>
      <c r="I340" s="3856"/>
      <c r="J340" s="3856"/>
      <c r="K340" s="3856"/>
      <c r="L340" s="3857"/>
      <c r="M340" s="1776"/>
      <c r="N340" s="1776"/>
      <c r="O340" s="1776"/>
      <c r="P340" s="1776"/>
      <c r="Q340" s="1725"/>
      <c r="AM340" s="2094">
        <v>340</v>
      </c>
    </row>
    <row r="341" spans="1:39" s="1775" customFormat="1" ht="15.95" customHeight="1">
      <c r="A341" s="1806" t="s">
        <v>197</v>
      </c>
      <c r="B341" s="1734" t="s">
        <v>2029</v>
      </c>
      <c r="L341" s="1759" t="str">
        <f t="shared" ref="L341" si="12">IF(OR($O341=$M341,$O341=0,$O341=""),"","* * Check Score! * *")</f>
        <v/>
      </c>
      <c r="M341" s="1776">
        <v>2</v>
      </c>
      <c r="N341" s="1777"/>
      <c r="O341" s="1644"/>
      <c r="P341" s="1847"/>
      <c r="Q341" s="1762" t="str">
        <f>IF(OR($O341=$M341,$O341=0,$O341=""),"","*CHECK!*")</f>
        <v/>
      </c>
      <c r="R341" s="1763"/>
      <c r="AM341" s="2095">
        <v>341</v>
      </c>
    </row>
    <row r="342" spans="1:39" ht="15.95" customHeight="1">
      <c r="A342" s="1795"/>
      <c r="B342" s="3858" t="s">
        <v>2030</v>
      </c>
      <c r="C342" s="3859"/>
      <c r="D342" s="3859"/>
      <c r="E342" s="3859"/>
      <c r="F342" s="3859"/>
      <c r="G342" s="3859"/>
      <c r="H342" s="3859"/>
      <c r="I342" s="3859"/>
      <c r="J342" s="3859"/>
      <c r="K342" s="3859"/>
      <c r="L342" s="3859"/>
      <c r="M342" s="3859"/>
      <c r="N342" s="3859"/>
      <c r="O342" s="3859"/>
      <c r="P342" s="3860"/>
      <c r="Q342" s="1786"/>
      <c r="R342" s="1802"/>
      <c r="S342" s="1802"/>
      <c r="AM342" s="2094">
        <v>342</v>
      </c>
    </row>
    <row r="343" spans="1:39" s="1775" customFormat="1" ht="15.95" customHeight="1">
      <c r="A343" s="1925" t="s">
        <v>209</v>
      </c>
      <c r="B343" s="1882" t="s">
        <v>2031</v>
      </c>
      <c r="L343" s="1759" t="str">
        <f t="shared" ref="L343" si="13">IF(OR($O343=$M343,$O343=0,$O343=""),"","* * Check Score! * *")</f>
        <v/>
      </c>
      <c r="M343" s="1776">
        <v>2</v>
      </c>
      <c r="N343" s="1777"/>
      <c r="O343" s="1633"/>
      <c r="P343" s="1848"/>
      <c r="Q343" s="1762" t="str">
        <f>IF(OR($O343=$M343,$O343=0,$O343=""),"","*CHECK!*")</f>
        <v/>
      </c>
      <c r="R343" s="1763"/>
      <c r="AM343" s="2094">
        <v>343</v>
      </c>
    </row>
    <row r="344" spans="1:39" ht="15.95" customHeight="1">
      <c r="A344" s="1725"/>
      <c r="B344" s="1745" t="s">
        <v>1794</v>
      </c>
      <c r="C344" s="1725"/>
      <c r="D344" s="1725"/>
      <c r="E344" s="1725"/>
      <c r="F344" s="1725"/>
      <c r="G344" s="1725"/>
      <c r="H344" s="1725"/>
      <c r="I344" s="1725"/>
      <c r="J344" s="1725"/>
      <c r="K344" s="1725"/>
      <c r="M344" s="2559"/>
      <c r="N344" s="2558"/>
      <c r="O344" s="1736"/>
      <c r="AM344" s="2094">
        <v>344</v>
      </c>
    </row>
    <row r="345" spans="1:39" ht="15.95" customHeight="1">
      <c r="A345" s="3723" t="s">
        <v>2032</v>
      </c>
      <c r="B345" s="3724"/>
      <c r="C345" s="3724"/>
      <c r="D345" s="3724"/>
      <c r="E345" s="3724"/>
      <c r="F345" s="3724"/>
      <c r="G345" s="3724"/>
      <c r="H345" s="3724"/>
      <c r="I345" s="3724"/>
      <c r="J345" s="3724"/>
      <c r="K345" s="3724"/>
      <c r="L345" s="3724"/>
      <c r="M345" s="3724"/>
      <c r="N345" s="3724"/>
      <c r="O345" s="3724"/>
      <c r="P345" s="3725"/>
      <c r="Q345" s="1802"/>
      <c r="R345" s="1802"/>
      <c r="AM345" s="2094">
        <v>345</v>
      </c>
    </row>
    <row r="346" spans="1:39" ht="15.95" customHeight="1">
      <c r="B346" s="1781" t="s">
        <v>1447</v>
      </c>
      <c r="C346" s="1782"/>
      <c r="D346" s="1781"/>
      <c r="E346" s="1783"/>
      <c r="F346" s="2563"/>
      <c r="G346" s="2563"/>
      <c r="H346" s="2563"/>
      <c r="I346" s="2563"/>
      <c r="J346" s="2563"/>
      <c r="K346" s="2563"/>
      <c r="L346" s="2563"/>
      <c r="M346" s="2563"/>
      <c r="N346" s="1784"/>
      <c r="O346" s="1785"/>
      <c r="P346" s="1727"/>
      <c r="AM346" s="2095">
        <v>346</v>
      </c>
    </row>
    <row r="347" spans="1:39" ht="15.95" customHeight="1">
      <c r="A347" s="3700"/>
      <c r="B347" s="3701"/>
      <c r="C347" s="3701"/>
      <c r="D347" s="3701"/>
      <c r="E347" s="3701"/>
      <c r="F347" s="3701"/>
      <c r="G347" s="3701"/>
      <c r="H347" s="3701"/>
      <c r="I347" s="3701"/>
      <c r="J347" s="3701"/>
      <c r="K347" s="3701"/>
      <c r="L347" s="3701"/>
      <c r="M347" s="3701"/>
      <c r="N347" s="3701"/>
      <c r="O347" s="3701"/>
      <c r="P347" s="3702"/>
      <c r="Q347" s="1786"/>
      <c r="AM347" s="2095">
        <v>347</v>
      </c>
    </row>
    <row r="348" spans="1:39" ht="9.75" customHeight="1">
      <c r="A348" s="1725"/>
      <c r="B348" s="1725"/>
      <c r="C348" s="2563"/>
      <c r="D348" s="2563"/>
      <c r="E348" s="2563"/>
      <c r="F348" s="2563"/>
      <c r="G348" s="2563"/>
      <c r="H348" s="2563"/>
      <c r="I348" s="2563"/>
      <c r="J348" s="2563"/>
      <c r="K348" s="2563"/>
      <c r="L348" s="2563"/>
      <c r="M348" s="2563"/>
      <c r="N348" s="1784"/>
      <c r="O348" s="1785"/>
      <c r="P348" s="1727"/>
      <c r="AM348" s="2095">
        <v>348</v>
      </c>
    </row>
    <row r="349" spans="1:39" ht="9.75" customHeight="1" thickBot="1">
      <c r="A349" s="1725"/>
      <c r="D349" s="1725"/>
      <c r="E349" s="1725"/>
      <c r="F349" s="1727"/>
      <c r="G349" s="1727"/>
      <c r="H349" s="1727"/>
      <c r="I349" s="1727"/>
      <c r="J349" s="1754"/>
      <c r="K349" s="1754"/>
      <c r="L349" s="1754"/>
      <c r="M349" s="2559"/>
      <c r="N349" s="1727"/>
      <c r="P349" s="1736"/>
      <c r="AM349" s="2095">
        <v>349</v>
      </c>
    </row>
    <row r="350" spans="1:39" s="1725" customFormat="1" ht="15.95" customHeight="1" thickBot="1">
      <c r="A350" s="1746" t="s">
        <v>1620</v>
      </c>
      <c r="B350" s="1747" t="s">
        <v>2033</v>
      </c>
      <c r="D350" s="1747"/>
      <c r="E350" s="1747"/>
      <c r="G350" s="1787"/>
      <c r="M350" s="1727">
        <v>2</v>
      </c>
      <c r="N350" s="2559"/>
      <c r="O350" s="1756">
        <f>IF($O$12="9%",IF(OR(O351=$M351,O352=$M352),$M$350,0),0)</f>
        <v>2</v>
      </c>
      <c r="P350" s="1756">
        <f>IF($O$12="9%",IF(OR(P351=$M351,P352=$M352),$M$350,0),0)</f>
        <v>0</v>
      </c>
      <c r="Q350" s="1757" t="s">
        <v>795</v>
      </c>
      <c r="R350" s="1722"/>
      <c r="S350" s="1722"/>
      <c r="T350" s="1722"/>
      <c r="U350" s="1722"/>
      <c r="V350" s="1722"/>
      <c r="AM350" s="2094">
        <v>350</v>
      </c>
    </row>
    <row r="351" spans="1:39" ht="15.95" customHeight="1">
      <c r="A351" s="1727" t="s">
        <v>197</v>
      </c>
      <c r="B351" s="1794" t="s">
        <v>2034</v>
      </c>
      <c r="D351" s="1774"/>
      <c r="E351" s="1823" t="s">
        <v>2035</v>
      </c>
      <c r="F351" s="1774"/>
      <c r="G351" s="1774"/>
      <c r="H351" s="3869"/>
      <c r="I351" s="3870"/>
      <c r="J351" s="3870"/>
      <c r="K351" s="3871"/>
      <c r="L351" s="1759" t="str">
        <f t="shared" ref="L351:L352" si="14">IF(OR($O351=$M351,$O351=0,$O351=""),"","* * Check Score! * *")</f>
        <v/>
      </c>
      <c r="M351" s="2558">
        <v>2</v>
      </c>
      <c r="N351" s="1760"/>
      <c r="O351" s="1644"/>
      <c r="P351" s="1847"/>
      <c r="Q351" s="1795" t="str">
        <f>IF(OR(O351=0,O351="",O351=$M351),"","Check!")</f>
        <v/>
      </c>
      <c r="R351" s="1763"/>
      <c r="S351" s="1722"/>
      <c r="T351" s="1722"/>
      <c r="U351" s="1722"/>
      <c r="V351" s="1722"/>
      <c r="AM351" s="2095">
        <v>351</v>
      </c>
    </row>
    <row r="352" spans="1:39" ht="15.95" customHeight="1">
      <c r="A352" s="1727" t="s">
        <v>209</v>
      </c>
      <c r="B352" s="1794" t="s">
        <v>2036</v>
      </c>
      <c r="L352" s="1759" t="str">
        <f t="shared" si="14"/>
        <v/>
      </c>
      <c r="M352" s="2558">
        <v>2</v>
      </c>
      <c r="N352" s="1760"/>
      <c r="O352" s="1633">
        <v>2</v>
      </c>
      <c r="P352" s="1848"/>
      <c r="Q352" s="1795" t="str">
        <f>IF(OR(O352=0,O352="",O352=$M352),"","Check!")</f>
        <v/>
      </c>
      <c r="R352" s="1763"/>
      <c r="S352" s="1722"/>
      <c r="T352" s="1722"/>
      <c r="U352" s="1722"/>
      <c r="V352" s="1722"/>
      <c r="AM352" s="2094">
        <v>352</v>
      </c>
    </row>
    <row r="353" spans="1:39" ht="15.95" customHeight="1">
      <c r="A353" s="1725"/>
      <c r="B353" s="1745" t="s">
        <v>1794</v>
      </c>
      <c r="C353" s="1725"/>
      <c r="D353" s="1725"/>
      <c r="E353" s="1725"/>
      <c r="F353" s="1725"/>
      <c r="G353" s="1725"/>
      <c r="H353" s="1725"/>
      <c r="I353" s="1725"/>
      <c r="J353" s="1725"/>
      <c r="K353" s="1725"/>
      <c r="M353" s="2559"/>
      <c r="N353" s="2558"/>
      <c r="O353" s="1736"/>
      <c r="R353" s="1722"/>
      <c r="S353" s="1722"/>
      <c r="T353" s="1722"/>
      <c r="U353" s="1722"/>
      <c r="V353" s="1722"/>
      <c r="AM353" s="2094">
        <v>353</v>
      </c>
    </row>
    <row r="354" spans="1:39" ht="33.75" customHeight="1">
      <c r="A354" s="3723" t="s">
        <v>2037</v>
      </c>
      <c r="B354" s="3724"/>
      <c r="C354" s="3724"/>
      <c r="D354" s="3724"/>
      <c r="E354" s="3724"/>
      <c r="F354" s="3724"/>
      <c r="G354" s="3724"/>
      <c r="H354" s="3724"/>
      <c r="I354" s="3724"/>
      <c r="J354" s="3724"/>
      <c r="K354" s="3724"/>
      <c r="L354" s="3724"/>
      <c r="M354" s="3724"/>
      <c r="N354" s="3724"/>
      <c r="O354" s="3724"/>
      <c r="P354" s="3725"/>
      <c r="Q354" s="1802"/>
      <c r="AM354" s="2094">
        <v>354</v>
      </c>
    </row>
    <row r="355" spans="1:39" ht="15.95" customHeight="1">
      <c r="A355" s="1725"/>
      <c r="B355" s="1781" t="s">
        <v>1447</v>
      </c>
      <c r="C355" s="1725"/>
      <c r="D355" s="1781"/>
      <c r="E355" s="2563"/>
      <c r="F355" s="2563"/>
      <c r="G355" s="2563"/>
      <c r="H355" s="2563"/>
      <c r="I355" s="2563"/>
      <c r="J355" s="2563"/>
      <c r="K355" s="2563"/>
      <c r="L355" s="2563"/>
      <c r="M355" s="2563"/>
      <c r="N355" s="1784"/>
      <c r="O355" s="1785"/>
      <c r="P355" s="1727"/>
      <c r="AM355" s="2094">
        <v>355</v>
      </c>
    </row>
    <row r="356" spans="1:39" ht="15.95" customHeight="1">
      <c r="A356" s="3700"/>
      <c r="B356" s="3701"/>
      <c r="C356" s="3701"/>
      <c r="D356" s="3701"/>
      <c r="E356" s="3701"/>
      <c r="F356" s="3701"/>
      <c r="G356" s="3701"/>
      <c r="H356" s="3701"/>
      <c r="I356" s="3701"/>
      <c r="J356" s="3701"/>
      <c r="K356" s="3701"/>
      <c r="L356" s="3701"/>
      <c r="M356" s="3701"/>
      <c r="N356" s="3701"/>
      <c r="O356" s="3701"/>
      <c r="P356" s="3702"/>
      <c r="Q356" s="1786"/>
      <c r="AM356" s="2095">
        <v>356</v>
      </c>
    </row>
    <row r="357" spans="1:39" ht="9.75" customHeight="1">
      <c r="A357" s="1725"/>
      <c r="D357" s="1725"/>
      <c r="E357" s="1725"/>
      <c r="F357" s="1727"/>
      <c r="G357" s="1727"/>
      <c r="H357" s="1727"/>
      <c r="I357" s="1727"/>
      <c r="J357" s="1754"/>
      <c r="K357" s="1754"/>
      <c r="L357" s="1754"/>
      <c r="M357" s="2559"/>
      <c r="N357" s="1727"/>
      <c r="P357" s="1736"/>
      <c r="AM357" s="2095">
        <v>357</v>
      </c>
    </row>
    <row r="358" spans="1:39" ht="9.75" customHeight="1" thickBot="1">
      <c r="N358" s="2558"/>
      <c r="AM358" s="2095">
        <v>358</v>
      </c>
    </row>
    <row r="359" spans="1:39" ht="15.95" customHeight="1" thickBot="1">
      <c r="A359" s="1832" t="s">
        <v>1625</v>
      </c>
      <c r="B359" s="1747" t="s">
        <v>2038</v>
      </c>
      <c r="D359" s="1803"/>
      <c r="E359" s="1803"/>
      <c r="G359" s="1725"/>
      <c r="L359" s="1866" t="str">
        <f>IF(AND(O359&gt;0,NOT($O$12="9%")),"Ineligible, not 9%!","")</f>
        <v/>
      </c>
      <c r="M359" s="1727">
        <v>2</v>
      </c>
      <c r="N359" s="1759"/>
      <c r="O359" s="1675"/>
      <c r="P359" s="1892"/>
      <c r="Q359" s="1757" t="s">
        <v>795</v>
      </c>
      <c r="R359" s="1929"/>
      <c r="S359" s="1929"/>
      <c r="AM359" s="2095">
        <v>359</v>
      </c>
    </row>
    <row r="360" spans="1:39" ht="15.95" customHeight="1">
      <c r="A360" s="1742"/>
      <c r="B360" s="1849" t="s">
        <v>2039</v>
      </c>
      <c r="D360" s="1803"/>
      <c r="E360" s="1803"/>
      <c r="G360" s="1725"/>
      <c r="I360" s="3855" t="s">
        <v>2040</v>
      </c>
      <c r="J360" s="3856"/>
      <c r="K360" s="3856"/>
      <c r="L360" s="3857"/>
      <c r="M360" s="2559"/>
      <c r="N360" s="2559"/>
      <c r="O360" s="2558"/>
      <c r="P360" s="2558"/>
      <c r="Q360" s="1762"/>
      <c r="R360" s="1929"/>
      <c r="S360" s="1929"/>
      <c r="AM360" s="2094">
        <v>360</v>
      </c>
    </row>
    <row r="361" spans="1:39" ht="15.95" hidden="1" customHeight="1">
      <c r="B361" s="1849"/>
      <c r="D361" s="1725"/>
      <c r="E361" s="1725"/>
      <c r="F361" s="1725"/>
      <c r="G361" s="1725"/>
      <c r="H361" s="1725"/>
      <c r="I361" s="1725"/>
      <c r="J361" s="1725"/>
      <c r="K361" s="1725"/>
      <c r="L361" s="1725"/>
      <c r="M361" s="1725"/>
      <c r="N361" s="1760"/>
      <c r="O361" s="1760"/>
      <c r="P361" s="1760"/>
      <c r="AM361" s="2095">
        <v>361</v>
      </c>
    </row>
    <row r="362" spans="1:39" s="1725" customFormat="1" ht="15.95" customHeight="1">
      <c r="B362" s="1745" t="s">
        <v>1794</v>
      </c>
      <c r="L362" s="1724"/>
      <c r="M362" s="2559"/>
      <c r="N362" s="2558"/>
      <c r="O362" s="1736"/>
      <c r="P362" s="1735"/>
      <c r="AM362" s="2094">
        <v>362</v>
      </c>
    </row>
    <row r="363" spans="1:39" ht="15.95" customHeight="1">
      <c r="A363" s="3723" t="s">
        <v>2041</v>
      </c>
      <c r="B363" s="3724"/>
      <c r="C363" s="3724"/>
      <c r="D363" s="3724"/>
      <c r="E363" s="3724"/>
      <c r="F363" s="3724"/>
      <c r="G363" s="3724"/>
      <c r="H363" s="3724"/>
      <c r="I363" s="3724"/>
      <c r="J363" s="3724"/>
      <c r="K363" s="3724"/>
      <c r="L363" s="3724"/>
      <c r="M363" s="3724"/>
      <c r="N363" s="3724"/>
      <c r="O363" s="3724"/>
      <c r="P363" s="3725"/>
      <c r="Q363" s="1802"/>
      <c r="AM363" s="2094">
        <v>363</v>
      </c>
    </row>
    <row r="364" spans="1:39" s="1725" customFormat="1" ht="15.95" customHeight="1">
      <c r="B364" s="1830" t="s">
        <v>1447</v>
      </c>
      <c r="D364" s="1830"/>
      <c r="E364" s="2565"/>
      <c r="F364" s="2565"/>
      <c r="G364" s="2565"/>
      <c r="H364" s="2565"/>
      <c r="I364" s="2565"/>
      <c r="J364" s="2565"/>
      <c r="K364" s="2565"/>
      <c r="L364" s="2565"/>
      <c r="M364" s="2565"/>
      <c r="N364" s="2560"/>
      <c r="O364" s="2566"/>
      <c r="P364" s="1727"/>
      <c r="Q364" s="1724"/>
      <c r="AM364" s="2094">
        <v>364</v>
      </c>
    </row>
    <row r="365" spans="1:39" ht="15.95" customHeight="1">
      <c r="A365" s="3700"/>
      <c r="B365" s="3701"/>
      <c r="C365" s="3701"/>
      <c r="D365" s="3701"/>
      <c r="E365" s="3701"/>
      <c r="F365" s="3701"/>
      <c r="G365" s="3701"/>
      <c r="H365" s="3701"/>
      <c r="I365" s="3701"/>
      <c r="J365" s="3701"/>
      <c r="K365" s="3701"/>
      <c r="L365" s="3701"/>
      <c r="M365" s="3701"/>
      <c r="N365" s="3701"/>
      <c r="O365" s="3701"/>
      <c r="P365" s="3702"/>
      <c r="Q365" s="1786"/>
      <c r="AM365" s="2094">
        <v>365</v>
      </c>
    </row>
    <row r="366" spans="1:39" ht="9.75" customHeight="1">
      <c r="N366" s="2558"/>
      <c r="AM366" s="2094">
        <v>366</v>
      </c>
    </row>
    <row r="367" spans="1:39" ht="9.75" customHeight="1" thickBot="1">
      <c r="A367" s="1832"/>
      <c r="B367" s="1725"/>
      <c r="C367" s="2563"/>
      <c r="D367" s="2563"/>
      <c r="E367" s="2563"/>
      <c r="F367" s="2563"/>
      <c r="G367" s="2563"/>
      <c r="H367" s="2563"/>
      <c r="I367" s="2563"/>
      <c r="J367" s="2563"/>
      <c r="K367" s="2563"/>
      <c r="L367" s="2563"/>
      <c r="M367" s="2563"/>
      <c r="N367" s="1784"/>
      <c r="O367" s="1785"/>
      <c r="P367" s="1727"/>
      <c r="AM367" s="2094">
        <v>367</v>
      </c>
    </row>
    <row r="368" spans="1:39" s="1725" customFormat="1" ht="15.95" customHeight="1" thickBot="1">
      <c r="A368" s="1832" t="s">
        <v>1632</v>
      </c>
      <c r="B368" s="1747" t="s">
        <v>2042</v>
      </c>
      <c r="D368" s="1747"/>
      <c r="E368" s="1747"/>
      <c r="I368" s="1866" t="str">
        <f>IF(AND($O368&gt;0,NOT($F$12="Preservation")),"Ineligible, not Preservation!","")</f>
        <v/>
      </c>
      <c r="M368" s="1727"/>
      <c r="N368" s="2559"/>
      <c r="O368" s="1930">
        <f>IF($F$12="Preservation",O370+O373+O374+O375+O384+O399,0)</f>
        <v>0</v>
      </c>
      <c r="P368" s="1930">
        <f>IF($H$12="Preservation",P370+P371+P373+P374+P375+P384+P399,0)</f>
        <v>0</v>
      </c>
      <c r="Q368" s="1757" t="s">
        <v>795</v>
      </c>
      <c r="R368" s="1763"/>
      <c r="AM368" s="2095">
        <v>368</v>
      </c>
    </row>
    <row r="369" spans="1:39" ht="7.5" customHeight="1">
      <c r="A369" s="1832"/>
      <c r="B369" s="1725"/>
      <c r="C369" s="2563"/>
      <c r="D369" s="2563"/>
      <c r="E369" s="2563"/>
      <c r="F369" s="2563"/>
      <c r="G369" s="2563"/>
      <c r="H369" s="2563"/>
      <c r="J369" s="2563"/>
      <c r="K369" s="2563"/>
      <c r="L369" s="2563"/>
      <c r="M369" s="2563"/>
      <c r="N369" s="1784"/>
      <c r="O369" s="1785"/>
      <c r="P369" s="1785"/>
      <c r="AM369" s="2095">
        <v>369</v>
      </c>
    </row>
    <row r="370" spans="1:39" s="1725" customFormat="1" ht="15.95" customHeight="1">
      <c r="A370" s="1727" t="s">
        <v>197</v>
      </c>
      <c r="B370" s="1734" t="s">
        <v>2043</v>
      </c>
      <c r="D370" s="1747"/>
      <c r="E370" s="1747"/>
      <c r="L370" s="1821" t="s">
        <v>1767</v>
      </c>
      <c r="M370" s="1727">
        <v>6</v>
      </c>
      <c r="N370" s="2559"/>
      <c r="O370" s="1642"/>
      <c r="P370" s="1838"/>
      <c r="Q370" s="1757"/>
      <c r="R370" s="1763"/>
      <c r="AM370" s="2094">
        <v>370</v>
      </c>
    </row>
    <row r="371" spans="1:39" s="1725" customFormat="1" ht="15.95" customHeight="1">
      <c r="A371" s="1867" t="s">
        <v>209</v>
      </c>
      <c r="B371" s="1734" t="s">
        <v>2044</v>
      </c>
      <c r="D371" s="1747"/>
      <c r="E371" s="1747"/>
      <c r="F371" s="1843" t="s">
        <v>2045</v>
      </c>
      <c r="K371" s="1762" t="str">
        <f>IF(OR($O371=$M371,$O371=0,$O371=""),"","*CHECK!*")</f>
        <v/>
      </c>
      <c r="L371" s="1821" t="s">
        <v>1767</v>
      </c>
      <c r="M371" s="1727">
        <v>6</v>
      </c>
      <c r="N371" s="2559"/>
      <c r="O371" s="2559"/>
      <c r="P371" s="1847"/>
      <c r="Q371" s="1757"/>
      <c r="R371" s="1763"/>
      <c r="AM371" s="2094">
        <v>371</v>
      </c>
    </row>
    <row r="372" spans="1:39" s="1725" customFormat="1" ht="15.95" customHeight="1">
      <c r="A372" s="1832"/>
      <c r="B372" s="1725" t="s">
        <v>2046</v>
      </c>
      <c r="D372" s="1747"/>
      <c r="E372" s="1747"/>
      <c r="F372" s="1739"/>
      <c r="L372" s="1762"/>
      <c r="M372" s="1727"/>
      <c r="N372" s="2559"/>
      <c r="O372" s="1646"/>
      <c r="P372" s="1769"/>
      <c r="Q372" s="1757"/>
      <c r="R372" s="1763"/>
      <c r="AM372" s="2095">
        <v>372</v>
      </c>
    </row>
    <row r="373" spans="1:39" s="1775" customFormat="1" ht="15.95" customHeight="1">
      <c r="A373" s="1727" t="s">
        <v>230</v>
      </c>
      <c r="B373" s="1882" t="s">
        <v>2047</v>
      </c>
      <c r="C373" s="1874"/>
      <c r="D373" s="1874"/>
      <c r="E373" s="1874"/>
      <c r="F373" s="1874"/>
      <c r="H373" s="1874"/>
      <c r="I373" s="1874"/>
      <c r="J373" s="1741"/>
      <c r="K373" s="1741"/>
      <c r="L373" s="1821" t="s">
        <v>1767</v>
      </c>
      <c r="M373" s="2559">
        <v>4</v>
      </c>
      <c r="N373" s="1840"/>
      <c r="O373" s="1642"/>
      <c r="P373" s="1838"/>
      <c r="Q373" s="1762"/>
      <c r="R373" s="1763"/>
      <c r="AM373" s="2095">
        <v>373</v>
      </c>
    </row>
    <row r="374" spans="1:39" ht="15.95" customHeight="1">
      <c r="A374" s="1727" t="s">
        <v>232</v>
      </c>
      <c r="B374" s="1734" t="s">
        <v>2048</v>
      </c>
      <c r="E374" s="1803"/>
      <c r="F374" s="1725"/>
      <c r="G374" s="1725"/>
      <c r="H374" s="1725"/>
      <c r="K374" s="2559"/>
      <c r="L374" s="1821" t="s">
        <v>1767</v>
      </c>
      <c r="M374" s="2559">
        <v>4</v>
      </c>
      <c r="N374" s="1840"/>
      <c r="O374" s="1642"/>
      <c r="P374" s="1838"/>
      <c r="Q374" s="1762"/>
      <c r="R374" s="1763"/>
      <c r="AM374" s="2095">
        <v>374</v>
      </c>
    </row>
    <row r="375" spans="1:39" s="1725" customFormat="1" ht="15.95" customHeight="1">
      <c r="A375" s="1727" t="s">
        <v>239</v>
      </c>
      <c r="B375" s="1734" t="s">
        <v>2049</v>
      </c>
      <c r="D375" s="1747"/>
      <c r="F375" s="1843" t="s">
        <v>2050</v>
      </c>
      <c r="K375" s="1866" t="str">
        <f>IF(AND($O375&gt;0,NOT($F$12="Preservation")),"Ineligible, not Preservation!","")</f>
        <v/>
      </c>
      <c r="L375" s="1821" t="s">
        <v>1767</v>
      </c>
      <c r="M375" s="1727">
        <v>20</v>
      </c>
      <c r="N375" s="2559"/>
      <c r="O375" s="1770">
        <f>IF($F$12="Preservation",MIN($M375,(J377+J378+J379)),0)</f>
        <v>0</v>
      </c>
      <c r="P375" s="1770">
        <f>IF($H$12="Preservation",MIN($M375,(K377+K378+K379)),0)</f>
        <v>0</v>
      </c>
      <c r="Q375" s="1757"/>
      <c r="R375" s="1763"/>
      <c r="AM375" s="2095">
        <v>375</v>
      </c>
    </row>
    <row r="376" spans="1:39" s="1725" customFormat="1" ht="15.95" customHeight="1">
      <c r="A376" s="1727"/>
      <c r="B376" s="1734"/>
      <c r="C376" s="1906" t="s">
        <v>2051</v>
      </c>
      <c r="D376" s="1907"/>
      <c r="E376" s="1907"/>
      <c r="F376" s="1908"/>
      <c r="G376" s="1908"/>
      <c r="H376" s="1908"/>
      <c r="I376" s="1908"/>
      <c r="J376" s="1909" t="s">
        <v>1758</v>
      </c>
      <c r="K376" s="1910" t="s">
        <v>1749</v>
      </c>
      <c r="L376" s="2038"/>
      <c r="M376" s="1727"/>
      <c r="N376" s="2559"/>
      <c r="O376" s="2037"/>
      <c r="P376" s="1736"/>
      <c r="Q376" s="1757"/>
      <c r="R376" s="1757"/>
      <c r="S376" s="1757"/>
      <c r="T376" s="1757"/>
      <c r="U376" s="1757"/>
      <c r="V376" s="1757"/>
      <c r="W376" s="1757"/>
      <c r="X376" s="1757"/>
      <c r="Y376" s="1757"/>
      <c r="Z376" s="1757"/>
      <c r="AA376" s="1757"/>
      <c r="AM376" s="2094">
        <v>376</v>
      </c>
    </row>
    <row r="377" spans="1:39" s="1725" customFormat="1" ht="15.95" customHeight="1">
      <c r="A377" s="1727"/>
      <c r="B377" s="1734"/>
      <c r="C377" s="1912"/>
      <c r="D377" s="1725" t="s">
        <v>2052</v>
      </c>
      <c r="E377" s="1747"/>
      <c r="J377" s="1913">
        <f>MAX(O160,O161-O162)</f>
        <v>20</v>
      </c>
      <c r="K377" s="1914">
        <f>MAX(P160,P161-P162)</f>
        <v>0</v>
      </c>
      <c r="L377" s="2039"/>
      <c r="M377" s="1727"/>
      <c r="N377" s="2559"/>
      <c r="O377" s="2037"/>
      <c r="P377" s="1736"/>
      <c r="Q377" s="1757"/>
      <c r="R377" s="1757"/>
      <c r="S377" s="1757"/>
      <c r="T377" s="1757"/>
      <c r="U377" s="1757"/>
      <c r="V377" s="1757"/>
      <c r="W377" s="1757"/>
      <c r="X377" s="1757"/>
      <c r="Y377" s="1757"/>
      <c r="Z377" s="1757"/>
      <c r="AA377" s="1757"/>
      <c r="AM377" s="2095">
        <v>377</v>
      </c>
    </row>
    <row r="378" spans="1:39" s="1725" customFormat="1" ht="15.95" customHeight="1">
      <c r="A378" s="1727"/>
      <c r="B378" s="1734"/>
      <c r="C378" s="1912"/>
      <c r="D378" s="1725" t="s">
        <v>2053</v>
      </c>
      <c r="E378" s="1747"/>
      <c r="J378" s="1913">
        <f>MAX(O169,O178+O179+O181+O182+O183)</f>
        <v>3</v>
      </c>
      <c r="K378" s="1914">
        <f>MAX(P169,P178+P179+P181+P182+P183)</f>
        <v>0</v>
      </c>
      <c r="L378" s="2039"/>
      <c r="M378" s="1727"/>
      <c r="N378" s="2559"/>
      <c r="O378" s="2037"/>
      <c r="P378" s="1736"/>
      <c r="Q378" s="1757"/>
      <c r="R378" s="1757"/>
      <c r="S378" s="1757"/>
      <c r="T378" s="1757"/>
      <c r="U378" s="1757"/>
      <c r="V378" s="1757"/>
      <c r="W378" s="1757"/>
      <c r="X378" s="1757"/>
      <c r="Y378" s="1757"/>
      <c r="Z378" s="1757"/>
      <c r="AA378" s="1757"/>
      <c r="AM378" s="2094">
        <v>378</v>
      </c>
    </row>
    <row r="379" spans="1:39" s="1725" customFormat="1" ht="15.95" customHeight="1">
      <c r="A379" s="1727"/>
      <c r="B379" s="1734"/>
      <c r="C379" s="1912"/>
      <c r="D379" s="1725" t="s">
        <v>2054</v>
      </c>
      <c r="F379" s="1843"/>
      <c r="J379" s="2040">
        <f>$O$190</f>
        <v>2</v>
      </c>
      <c r="K379" s="2041">
        <f>$P$190</f>
        <v>0</v>
      </c>
      <c r="L379" s="2039"/>
      <c r="M379" s="1727"/>
      <c r="N379" s="2559"/>
      <c r="O379" s="2037"/>
      <c r="P379" s="1736"/>
      <c r="Q379" s="1757"/>
      <c r="R379" s="1757"/>
      <c r="S379" s="1757"/>
      <c r="T379" s="1757"/>
      <c r="U379" s="1757"/>
      <c r="V379" s="1757"/>
      <c r="W379" s="1757"/>
      <c r="X379" s="1757"/>
      <c r="Y379" s="1757"/>
      <c r="Z379" s="1757"/>
      <c r="AA379" s="1757"/>
      <c r="AM379" s="2094">
        <v>379</v>
      </c>
    </row>
    <row r="380" spans="1:39" s="1725" customFormat="1" ht="15.95" customHeight="1">
      <c r="A380" s="1727"/>
      <c r="B380" s="1734"/>
      <c r="C380" s="2042" t="s">
        <v>2055</v>
      </c>
      <c r="F380" s="1843"/>
      <c r="I380" s="1857" t="s">
        <v>2056</v>
      </c>
      <c r="J380" s="2047">
        <f>MAX(J381:J383)</f>
        <v>9</v>
      </c>
      <c r="K380" s="2048">
        <f>MAX(K381:K383)</f>
        <v>0</v>
      </c>
      <c r="L380" s="2039"/>
      <c r="M380" s="1727"/>
      <c r="N380" s="2559"/>
      <c r="O380" s="2037"/>
      <c r="P380" s="1736"/>
      <c r="Q380" s="1757"/>
      <c r="R380" s="1757"/>
      <c r="S380" s="1757"/>
      <c r="T380" s="1757"/>
      <c r="U380" s="1757"/>
      <c r="V380" s="1757"/>
      <c r="W380" s="1757"/>
      <c r="X380" s="1757"/>
      <c r="Y380" s="1757"/>
      <c r="Z380" s="1757"/>
      <c r="AA380" s="1757"/>
      <c r="AM380" s="2094">
        <v>380</v>
      </c>
    </row>
    <row r="381" spans="1:39" s="1725" customFormat="1" ht="15.95" customHeight="1">
      <c r="A381" s="1727"/>
      <c r="B381" s="1734"/>
      <c r="C381" s="1912"/>
      <c r="D381" s="1725" t="s">
        <v>2012</v>
      </c>
      <c r="F381" s="1843"/>
      <c r="J381" s="1913">
        <f>MAX(O206,O212+O222+O229)</f>
        <v>0</v>
      </c>
      <c r="K381" s="1914">
        <f>MAX(P206,P212+P222+P229)</f>
        <v>0</v>
      </c>
      <c r="L381" s="2039"/>
      <c r="M381" s="1727"/>
      <c r="N381" s="2559"/>
      <c r="O381" s="2037"/>
      <c r="P381" s="1736"/>
      <c r="Q381" s="1757"/>
      <c r="R381" s="1757"/>
      <c r="S381" s="1757"/>
      <c r="T381" s="1757"/>
      <c r="U381" s="1757"/>
      <c r="V381" s="1757"/>
      <c r="W381" s="1757"/>
      <c r="X381" s="1757"/>
      <c r="Y381" s="1757"/>
      <c r="Z381" s="1757"/>
      <c r="AA381" s="1757"/>
      <c r="AM381" s="2094">
        <v>381</v>
      </c>
    </row>
    <row r="382" spans="1:39" s="1725" customFormat="1" ht="15.95" customHeight="1">
      <c r="A382" s="1727"/>
      <c r="B382" s="1734"/>
      <c r="C382" s="1912"/>
      <c r="D382" s="1725" t="s">
        <v>1763</v>
      </c>
      <c r="F382" s="1843"/>
      <c r="J382" s="1916">
        <f>MAX($J$251,$O$238)</f>
        <v>9</v>
      </c>
      <c r="K382" s="1917">
        <f>MAX($K$251,$P$238)</f>
        <v>0</v>
      </c>
      <c r="L382" s="2039"/>
      <c r="M382" s="1727"/>
      <c r="N382" s="2559"/>
      <c r="O382" s="2037"/>
      <c r="P382" s="1736"/>
      <c r="Q382" s="1757"/>
      <c r="R382" s="1757"/>
      <c r="S382" s="1757"/>
      <c r="T382" s="1757"/>
      <c r="U382" s="1757"/>
      <c r="V382" s="1757"/>
      <c r="W382" s="1757"/>
      <c r="X382" s="1757"/>
      <c r="Y382" s="1757"/>
      <c r="Z382" s="1757"/>
      <c r="AA382" s="1757"/>
      <c r="AM382" s="2094">
        <v>382</v>
      </c>
    </row>
    <row r="383" spans="1:39" s="1725" customFormat="1" ht="15.95" customHeight="1">
      <c r="A383" s="1727"/>
      <c r="B383" s="1734"/>
      <c r="C383" s="1918"/>
      <c r="D383" s="1920" t="s">
        <v>2057</v>
      </c>
      <c r="E383" s="1920"/>
      <c r="F383" s="2043"/>
      <c r="G383" s="1920"/>
      <c r="H383" s="1920"/>
      <c r="I383" s="1920"/>
      <c r="J383" s="2044">
        <f>$O$265</f>
        <v>0</v>
      </c>
      <c r="K383" s="2045">
        <f>$P$265</f>
        <v>0</v>
      </c>
      <c r="L383" s="2046"/>
      <c r="M383" s="1727"/>
      <c r="N383" s="2559"/>
      <c r="O383" s="2037"/>
      <c r="P383" s="1736"/>
      <c r="Q383" s="1757"/>
      <c r="R383" s="1757"/>
      <c r="S383" s="1757"/>
      <c r="T383" s="1757"/>
      <c r="U383" s="1757"/>
      <c r="V383" s="1757"/>
      <c r="W383" s="1757"/>
      <c r="X383" s="1757"/>
      <c r="Y383" s="1757"/>
      <c r="Z383" s="1757"/>
      <c r="AA383" s="1757"/>
      <c r="AM383" s="2094">
        <v>383</v>
      </c>
    </row>
    <row r="384" spans="1:39" s="1725" customFormat="1" ht="15.95" customHeight="1">
      <c r="A384" s="1727" t="s">
        <v>241</v>
      </c>
      <c r="B384" s="1734" t="s">
        <v>2058</v>
      </c>
      <c r="D384" s="1747"/>
      <c r="G384" s="1758"/>
      <c r="K384" s="1762" t="str">
        <f>IF(OR($O384&lt;=$M384,$O384=0,$O384=""),"","*CHECK!*")</f>
        <v/>
      </c>
      <c r="L384" s="1760" t="s">
        <v>1767</v>
      </c>
      <c r="M384" s="1727">
        <v>22</v>
      </c>
      <c r="N384" s="2559"/>
      <c r="O384" s="1770">
        <f>IF($F$12="Preservation",IF(O385+O386+O387+O40&gt;$M384,"Check",O385+O386+O387+O399),0)</f>
        <v>0</v>
      </c>
      <c r="P384" s="1770">
        <f>IF($H$12="Preservation",IF(P385+P386+P387+P40&gt;$M384,"Check",P385+P386+P387+P399),0)</f>
        <v>0</v>
      </c>
      <c r="Q384" s="1757" t="s">
        <v>795</v>
      </c>
      <c r="R384" s="1763"/>
      <c r="AM384" s="2095">
        <v>384</v>
      </c>
    </row>
    <row r="385" spans="1:39" s="1725" customFormat="1" ht="15.95" customHeight="1">
      <c r="A385" s="1727"/>
      <c r="B385" s="1764"/>
      <c r="C385" s="1754" t="s">
        <v>2059</v>
      </c>
      <c r="H385" s="1931" t="s">
        <v>2060</v>
      </c>
      <c r="I385" s="1727"/>
      <c r="J385" s="1717"/>
      <c r="K385" s="1754"/>
      <c r="L385" s="1821" t="s">
        <v>1767</v>
      </c>
      <c r="M385" s="1824">
        <v>3</v>
      </c>
      <c r="N385" s="1760"/>
      <c r="O385" s="1644"/>
      <c r="P385" s="1847"/>
      <c r="Q385" s="1763"/>
      <c r="V385" s="1753"/>
      <c r="AM385" s="2095">
        <v>385</v>
      </c>
    </row>
    <row r="386" spans="1:39" s="1725" customFormat="1" ht="15" customHeight="1">
      <c r="A386" s="1727"/>
      <c r="B386" s="1767"/>
      <c r="C386" s="1775" t="s">
        <v>2061</v>
      </c>
      <c r="D386" s="1775"/>
      <c r="E386" s="1775"/>
      <c r="H386" s="1843" t="s">
        <v>2062</v>
      </c>
      <c r="I386" s="1775"/>
      <c r="J386" s="1718"/>
      <c r="K386" s="1775"/>
      <c r="L386" s="1821" t="s">
        <v>1767</v>
      </c>
      <c r="M386" s="1824">
        <v>3</v>
      </c>
      <c r="N386" s="1760"/>
      <c r="O386" s="1632"/>
      <c r="P386" s="1850"/>
      <c r="Q386" s="1760"/>
      <c r="V386" s="1753"/>
      <c r="AM386" s="2095">
        <v>386</v>
      </c>
    </row>
    <row r="387" spans="1:39" ht="15.95" customHeight="1">
      <c r="B387" s="1764"/>
      <c r="C387" s="1725" t="s">
        <v>2063</v>
      </c>
      <c r="F387" s="1843" t="s">
        <v>2064</v>
      </c>
      <c r="K387" s="1932" t="str">
        <f>IF(OR($O387="",$O$12="4%"),"","Ineligible!")</f>
        <v/>
      </c>
      <c r="L387" s="1821" t="s">
        <v>1767</v>
      </c>
      <c r="M387" s="2559">
        <v>10</v>
      </c>
      <c r="N387" s="1840"/>
      <c r="O387" s="1679"/>
      <c r="P387" s="1933"/>
      <c r="Q387" s="1762" t="str">
        <f>IF(OR($O387&lt;=$M387,$O387=0,$O387=""),"","*CHECK!*")</f>
        <v/>
      </c>
      <c r="R387" s="1763"/>
      <c r="AM387" s="2094">
        <v>387</v>
      </c>
    </row>
    <row r="388" spans="1:39" ht="15.95" customHeight="1">
      <c r="A388" s="1727"/>
      <c r="B388" s="1724" t="s">
        <v>2065</v>
      </c>
      <c r="D388" s="1724" t="s">
        <v>2066</v>
      </c>
      <c r="E388" s="1725"/>
      <c r="F388" s="1725"/>
      <c r="G388" s="1725" t="s">
        <v>247</v>
      </c>
      <c r="H388" s="1725"/>
      <c r="I388" s="1725"/>
      <c r="J388" s="1725" t="s">
        <v>57</v>
      </c>
      <c r="L388" s="2558" t="s">
        <v>2021</v>
      </c>
      <c r="M388" s="3648" t="s">
        <v>2067</v>
      </c>
      <c r="N388" s="3648"/>
      <c r="O388" s="3648"/>
      <c r="P388" s="3648"/>
      <c r="Q388" s="1762"/>
      <c r="AM388" s="2094">
        <v>388</v>
      </c>
    </row>
    <row r="389" spans="1:39" ht="15.95" customHeight="1">
      <c r="A389" s="1765" t="s">
        <v>214</v>
      </c>
      <c r="B389" s="3865"/>
      <c r="C389" s="3865"/>
      <c r="D389" s="3865"/>
      <c r="E389" s="3865"/>
      <c r="F389" s="3865"/>
      <c r="G389" s="3865"/>
      <c r="H389" s="3865"/>
      <c r="I389" s="3865"/>
      <c r="J389" s="3865"/>
      <c r="K389" s="3865"/>
      <c r="L389" s="1676"/>
      <c r="M389" s="3866"/>
      <c r="N389" s="3867"/>
      <c r="O389" s="3867"/>
      <c r="P389" s="3868"/>
      <c r="Q389" s="1762"/>
      <c r="AM389" s="2095">
        <v>389</v>
      </c>
    </row>
    <row r="390" spans="1:39" ht="15.95" customHeight="1">
      <c r="A390" s="1765" t="s">
        <v>217</v>
      </c>
      <c r="B390" s="3872"/>
      <c r="C390" s="3872"/>
      <c r="D390" s="3872"/>
      <c r="E390" s="3872"/>
      <c r="F390" s="3872"/>
      <c r="G390" s="3872"/>
      <c r="H390" s="3872"/>
      <c r="I390" s="3872"/>
      <c r="J390" s="3872"/>
      <c r="K390" s="3872"/>
      <c r="L390" s="1677"/>
      <c r="M390" s="3873"/>
      <c r="N390" s="3874"/>
      <c r="O390" s="3874"/>
      <c r="P390" s="3875"/>
      <c r="Q390" s="1762"/>
      <c r="AM390" s="2094">
        <v>390</v>
      </c>
    </row>
    <row r="391" spans="1:39" ht="15.95" customHeight="1">
      <c r="A391" s="1765" t="s">
        <v>219</v>
      </c>
      <c r="B391" s="3872"/>
      <c r="C391" s="3872"/>
      <c r="D391" s="3872"/>
      <c r="E391" s="3872"/>
      <c r="F391" s="3872"/>
      <c r="G391" s="3872"/>
      <c r="H391" s="3872"/>
      <c r="I391" s="3872"/>
      <c r="J391" s="3872"/>
      <c r="K391" s="3872"/>
      <c r="L391" s="1677"/>
      <c r="M391" s="3873"/>
      <c r="N391" s="3874"/>
      <c r="O391" s="3874"/>
      <c r="P391" s="3875"/>
      <c r="Q391" s="1762"/>
      <c r="AM391" s="2094">
        <v>391</v>
      </c>
    </row>
    <row r="392" spans="1:39" ht="15.95" customHeight="1">
      <c r="A392" s="1765" t="s">
        <v>2068</v>
      </c>
      <c r="B392" s="3872"/>
      <c r="C392" s="3872"/>
      <c r="D392" s="3872"/>
      <c r="E392" s="3872"/>
      <c r="F392" s="3872"/>
      <c r="G392" s="3872"/>
      <c r="H392" s="3872"/>
      <c r="I392" s="3872"/>
      <c r="J392" s="3872"/>
      <c r="K392" s="3872"/>
      <c r="L392" s="1677"/>
      <c r="M392" s="3873"/>
      <c r="N392" s="3874"/>
      <c r="O392" s="3874"/>
      <c r="P392" s="3875"/>
      <c r="Q392" s="1762"/>
      <c r="AM392" s="2095">
        <v>392</v>
      </c>
    </row>
    <row r="393" spans="1:39" ht="15.95" customHeight="1">
      <c r="A393" s="1765" t="s">
        <v>2069</v>
      </c>
      <c r="B393" s="3872"/>
      <c r="C393" s="3872"/>
      <c r="D393" s="3872"/>
      <c r="E393" s="3872"/>
      <c r="F393" s="3872"/>
      <c r="G393" s="3872"/>
      <c r="H393" s="3872"/>
      <c r="I393" s="3872"/>
      <c r="J393" s="3872"/>
      <c r="K393" s="3872"/>
      <c r="L393" s="1677"/>
      <c r="M393" s="3873"/>
      <c r="N393" s="3874"/>
      <c r="O393" s="3874"/>
      <c r="P393" s="3875"/>
      <c r="Q393" s="1762"/>
      <c r="AM393" s="2095">
        <v>393</v>
      </c>
    </row>
    <row r="394" spans="1:39" ht="15.95" customHeight="1">
      <c r="A394" s="1765" t="s">
        <v>2070</v>
      </c>
      <c r="B394" s="3872"/>
      <c r="C394" s="3872"/>
      <c r="D394" s="3872"/>
      <c r="E394" s="3872"/>
      <c r="F394" s="3872"/>
      <c r="G394" s="3872"/>
      <c r="H394" s="3872"/>
      <c r="I394" s="3872"/>
      <c r="J394" s="3872"/>
      <c r="K394" s="3872"/>
      <c r="L394" s="1677"/>
      <c r="M394" s="3873"/>
      <c r="N394" s="3874"/>
      <c r="O394" s="3874"/>
      <c r="P394" s="3875"/>
      <c r="Q394" s="1762"/>
      <c r="AM394" s="2095">
        <v>394</v>
      </c>
    </row>
    <row r="395" spans="1:39" ht="15.95" customHeight="1">
      <c r="A395" s="1765" t="s">
        <v>2071</v>
      </c>
      <c r="B395" s="3872"/>
      <c r="C395" s="3872"/>
      <c r="D395" s="3872"/>
      <c r="E395" s="3872"/>
      <c r="F395" s="3872"/>
      <c r="G395" s="3872"/>
      <c r="H395" s="3872"/>
      <c r="I395" s="3872"/>
      <c r="J395" s="3872"/>
      <c r="K395" s="3872"/>
      <c r="L395" s="1677"/>
      <c r="M395" s="3873"/>
      <c r="N395" s="3874"/>
      <c r="O395" s="3874"/>
      <c r="P395" s="3875"/>
      <c r="Q395" s="1762"/>
      <c r="AM395" s="2095">
        <v>395</v>
      </c>
    </row>
    <row r="396" spans="1:39" ht="15.95" customHeight="1">
      <c r="A396" s="1765" t="s">
        <v>2072</v>
      </c>
      <c r="B396" s="3872"/>
      <c r="C396" s="3872"/>
      <c r="D396" s="3872"/>
      <c r="E396" s="3872"/>
      <c r="F396" s="3872"/>
      <c r="G396" s="3872"/>
      <c r="H396" s="3872"/>
      <c r="I396" s="3872"/>
      <c r="J396" s="3872"/>
      <c r="K396" s="3872"/>
      <c r="L396" s="1677"/>
      <c r="M396" s="3873"/>
      <c r="N396" s="3874"/>
      <c r="O396" s="3874"/>
      <c r="P396" s="3875"/>
      <c r="Q396" s="1762"/>
      <c r="AM396" s="2094">
        <v>396</v>
      </c>
    </row>
    <row r="397" spans="1:39" ht="14.25">
      <c r="A397" s="1765" t="s">
        <v>2073</v>
      </c>
      <c r="B397" s="3872"/>
      <c r="C397" s="3872"/>
      <c r="D397" s="3872"/>
      <c r="E397" s="3872"/>
      <c r="F397" s="3872"/>
      <c r="G397" s="3872"/>
      <c r="H397" s="3872"/>
      <c r="I397" s="3872"/>
      <c r="J397" s="3872"/>
      <c r="K397" s="3872"/>
      <c r="L397" s="1677"/>
      <c r="M397" s="3873"/>
      <c r="N397" s="3874"/>
      <c r="O397" s="3874"/>
      <c r="P397" s="3875"/>
      <c r="AM397" s="2095">
        <v>397</v>
      </c>
    </row>
    <row r="398" spans="1:39" ht="15.95" customHeight="1">
      <c r="A398" s="1765" t="s">
        <v>2074</v>
      </c>
      <c r="B398" s="3886"/>
      <c r="C398" s="3886"/>
      <c r="D398" s="3886"/>
      <c r="E398" s="3886"/>
      <c r="F398" s="3886"/>
      <c r="G398" s="3886"/>
      <c r="H398" s="3886"/>
      <c r="I398" s="3886"/>
      <c r="J398" s="3886"/>
      <c r="K398" s="3886"/>
      <c r="L398" s="1678"/>
      <c r="M398" s="3887"/>
      <c r="N398" s="3888"/>
      <c r="O398" s="3888"/>
      <c r="P398" s="3889"/>
      <c r="Q398" s="1762"/>
      <c r="AM398" s="2094">
        <v>398</v>
      </c>
    </row>
    <row r="399" spans="1:39" s="1775" customFormat="1" ht="15.95" customHeight="1">
      <c r="A399" s="1867"/>
      <c r="B399" s="1767"/>
      <c r="C399" s="1775" t="s">
        <v>2075</v>
      </c>
      <c r="D399" s="1874"/>
      <c r="E399" s="1874"/>
      <c r="F399" s="1843" t="s">
        <v>2064</v>
      </c>
      <c r="H399" s="1843" t="s">
        <v>2076</v>
      </c>
      <c r="I399" s="1874"/>
      <c r="J399" s="1717"/>
      <c r="K399" s="1932" t="str">
        <f>IF(OR($O399="",$O$12="4%"),"","Ineligible!")</f>
        <v/>
      </c>
      <c r="L399" s="1821" t="s">
        <v>1767</v>
      </c>
      <c r="M399" s="2559">
        <v>6</v>
      </c>
      <c r="N399" s="1840"/>
      <c r="O399" s="1679"/>
      <c r="P399" s="1933"/>
      <c r="Q399" s="1762" t="str">
        <f>IF(OR($O399&lt;=$M399,$O399=0,$O399=""),"","*CHECK!*")</f>
        <v/>
      </c>
      <c r="AM399" s="2094">
        <v>399</v>
      </c>
    </row>
    <row r="400" spans="1:39" ht="15.95" customHeight="1">
      <c r="A400" s="1725"/>
      <c r="B400" s="1745" t="s">
        <v>1794</v>
      </c>
      <c r="C400" s="1725"/>
      <c r="D400" s="1725"/>
      <c r="E400" s="1725"/>
      <c r="F400" s="1725"/>
      <c r="G400" s="1725"/>
      <c r="H400" s="1725"/>
      <c r="I400" s="1725"/>
      <c r="J400" s="1725"/>
      <c r="K400" s="1725"/>
      <c r="M400" s="2559"/>
      <c r="N400" s="2558"/>
      <c r="O400" s="1736"/>
      <c r="AM400" s="2094">
        <v>400</v>
      </c>
    </row>
    <row r="401" spans="1:39" ht="15.95" customHeight="1">
      <c r="A401" s="3723" t="s">
        <v>2077</v>
      </c>
      <c r="B401" s="3724"/>
      <c r="C401" s="3724"/>
      <c r="D401" s="3724"/>
      <c r="E401" s="3724"/>
      <c r="F401" s="3724"/>
      <c r="G401" s="3724"/>
      <c r="H401" s="3724"/>
      <c r="I401" s="3724"/>
      <c r="J401" s="3724"/>
      <c r="K401" s="3724"/>
      <c r="L401" s="3724"/>
      <c r="M401" s="3724"/>
      <c r="N401" s="3724"/>
      <c r="O401" s="3724"/>
      <c r="P401" s="3725"/>
      <c r="Q401" s="1802"/>
      <c r="R401" s="1802"/>
      <c r="AM401" s="2094">
        <v>401</v>
      </c>
    </row>
    <row r="402" spans="1:39" s="1725" customFormat="1" ht="15.95" customHeight="1">
      <c r="A402" s="1745"/>
      <c r="B402" s="1745" t="s">
        <v>1447</v>
      </c>
      <c r="D402" s="1745"/>
      <c r="E402" s="2565"/>
      <c r="F402" s="2565"/>
      <c r="G402" s="2565"/>
      <c r="H402" s="2565"/>
      <c r="I402" s="2565"/>
      <c r="J402" s="2565"/>
      <c r="K402" s="2565"/>
      <c r="L402" s="2565"/>
      <c r="M402" s="2565"/>
      <c r="N402" s="2560"/>
      <c r="O402" s="2566"/>
      <c r="P402" s="1727"/>
      <c r="AM402" s="2095">
        <v>402</v>
      </c>
    </row>
    <row r="403" spans="1:39" ht="15.95" customHeight="1">
      <c r="A403" s="3700"/>
      <c r="B403" s="3701"/>
      <c r="C403" s="3701"/>
      <c r="D403" s="3701"/>
      <c r="E403" s="3701"/>
      <c r="F403" s="3701"/>
      <c r="G403" s="3701"/>
      <c r="H403" s="3701"/>
      <c r="I403" s="3701"/>
      <c r="J403" s="3701"/>
      <c r="K403" s="3701"/>
      <c r="L403" s="3701"/>
      <c r="M403" s="3701"/>
      <c r="N403" s="3701"/>
      <c r="O403" s="3701"/>
      <c r="P403" s="3702"/>
      <c r="Q403" s="1802"/>
      <c r="R403" s="1802"/>
      <c r="AM403" s="2095">
        <v>403</v>
      </c>
    </row>
    <row r="404" spans="1:39" ht="10.5" customHeight="1">
      <c r="A404" s="1725"/>
      <c r="B404" s="1725"/>
      <c r="C404" s="2563"/>
      <c r="D404" s="2563"/>
      <c r="E404" s="2563"/>
      <c r="F404" s="2563"/>
      <c r="G404" s="2563"/>
      <c r="H404" s="2563"/>
      <c r="I404" s="2563"/>
      <c r="J404" s="2563"/>
      <c r="K404" s="2563"/>
      <c r="L404" s="2563"/>
      <c r="M404" s="2563"/>
      <c r="N404" s="1784"/>
      <c r="O404" s="1785"/>
      <c r="P404" s="1727"/>
      <c r="Q404" s="3876" t="s">
        <v>2078</v>
      </c>
      <c r="R404" s="3877"/>
      <c r="S404" s="3877"/>
      <c r="T404" s="3877"/>
      <c r="U404" s="3877"/>
      <c r="V404" s="3877"/>
      <c r="W404" s="3877"/>
      <c r="X404" s="3877"/>
      <c r="Y404" s="3877"/>
      <c r="Z404" s="3877"/>
      <c r="AA404" s="3877"/>
      <c r="AB404" s="3877"/>
      <c r="AC404" s="3877"/>
      <c r="AD404" s="3877"/>
      <c r="AE404" s="3877"/>
      <c r="AF404" s="3877"/>
      <c r="AM404" s="2095">
        <v>404</v>
      </c>
    </row>
    <row r="405" spans="1:39" ht="10.5" customHeight="1">
      <c r="A405" s="1725"/>
      <c r="B405" s="1725"/>
      <c r="C405" s="2563"/>
      <c r="D405" s="2563"/>
      <c r="E405" s="2563"/>
      <c r="F405" s="2563"/>
      <c r="G405" s="2563"/>
      <c r="H405" s="2563"/>
      <c r="I405" s="2563"/>
      <c r="J405" s="2563"/>
      <c r="K405" s="2563"/>
      <c r="L405" s="2563"/>
      <c r="M405" s="2563"/>
      <c r="N405" s="1784"/>
      <c r="O405" s="1785"/>
      <c r="P405" s="1727"/>
      <c r="Q405" s="3876"/>
      <c r="R405" s="3877"/>
      <c r="S405" s="3877"/>
      <c r="T405" s="3877"/>
      <c r="U405" s="3877"/>
      <c r="V405" s="3877"/>
      <c r="W405" s="3877"/>
      <c r="X405" s="3877"/>
      <c r="Y405" s="3877"/>
      <c r="Z405" s="3877"/>
      <c r="AA405" s="3877"/>
      <c r="AB405" s="3877"/>
      <c r="AC405" s="3877"/>
      <c r="AD405" s="3877"/>
      <c r="AE405" s="3877"/>
      <c r="AF405" s="3877"/>
      <c r="AM405" s="2095">
        <v>405</v>
      </c>
    </row>
    <row r="406" spans="1:39" ht="15.95" customHeight="1" thickBot="1">
      <c r="N406" s="2558"/>
      <c r="Q406" s="3876"/>
      <c r="R406" s="3877"/>
      <c r="S406" s="3877"/>
      <c r="T406" s="3877"/>
      <c r="U406" s="3877"/>
      <c r="V406" s="3877"/>
      <c r="W406" s="3877"/>
      <c r="X406" s="3877"/>
      <c r="Y406" s="3877"/>
      <c r="Z406" s="3877"/>
      <c r="AA406" s="3877"/>
      <c r="AB406" s="3877"/>
      <c r="AC406" s="3877"/>
      <c r="AD406" s="3877"/>
      <c r="AE406" s="3877"/>
      <c r="AF406" s="3877"/>
      <c r="AM406" s="2094">
        <v>406</v>
      </c>
    </row>
    <row r="407" spans="1:39" s="1725" customFormat="1" ht="15.95" customHeight="1" thickTop="1" thickBot="1">
      <c r="A407" s="1734" t="s">
        <v>2079</v>
      </c>
      <c r="B407" s="1724"/>
      <c r="D407" s="1724"/>
      <c r="E407" s="1724"/>
      <c r="F407" s="1724"/>
      <c r="M407" s="1657"/>
      <c r="N407" s="1737"/>
      <c r="O407" s="1738">
        <f>IF(AND($F$12="New Affordability",$O$12="9%"),$AV$449,IF(AND($F$12="New Affordability",$O$12="4%"),$AW$449,IF(AND($F$12="Preservation",$O$12="9%"),$AX$449,IF(AND($F$12="Preservation",$O$12="4%"),$AY$449,0))))</f>
        <v>86.5</v>
      </c>
      <c r="P407" s="2051">
        <f>IF(AND($F$12="New Affordability",$O$12="9%"),$AZ$449,IF(AND($F$12="New Affordability",$O$12="4%"),$BA$449,IF(AND($F$12="Preservation",$O$12="9%"),$BB$449,IF(AND($F$12="Preservation",$O$12="4%"),$BC$449,0))))</f>
        <v>12</v>
      </c>
      <c r="Q407" s="3876"/>
      <c r="R407" s="3877"/>
      <c r="S407" s="3877"/>
      <c r="T407" s="3877"/>
      <c r="U407" s="3877"/>
      <c r="V407" s="3877"/>
      <c r="W407" s="3877"/>
      <c r="X407" s="3877"/>
      <c r="Y407" s="3877"/>
      <c r="Z407" s="3877"/>
      <c r="AA407" s="3877"/>
      <c r="AB407" s="3877"/>
      <c r="AC407" s="3877"/>
      <c r="AD407" s="3877"/>
      <c r="AE407" s="3877"/>
      <c r="AF407" s="3877"/>
      <c r="AM407" s="2095">
        <v>407</v>
      </c>
    </row>
    <row r="408" spans="1:39" ht="7.5" customHeight="1" thickTop="1">
      <c r="A408" s="1725"/>
      <c r="C408" s="2563"/>
      <c r="D408" s="2563"/>
      <c r="E408" s="2563"/>
      <c r="F408" s="2563"/>
      <c r="G408" s="2563"/>
      <c r="H408" s="2563"/>
      <c r="I408" s="2563"/>
      <c r="J408" s="2563"/>
      <c r="K408" s="2563"/>
      <c r="L408" s="2563"/>
      <c r="M408" s="2563"/>
      <c r="N408" s="2563"/>
      <c r="O408" s="2563"/>
      <c r="P408" s="2563"/>
      <c r="Q408" s="3876"/>
      <c r="R408" s="3877"/>
      <c r="S408" s="3877"/>
      <c r="T408" s="3877"/>
      <c r="U408" s="3877"/>
      <c r="V408" s="3877"/>
      <c r="W408" s="3877"/>
      <c r="X408" s="3877"/>
      <c r="Y408" s="3877"/>
      <c r="Z408" s="3877"/>
      <c r="AA408" s="3877"/>
      <c r="AB408" s="3877"/>
      <c r="AC408" s="3877"/>
      <c r="AD408" s="3877"/>
      <c r="AE408" s="3877"/>
      <c r="AF408" s="3877"/>
      <c r="AM408" s="2094">
        <v>408</v>
      </c>
    </row>
    <row r="409" spans="1:39" ht="7.5" customHeight="1">
      <c r="F409" s="1754"/>
      <c r="G409" s="1754"/>
      <c r="H409" s="1727"/>
      <c r="I409" s="1727"/>
      <c r="N409" s="1727"/>
      <c r="O409" s="1727"/>
      <c r="P409" s="1736"/>
      <c r="Q409" s="3876"/>
      <c r="R409" s="3877"/>
      <c r="S409" s="3877"/>
      <c r="T409" s="3877"/>
      <c r="U409" s="3877"/>
      <c r="V409" s="3877"/>
      <c r="W409" s="3877"/>
      <c r="X409" s="3877"/>
      <c r="Y409" s="3877"/>
      <c r="Z409" s="3877"/>
      <c r="AA409" s="3877"/>
      <c r="AB409" s="3877"/>
      <c r="AC409" s="3877"/>
      <c r="AD409" s="3877"/>
      <c r="AE409" s="3877"/>
      <c r="AF409" s="3877"/>
      <c r="AM409" s="2094">
        <v>409</v>
      </c>
    </row>
    <row r="410" spans="1:39" ht="54.75" customHeight="1">
      <c r="A410" s="3878" t="s">
        <v>2080</v>
      </c>
      <c r="B410" s="3878"/>
      <c r="C410" s="3878"/>
      <c r="D410" s="3878"/>
      <c r="E410" s="3878"/>
      <c r="F410" s="3878"/>
      <c r="G410" s="3878"/>
      <c r="H410" s="3878"/>
      <c r="I410" s="3878"/>
      <c r="J410" s="3878"/>
      <c r="K410" s="3878"/>
      <c r="L410" s="3878"/>
      <c r="M410" s="3878"/>
      <c r="N410" s="3878"/>
      <c r="O410" s="3878"/>
      <c r="P410" s="3878"/>
      <c r="Q410" s="3876"/>
      <c r="R410" s="3877"/>
      <c r="S410" s="3877"/>
      <c r="T410" s="3877"/>
      <c r="U410" s="3877"/>
      <c r="V410" s="3877"/>
      <c r="W410" s="3877"/>
      <c r="X410" s="3877"/>
      <c r="Y410" s="3877"/>
      <c r="Z410" s="3877"/>
      <c r="AA410" s="3877"/>
      <c r="AB410" s="3877"/>
      <c r="AC410" s="3877"/>
      <c r="AD410" s="3877"/>
      <c r="AE410" s="3877"/>
      <c r="AF410" s="3877"/>
      <c r="AM410" s="2094">
        <v>410</v>
      </c>
    </row>
    <row r="411" spans="1:39" ht="409.15" customHeight="1">
      <c r="A411" s="3858" t="s">
        <v>2081</v>
      </c>
      <c r="B411" s="3859"/>
      <c r="C411" s="3859"/>
      <c r="D411" s="3859"/>
      <c r="E411" s="3859"/>
      <c r="F411" s="3859"/>
      <c r="G411" s="3859"/>
      <c r="H411" s="3859"/>
      <c r="I411" s="3859"/>
      <c r="J411" s="3859"/>
      <c r="K411" s="3859"/>
      <c r="L411" s="3859"/>
      <c r="M411" s="3859"/>
      <c r="N411" s="3859"/>
      <c r="O411" s="3859"/>
      <c r="P411" s="3860"/>
      <c r="Q411" s="1740"/>
      <c r="R411" s="1740"/>
      <c r="S411" s="1740"/>
      <c r="T411" s="1740"/>
      <c r="U411" s="1740"/>
      <c r="V411" s="1740"/>
      <c r="W411" s="1740"/>
      <c r="X411" s="1740"/>
      <c r="Y411" s="1740"/>
      <c r="AM411" s="2096">
        <v>411</v>
      </c>
    </row>
    <row r="412" spans="1:39">
      <c r="B412" s="1658"/>
      <c r="C412" s="1658" t="s">
        <v>1726</v>
      </c>
      <c r="D412" s="1658"/>
      <c r="E412" s="1658"/>
      <c r="F412" s="1658"/>
      <c r="G412" s="1658"/>
      <c r="H412" s="1658"/>
      <c r="I412" s="1658"/>
      <c r="J412" s="1659" t="s">
        <v>1650</v>
      </c>
      <c r="K412" s="1658"/>
      <c r="L412" s="1658"/>
      <c r="M412" s="1658"/>
      <c r="N412" s="2556"/>
      <c r="O412" s="2557"/>
      <c r="P412" s="2557"/>
      <c r="Q412" s="1672"/>
      <c r="R412" s="1672"/>
      <c r="S412" s="1672"/>
      <c r="T412" s="1741"/>
      <c r="U412" s="1741"/>
      <c r="V412" s="1741"/>
      <c r="W412" s="1741"/>
      <c r="X412" s="1741"/>
      <c r="Y412" s="1741"/>
      <c r="AM412" s="2558"/>
    </row>
    <row r="413" spans="1:39">
      <c r="B413" s="1658"/>
      <c r="C413" s="1658" t="s">
        <v>2082</v>
      </c>
      <c r="D413" s="1658"/>
      <c r="E413" s="1658"/>
      <c r="F413" s="1658"/>
      <c r="G413" s="1658"/>
      <c r="H413" s="1658"/>
      <c r="I413" s="1658"/>
      <c r="J413" s="1659" t="s">
        <v>1673</v>
      </c>
      <c r="K413" s="1658"/>
      <c r="L413" s="1658"/>
      <c r="M413" s="1658"/>
      <c r="N413" s="2556"/>
      <c r="O413" s="2557"/>
      <c r="P413" s="2557"/>
      <c r="Q413" s="1658"/>
      <c r="R413" s="1658"/>
      <c r="S413" s="1658"/>
      <c r="AM413" s="2558"/>
    </row>
    <row r="414" spans="1:39">
      <c r="B414" s="1658"/>
      <c r="C414" s="1658" t="s">
        <v>2083</v>
      </c>
      <c r="D414" s="1658"/>
      <c r="E414" s="1658"/>
      <c r="F414" s="1658"/>
      <c r="G414" s="1658"/>
      <c r="H414" s="1658"/>
      <c r="I414" s="1658"/>
      <c r="J414" s="1659" t="s">
        <v>2084</v>
      </c>
      <c r="K414" s="1658"/>
      <c r="L414" s="1658"/>
      <c r="M414" s="1658"/>
      <c r="N414" s="2556"/>
      <c r="O414" s="2557"/>
      <c r="P414" s="2557"/>
      <c r="Q414" s="1658"/>
      <c r="R414" s="1658"/>
      <c r="S414" s="1658"/>
      <c r="AM414" s="2558"/>
    </row>
    <row r="415" spans="1:39">
      <c r="B415" s="1658"/>
      <c r="C415" s="1658" t="s">
        <v>2085</v>
      </c>
      <c r="D415" s="1658"/>
      <c r="E415" s="1658"/>
      <c r="F415" s="1658"/>
      <c r="G415" s="1658"/>
      <c r="H415" s="1658"/>
      <c r="I415" s="1658"/>
      <c r="J415" s="1659" t="s">
        <v>2086</v>
      </c>
      <c r="K415" s="1658"/>
      <c r="L415" s="1658"/>
      <c r="M415" s="1658"/>
      <c r="N415" s="2556"/>
      <c r="O415" s="2557"/>
      <c r="P415" s="2557"/>
      <c r="Q415" s="1658"/>
      <c r="R415" s="1658"/>
      <c r="S415" s="1658"/>
      <c r="AM415" s="2558"/>
    </row>
    <row r="416" spans="1:39">
      <c r="B416" s="1658"/>
      <c r="C416" s="1658"/>
      <c r="D416" s="1658"/>
      <c r="E416" s="1658"/>
      <c r="F416" s="1658"/>
      <c r="G416" s="1658"/>
      <c r="H416" s="1658"/>
      <c r="I416" s="1658"/>
      <c r="J416" s="1659" t="s">
        <v>1727</v>
      </c>
      <c r="K416" s="1658"/>
      <c r="L416" s="1658"/>
      <c r="M416" s="1658"/>
      <c r="N416" s="2556"/>
      <c r="O416" s="2557"/>
      <c r="P416" s="2557"/>
      <c r="Q416" s="1658"/>
      <c r="R416" s="1658"/>
      <c r="S416" s="1658"/>
      <c r="AM416" s="2558"/>
    </row>
    <row r="417" spans="2:58">
      <c r="B417" s="1658"/>
      <c r="C417" s="1658" t="s">
        <v>730</v>
      </c>
      <c r="D417" s="1658"/>
      <c r="E417" s="1658"/>
      <c r="F417" s="1658"/>
      <c r="G417" s="1658"/>
      <c r="H417" s="1658"/>
      <c r="I417" s="1658"/>
      <c r="J417" s="1659" t="s">
        <v>2087</v>
      </c>
      <c r="K417" s="1658"/>
      <c r="L417" s="1658"/>
      <c r="M417" s="1658"/>
      <c r="N417" s="2556"/>
      <c r="O417" s="2557"/>
      <c r="P417" s="2557"/>
      <c r="Q417" s="1658"/>
      <c r="R417" s="1658"/>
      <c r="S417" s="1658"/>
      <c r="AM417" s="2558"/>
    </row>
    <row r="418" spans="2:58" ht="15.75" thickBot="1">
      <c r="B418" s="1658"/>
      <c r="C418" s="1660" t="s">
        <v>1646</v>
      </c>
      <c r="D418" s="1658"/>
      <c r="E418" s="1658"/>
      <c r="F418" s="1658"/>
      <c r="G418" s="1658"/>
      <c r="H418" s="1658"/>
      <c r="I418" s="1658"/>
      <c r="J418" s="1659" t="s">
        <v>2088</v>
      </c>
      <c r="K418" s="1658"/>
      <c r="L418" s="1658"/>
      <c r="M418" s="1658"/>
      <c r="N418" s="2556"/>
      <c r="O418" s="2557"/>
      <c r="P418" s="2557"/>
      <c r="Q418" s="1658"/>
      <c r="R418" s="1658"/>
      <c r="S418" s="1658"/>
      <c r="AM418" s="2558"/>
      <c r="AS418" s="1729"/>
      <c r="AT418" s="1729"/>
      <c r="AU418" s="1725"/>
      <c r="AV418" s="3879" t="s">
        <v>2089</v>
      </c>
      <c r="AW418" s="3879"/>
      <c r="AX418" s="3879"/>
      <c r="AY418" s="3879"/>
      <c r="AZ418" s="3879"/>
      <c r="BA418" s="3879"/>
      <c r="BB418" s="3879"/>
      <c r="BC418" s="3879"/>
      <c r="BD418" s="1725"/>
      <c r="BE418" s="1725"/>
      <c r="BF418" s="1725"/>
    </row>
    <row r="419" spans="2:58" ht="15.75" thickBot="1">
      <c r="B419" s="1658"/>
      <c r="C419" s="1660" t="s">
        <v>1649</v>
      </c>
      <c r="D419" s="1658"/>
      <c r="E419" s="1658"/>
      <c r="F419" s="1658"/>
      <c r="G419" s="1658"/>
      <c r="H419" s="1658"/>
      <c r="I419" s="1658"/>
      <c r="J419" s="1659" t="s">
        <v>1659</v>
      </c>
      <c r="K419" s="1658"/>
      <c r="L419" s="1658"/>
      <c r="M419" s="1658"/>
      <c r="N419" s="2556"/>
      <c r="O419" s="2557"/>
      <c r="P419" s="2557"/>
      <c r="Q419" s="1658"/>
      <c r="R419" s="1658"/>
      <c r="S419" s="1658"/>
      <c r="AM419" s="2558"/>
      <c r="AP419" s="1729"/>
      <c r="AQ419" s="1729"/>
      <c r="AR419" s="1725"/>
      <c r="AS419" s="1725"/>
      <c r="AT419" s="1725"/>
      <c r="AU419" s="1725"/>
      <c r="AV419" s="3880" t="s">
        <v>2090</v>
      </c>
      <c r="AW419" s="3881"/>
      <c r="AX419" s="3881"/>
      <c r="AY419" s="3882"/>
      <c r="AZ419" s="3883" t="s">
        <v>2091</v>
      </c>
      <c r="BA419" s="3884"/>
      <c r="BB419" s="3884"/>
      <c r="BC419" s="3885"/>
    </row>
    <row r="420" spans="2:58">
      <c r="B420" s="1658"/>
      <c r="C420" s="1660" t="s">
        <v>1652</v>
      </c>
      <c r="D420" s="1658"/>
      <c r="E420" s="1658"/>
      <c r="F420" s="1658"/>
      <c r="G420" s="1658"/>
      <c r="H420" s="1658"/>
      <c r="I420" s="1658"/>
      <c r="J420" s="1659" t="s">
        <v>1644</v>
      </c>
      <c r="K420" s="1658"/>
      <c r="L420" s="1658"/>
      <c r="M420" s="1658"/>
      <c r="N420" s="2556"/>
      <c r="O420" s="2557"/>
      <c r="P420" s="2557"/>
      <c r="Q420" s="1658"/>
      <c r="R420" s="1658"/>
      <c r="S420" s="1658"/>
      <c r="AA420" s="2064" t="s">
        <v>25</v>
      </c>
      <c r="AB420" s="2065" t="s">
        <v>1753</v>
      </c>
      <c r="AC420" s="1658"/>
      <c r="AD420" s="1658"/>
      <c r="AE420" s="1658"/>
      <c r="AF420" s="1658"/>
      <c r="AG420" s="1658"/>
      <c r="AH420" s="1658"/>
      <c r="AI420" s="1658"/>
      <c r="AJ420" s="1658"/>
      <c r="AK420" s="1658"/>
      <c r="AL420" s="1658"/>
      <c r="AM420" s="2556"/>
      <c r="AN420" s="1658"/>
      <c r="AV420" s="1934"/>
      <c r="AW420" s="1934"/>
      <c r="AX420" s="1934"/>
      <c r="AY420" s="1934"/>
      <c r="AZ420" s="1934"/>
      <c r="BA420" s="1934"/>
      <c r="BB420" s="1934"/>
      <c r="BC420" s="1934"/>
    </row>
    <row r="421" spans="2:58" ht="15" customHeight="1">
      <c r="B421" s="1658"/>
      <c r="C421" s="1660" t="s">
        <v>1655</v>
      </c>
      <c r="D421" s="1658"/>
      <c r="E421" s="1658"/>
      <c r="F421" s="1658"/>
      <c r="G421" s="1658"/>
      <c r="H421" s="1658"/>
      <c r="I421" s="1658"/>
      <c r="J421" s="1659" t="s">
        <v>1656</v>
      </c>
      <c r="K421" s="1658"/>
      <c r="L421" s="1658"/>
      <c r="M421" s="1658"/>
      <c r="N421" s="2556"/>
      <c r="O421" s="2557"/>
      <c r="P421" s="2557"/>
      <c r="Q421" s="1658"/>
      <c r="R421" s="1658"/>
      <c r="S421" s="1658"/>
      <c r="AA421" s="1658"/>
      <c r="AB421" s="1658"/>
      <c r="AC421" s="1629"/>
      <c r="AD421" s="1658"/>
      <c r="AE421" s="1658"/>
      <c r="AF421" s="1658"/>
      <c r="AG421" s="3892" t="s">
        <v>1248</v>
      </c>
      <c r="AH421" s="3892"/>
      <c r="AI421" s="3892" t="s">
        <v>2092</v>
      </c>
      <c r="AJ421" s="3892"/>
      <c r="AK421" s="3895" t="s">
        <v>2093</v>
      </c>
      <c r="AL421" s="3895"/>
      <c r="AM421" s="3895"/>
      <c r="AN421" s="3895"/>
      <c r="AP421" s="1748"/>
      <c r="AQ421" s="1747" t="s">
        <v>1753</v>
      </c>
      <c r="AR421" s="1748"/>
      <c r="AS421" s="1748"/>
      <c r="AT421" s="1748"/>
      <c r="AV421" s="3896" t="s">
        <v>1248</v>
      </c>
      <c r="AW421" s="3897"/>
      <c r="AX421" s="3896" t="s">
        <v>2092</v>
      </c>
      <c r="AY421" s="3897"/>
      <c r="AZ421" s="3898" t="s">
        <v>1248</v>
      </c>
      <c r="BA421" s="3898"/>
      <c r="BB421" s="3890" t="s">
        <v>2092</v>
      </c>
      <c r="BC421" s="3891"/>
    </row>
    <row r="422" spans="2:58" ht="28.5">
      <c r="B422" s="1658"/>
      <c r="C422" s="1660" t="s">
        <v>1658</v>
      </c>
      <c r="D422" s="1658"/>
      <c r="E422" s="1658"/>
      <c r="F422" s="1658"/>
      <c r="G422" s="1658"/>
      <c r="H422" s="1658"/>
      <c r="I422" s="1658"/>
      <c r="J422" s="1659" t="s">
        <v>2094</v>
      </c>
      <c r="K422" s="1658"/>
      <c r="L422" s="1658"/>
      <c r="M422" s="1658"/>
      <c r="N422" s="2556"/>
      <c r="O422" s="2557"/>
      <c r="P422" s="2557"/>
      <c r="Q422" s="1658"/>
      <c r="R422" s="1658"/>
      <c r="S422" s="1658"/>
      <c r="AA422" s="1658"/>
      <c r="AB422" s="1629"/>
      <c r="AC422" s="1658"/>
      <c r="AD422" s="1658"/>
      <c r="AE422" s="1658"/>
      <c r="AF422" s="1658"/>
      <c r="AG422" s="2066">
        <v>0.09</v>
      </c>
      <c r="AH422" s="2066" t="s">
        <v>2095</v>
      </c>
      <c r="AI422" s="2066">
        <v>0.09</v>
      </c>
      <c r="AJ422" s="2066" t="s">
        <v>2095</v>
      </c>
      <c r="AK422" s="3892" t="str">
        <f>'Part I-Project Identification'!F12</f>
        <v>9% Credit Competitive Round only</v>
      </c>
      <c r="AL422" s="3892"/>
      <c r="AM422" s="3892"/>
      <c r="AN422" s="3892"/>
      <c r="AQ422" s="1725"/>
      <c r="AV422" s="1935">
        <v>0.09</v>
      </c>
      <c r="AW422" s="1935" t="s">
        <v>2095</v>
      </c>
      <c r="AX422" s="1935">
        <v>0.09</v>
      </c>
      <c r="AY422" s="1935" t="s">
        <v>2095</v>
      </c>
      <c r="AZ422" s="1936">
        <v>0.09</v>
      </c>
      <c r="BA422" s="1936" t="s">
        <v>2095</v>
      </c>
      <c r="BB422" s="1936">
        <v>0.09</v>
      </c>
      <c r="BC422" s="1936" t="s">
        <v>2095</v>
      </c>
    </row>
    <row r="423" spans="2:58">
      <c r="B423" s="1658"/>
      <c r="C423" s="1660" t="s">
        <v>1661</v>
      </c>
      <c r="D423" s="1658"/>
      <c r="E423" s="1658"/>
      <c r="F423" s="1658"/>
      <c r="G423" s="1658"/>
      <c r="H423" s="1658"/>
      <c r="I423" s="1658"/>
      <c r="J423" s="1659" t="s">
        <v>1671</v>
      </c>
      <c r="K423" s="1658"/>
      <c r="L423" s="1658"/>
      <c r="M423" s="1658"/>
      <c r="N423" s="2556"/>
      <c r="O423" s="2557"/>
      <c r="P423" s="2557"/>
      <c r="Q423" s="1658"/>
      <c r="R423" s="1658"/>
      <c r="S423" s="1658"/>
      <c r="AA423" s="2067"/>
      <c r="AB423" s="1629"/>
      <c r="AC423" s="1658"/>
      <c r="AD423" s="1658"/>
      <c r="AE423" s="1658"/>
      <c r="AF423" s="1658"/>
      <c r="AG423" s="2068"/>
      <c r="AH423" s="2068"/>
      <c r="AI423" s="2068"/>
      <c r="AJ423" s="2068"/>
      <c r="AK423" s="1658"/>
      <c r="AL423" s="1658"/>
      <c r="AM423" s="2556"/>
      <c r="AN423" s="1658"/>
      <c r="AP423" s="1760"/>
      <c r="AQ423" s="1920"/>
      <c r="AR423" s="1920"/>
      <c r="AS423" s="1920"/>
      <c r="AT423" s="1920"/>
      <c r="AU423" s="1920"/>
      <c r="AV423" s="1938"/>
      <c r="AW423" s="1939"/>
      <c r="AX423" s="1940"/>
      <c r="AY423" s="1941"/>
      <c r="AZ423" s="1942"/>
      <c r="BA423" s="1943"/>
      <c r="BB423" s="1944"/>
      <c r="BC423" s="1943"/>
    </row>
    <row r="424" spans="2:58">
      <c r="B424" s="1658"/>
      <c r="C424" s="1660" t="s">
        <v>1664</v>
      </c>
      <c r="D424" s="1658"/>
      <c r="E424" s="1658"/>
      <c r="F424" s="1658"/>
      <c r="G424" s="1658"/>
      <c r="H424" s="1658"/>
      <c r="I424" s="1658"/>
      <c r="J424" s="1659" t="s">
        <v>2096</v>
      </c>
      <c r="K424" s="1658"/>
      <c r="L424" s="1658"/>
      <c r="M424" s="1658"/>
      <c r="N424" s="2556"/>
      <c r="O424" s="2557"/>
      <c r="P424" s="2557"/>
      <c r="Q424" s="1658"/>
      <c r="R424" s="1658"/>
      <c r="S424" s="1658"/>
      <c r="AA424" s="2067" t="s">
        <v>32</v>
      </c>
      <c r="AB424" s="1629" t="s">
        <v>2097</v>
      </c>
      <c r="AC424" s="1658"/>
      <c r="AD424" s="1658"/>
      <c r="AE424" s="1658"/>
      <c r="AF424" s="1658"/>
      <c r="AG424" s="2068">
        <f>$M$20</f>
        <v>6</v>
      </c>
      <c r="AH424" s="2068">
        <f>$M$20</f>
        <v>6</v>
      </c>
      <c r="AI424" s="2068">
        <f>$M$20</f>
        <v>6</v>
      </c>
      <c r="AJ424" s="2068">
        <f>$M$20</f>
        <v>6</v>
      </c>
      <c r="AK424" s="1658"/>
      <c r="AL424" s="1658"/>
      <c r="AM424" s="2556"/>
      <c r="AN424" s="1658"/>
      <c r="AP424" s="1760" t="s">
        <v>32</v>
      </c>
      <c r="AQ424" s="1945" t="s">
        <v>2097</v>
      </c>
      <c r="AR424" s="1937"/>
      <c r="AS424" s="1937"/>
      <c r="AT424" s="1937"/>
      <c r="AU424" s="1937"/>
      <c r="AV424" s="1938">
        <f>$O$20</f>
        <v>6</v>
      </c>
      <c r="AW424" s="1939">
        <f>$O$20</f>
        <v>6</v>
      </c>
      <c r="AX424" s="1946">
        <f>$O$20</f>
        <v>6</v>
      </c>
      <c r="AY424" s="1947">
        <f>$O$20</f>
        <v>6</v>
      </c>
      <c r="AZ424" s="1948">
        <f>$P$20</f>
        <v>0</v>
      </c>
      <c r="BA424" s="1949">
        <f>$P$20</f>
        <v>0</v>
      </c>
      <c r="BB424" s="1950">
        <f>$P$20</f>
        <v>0</v>
      </c>
      <c r="BC424" s="1949">
        <f>$P$20</f>
        <v>0</v>
      </c>
    </row>
    <row r="425" spans="2:58">
      <c r="B425" s="1658"/>
      <c r="C425" s="1660" t="s">
        <v>1667</v>
      </c>
      <c r="D425" s="1658"/>
      <c r="E425" s="1658"/>
      <c r="F425" s="1658"/>
      <c r="G425" s="1658"/>
      <c r="H425" s="1658"/>
      <c r="I425" s="1658"/>
      <c r="J425" s="1659" t="s">
        <v>2098</v>
      </c>
      <c r="K425" s="1658"/>
      <c r="L425" s="1658"/>
      <c r="M425" s="1658"/>
      <c r="N425" s="2556"/>
      <c r="O425" s="2557"/>
      <c r="P425" s="2557"/>
      <c r="Q425" s="1658"/>
      <c r="R425" s="1658"/>
      <c r="S425" s="1658"/>
      <c r="AA425" s="2067" t="s">
        <v>51</v>
      </c>
      <c r="AB425" s="1629" t="s">
        <v>2099</v>
      </c>
      <c r="AC425" s="1658"/>
      <c r="AD425" s="1658"/>
      <c r="AE425" s="1658"/>
      <c r="AF425" s="1658"/>
      <c r="AG425" s="2068">
        <f>$M$37</f>
        <v>2</v>
      </c>
      <c r="AH425" s="2068">
        <f>$M$37</f>
        <v>2</v>
      </c>
      <c r="AI425" s="2068">
        <f>$M$37</f>
        <v>2</v>
      </c>
      <c r="AJ425" s="2068">
        <f>$M$37</f>
        <v>2</v>
      </c>
      <c r="AK425" s="1628" t="s">
        <v>2100</v>
      </c>
      <c r="AL425" s="1658"/>
      <c r="AM425" s="2556"/>
      <c r="AN425" s="2555" t="str">
        <f>IF(OR($AK$422="9% Credit Competitive Round only", $AK$422="9% Credit &amp; HOME"),"9%",IF(OR($AK$422="4% Credit/TE Bond", $AK$422="4% Credit/TE Bond &amp; HOME", $AK$422="4% Credit/TE Bond &amp; HOME NOFA", $AK$422="4% Credit &amp; NHTF", $AK$422="4% Credit &amp; NHTF &amp; HOME"),"4%",""))</f>
        <v>9%</v>
      </c>
      <c r="AP425" s="1760" t="s">
        <v>51</v>
      </c>
      <c r="AQ425" s="1945" t="s">
        <v>2099</v>
      </c>
      <c r="AR425" s="1951"/>
      <c r="AS425" s="1951"/>
      <c r="AT425" s="1951"/>
      <c r="AU425" s="1951"/>
      <c r="AV425" s="1946">
        <f>$O$37</f>
        <v>2</v>
      </c>
      <c r="AW425" s="1953">
        <f>$O$37</f>
        <v>2</v>
      </c>
      <c r="AX425" s="1946">
        <f>$O$37</f>
        <v>2</v>
      </c>
      <c r="AY425" s="1947">
        <f>$O$37</f>
        <v>2</v>
      </c>
      <c r="AZ425" s="1948">
        <f>$P$37</f>
        <v>0</v>
      </c>
      <c r="BA425" s="1949">
        <f>$P$37</f>
        <v>0</v>
      </c>
      <c r="BB425" s="1950">
        <f>$P$37</f>
        <v>0</v>
      </c>
      <c r="BC425" s="1949">
        <f>$P$37</f>
        <v>0</v>
      </c>
    </row>
    <row r="426" spans="2:58">
      <c r="B426" s="1658"/>
      <c r="C426" s="1660" t="s">
        <v>1670</v>
      </c>
      <c r="D426" s="1658"/>
      <c r="E426" s="1658"/>
      <c r="F426" s="1658"/>
      <c r="G426" s="1658"/>
      <c r="H426" s="1658"/>
      <c r="I426" s="1658"/>
      <c r="J426" s="1658"/>
      <c r="K426" s="1658"/>
      <c r="L426" s="1658"/>
      <c r="M426" s="1658"/>
      <c r="N426" s="2556"/>
      <c r="O426" s="2557"/>
      <c r="P426" s="2557"/>
      <c r="Q426" s="1658"/>
      <c r="R426" s="1658"/>
      <c r="S426" s="1658"/>
      <c r="AA426" s="2067" t="s">
        <v>68</v>
      </c>
      <c r="AB426" s="1629" t="s">
        <v>2101</v>
      </c>
      <c r="AC426" s="1658"/>
      <c r="AD426" s="1658"/>
      <c r="AE426" s="1658"/>
      <c r="AF426" s="1658"/>
      <c r="AG426" s="2069">
        <f>$M$55</f>
        <v>5</v>
      </c>
      <c r="AH426" s="2068">
        <f>$M$55</f>
        <v>5</v>
      </c>
      <c r="AI426" s="2068">
        <f>$M$55</f>
        <v>5</v>
      </c>
      <c r="AJ426" s="2068">
        <f>$M$55</f>
        <v>5</v>
      </c>
      <c r="AK426" s="1658"/>
      <c r="AL426" s="1658"/>
      <c r="AM426" s="2556"/>
      <c r="AN426" s="1658"/>
      <c r="AP426" s="1760" t="s">
        <v>68</v>
      </c>
      <c r="AQ426" s="1945" t="s">
        <v>2101</v>
      </c>
      <c r="AR426" s="1951"/>
      <c r="AS426" s="1951"/>
      <c r="AT426" s="1951"/>
      <c r="AU426" s="1951"/>
      <c r="AV426" s="1954">
        <f>$O$55</f>
        <v>3.5</v>
      </c>
      <c r="AW426" s="1955">
        <f>$O$55</f>
        <v>3.5</v>
      </c>
      <c r="AX426" s="1956">
        <f>$O$55</f>
        <v>3.5</v>
      </c>
      <c r="AY426" s="1957">
        <f>$O$55</f>
        <v>3.5</v>
      </c>
      <c r="AZ426" s="1958">
        <f>$P$55</f>
        <v>0</v>
      </c>
      <c r="BA426" s="1959">
        <f>$P$55</f>
        <v>0</v>
      </c>
      <c r="BB426" s="1960">
        <f>$P$55</f>
        <v>0</v>
      </c>
      <c r="BC426" s="1961">
        <f>$P$55</f>
        <v>0</v>
      </c>
    </row>
    <row r="427" spans="2:58">
      <c r="B427" s="1658"/>
      <c r="C427" s="1660" t="s">
        <v>1672</v>
      </c>
      <c r="D427" s="1658"/>
      <c r="E427" s="1658"/>
      <c r="F427" s="1658"/>
      <c r="G427" s="1658"/>
      <c r="H427" s="1658"/>
      <c r="I427" s="1658"/>
      <c r="J427" s="1661" t="s">
        <v>2102</v>
      </c>
      <c r="K427" s="1658"/>
      <c r="L427" s="1658"/>
      <c r="M427" s="1658"/>
      <c r="N427" s="2556"/>
      <c r="O427" s="1661" t="s">
        <v>2103</v>
      </c>
      <c r="P427" s="2557"/>
      <c r="Q427" s="1658"/>
      <c r="R427" s="1658"/>
      <c r="S427" s="1658"/>
      <c r="AA427" s="2067" t="s">
        <v>77</v>
      </c>
      <c r="AB427" s="1629" t="s">
        <v>2104</v>
      </c>
      <c r="AC427" s="1658"/>
      <c r="AD427" s="1658"/>
      <c r="AE427" s="1658"/>
      <c r="AF427" s="1658"/>
      <c r="AG427" s="2068">
        <f>$M$89</f>
        <v>10</v>
      </c>
      <c r="AH427" s="2068">
        <f>$M$89</f>
        <v>10</v>
      </c>
      <c r="AI427" s="2068">
        <f>$M$89</f>
        <v>10</v>
      </c>
      <c r="AJ427" s="2068">
        <f>$M$89</f>
        <v>10</v>
      </c>
      <c r="AK427" s="1658"/>
      <c r="AL427" s="1658"/>
      <c r="AM427" s="2556"/>
      <c r="AN427" s="1658"/>
      <c r="AP427" s="1760" t="s">
        <v>77</v>
      </c>
      <c r="AQ427" s="1945" t="s">
        <v>2104</v>
      </c>
      <c r="AR427" s="1951"/>
      <c r="AS427" s="1951"/>
      <c r="AT427" s="1951"/>
      <c r="AU427" s="1951"/>
      <c r="AV427" s="1946">
        <f>$O$89</f>
        <v>10</v>
      </c>
      <c r="AW427" s="1953">
        <f>$O$89</f>
        <v>10</v>
      </c>
      <c r="AX427" s="1946">
        <f>$O$89</f>
        <v>10</v>
      </c>
      <c r="AY427" s="1947">
        <f>$O$89</f>
        <v>10</v>
      </c>
      <c r="AZ427" s="1948">
        <f>$P$89</f>
        <v>10</v>
      </c>
      <c r="BA427" s="1949">
        <f>$P$89</f>
        <v>10</v>
      </c>
      <c r="BB427" s="1960">
        <f>$P$89</f>
        <v>10</v>
      </c>
      <c r="BC427" s="1961">
        <f>$P$89</f>
        <v>10</v>
      </c>
    </row>
    <row r="428" spans="2:58">
      <c r="B428" s="1658"/>
      <c r="C428" s="1660" t="s">
        <v>1674</v>
      </c>
      <c r="D428" s="1658"/>
      <c r="E428" s="1658"/>
      <c r="F428" s="1658"/>
      <c r="G428" s="1658"/>
      <c r="H428" s="1658"/>
      <c r="I428" s="1658"/>
      <c r="J428" s="1659" t="s">
        <v>2105</v>
      </c>
      <c r="K428" s="1658"/>
      <c r="L428" s="1658"/>
      <c r="M428" s="1658"/>
      <c r="N428" s="2556"/>
      <c r="O428" s="2557"/>
      <c r="P428" s="2557"/>
      <c r="Q428" s="1658"/>
      <c r="R428" s="1658"/>
      <c r="S428" s="1658"/>
      <c r="AA428" s="2067" t="s">
        <v>79</v>
      </c>
      <c r="AB428" s="1629" t="s">
        <v>2106</v>
      </c>
      <c r="AC428" s="1658"/>
      <c r="AD428" s="1658"/>
      <c r="AE428" s="1658"/>
      <c r="AF428" s="1658"/>
      <c r="AG428" s="2068">
        <f>$M$100</f>
        <v>5</v>
      </c>
      <c r="AH428" s="2068">
        <f>$M$100</f>
        <v>5</v>
      </c>
      <c r="AI428" s="2068">
        <f>$M$100</f>
        <v>5</v>
      </c>
      <c r="AJ428" s="2068">
        <f>$M$100</f>
        <v>5</v>
      </c>
      <c r="AK428" s="3893" t="s">
        <v>2107</v>
      </c>
      <c r="AL428" s="3893"/>
      <c r="AM428" s="3893"/>
      <c r="AN428" s="3893"/>
      <c r="AP428" s="1760" t="s">
        <v>79</v>
      </c>
      <c r="AQ428" s="1945" t="s">
        <v>2106</v>
      </c>
      <c r="AR428" s="1951"/>
      <c r="AS428" s="1951"/>
      <c r="AT428" s="1951"/>
      <c r="AU428" s="1951"/>
      <c r="AV428" s="1946">
        <f>$O$100</f>
        <v>5</v>
      </c>
      <c r="AW428" s="1962">
        <f>$O$100</f>
        <v>5</v>
      </c>
      <c r="AX428" s="1956">
        <f>$O$100</f>
        <v>5</v>
      </c>
      <c r="AY428" s="1957">
        <f>$O$100</f>
        <v>5</v>
      </c>
      <c r="AZ428" s="1948">
        <f>$P$100</f>
        <v>2</v>
      </c>
      <c r="BA428" s="1961">
        <f>$P$100</f>
        <v>2</v>
      </c>
      <c r="BB428" s="1960">
        <f>$P$100</f>
        <v>2</v>
      </c>
      <c r="BC428" s="1961">
        <f>$P$100</f>
        <v>2</v>
      </c>
    </row>
    <row r="429" spans="2:58">
      <c r="B429" s="1658"/>
      <c r="C429" s="1660" t="s">
        <v>1676</v>
      </c>
      <c r="D429" s="1658"/>
      <c r="E429" s="1658"/>
      <c r="F429" s="1658"/>
      <c r="G429" s="1658"/>
      <c r="H429" s="1658"/>
      <c r="I429" s="1658"/>
      <c r="J429" s="1658" t="s">
        <v>2108</v>
      </c>
      <c r="K429" s="1658"/>
      <c r="L429" s="1658"/>
      <c r="M429" s="1658"/>
      <c r="N429" s="2556"/>
      <c r="O429" s="2557">
        <v>2</v>
      </c>
      <c r="P429" s="2557"/>
      <c r="Q429" s="1658"/>
      <c r="R429" s="1658"/>
      <c r="S429" s="1658"/>
      <c r="AA429" s="2067" t="s">
        <v>1488</v>
      </c>
      <c r="AB429" s="1658" t="s">
        <v>2109</v>
      </c>
      <c r="AC429" s="1658"/>
      <c r="AD429" s="1658"/>
      <c r="AE429" s="1658"/>
      <c r="AF429" s="1658"/>
      <c r="AG429" s="2068">
        <f>$M$117</f>
        <v>13</v>
      </c>
      <c r="AH429" s="2068">
        <f>$M$117</f>
        <v>13</v>
      </c>
      <c r="AI429" s="2068">
        <f>$M$117</f>
        <v>13</v>
      </c>
      <c r="AJ429" s="2068">
        <f>$M$117</f>
        <v>13</v>
      </c>
      <c r="AK429" s="3893"/>
      <c r="AL429" s="3893"/>
      <c r="AM429" s="3893"/>
      <c r="AN429" s="3893"/>
      <c r="AP429" s="1760" t="s">
        <v>1488</v>
      </c>
      <c r="AQ429" s="1945" t="s">
        <v>2109</v>
      </c>
      <c r="AR429" s="1951"/>
      <c r="AS429" s="1951"/>
      <c r="AT429" s="1951"/>
      <c r="AU429" s="1951"/>
      <c r="AV429" s="1946">
        <f>$O$117</f>
        <v>13</v>
      </c>
      <c r="AW429" s="1953">
        <f>$O$117</f>
        <v>13</v>
      </c>
      <c r="AX429" s="1946">
        <f>$O$117</f>
        <v>13</v>
      </c>
      <c r="AY429" s="1947">
        <f>$O$117</f>
        <v>13</v>
      </c>
      <c r="AZ429" s="1948">
        <f>$P$117</f>
        <v>0</v>
      </c>
      <c r="BA429" s="1949">
        <f>$P$117</f>
        <v>0</v>
      </c>
      <c r="BB429" s="1960">
        <f>$P$117</f>
        <v>0</v>
      </c>
      <c r="BC429" s="1961">
        <f>$P$117</f>
        <v>0</v>
      </c>
    </row>
    <row r="430" spans="2:58">
      <c r="B430" s="1658"/>
      <c r="C430" s="1658"/>
      <c r="D430" s="1658"/>
      <c r="E430" s="1658"/>
      <c r="F430" s="1658"/>
      <c r="G430" s="1658"/>
      <c r="H430" s="1658"/>
      <c r="I430" s="1658"/>
      <c r="J430" s="1658" t="s">
        <v>2110</v>
      </c>
      <c r="K430" s="1658"/>
      <c r="L430" s="1658"/>
      <c r="M430" s="1658"/>
      <c r="N430" s="2556"/>
      <c r="O430" s="2557">
        <v>2</v>
      </c>
      <c r="P430" s="2557"/>
      <c r="Q430" s="1658"/>
      <c r="R430" s="1658"/>
      <c r="S430" s="1658"/>
      <c r="AA430" s="2067" t="s">
        <v>1491</v>
      </c>
      <c r="AB430" s="1629" t="s">
        <v>2111</v>
      </c>
      <c r="AC430" s="1658"/>
      <c r="AD430" s="1658"/>
      <c r="AE430" s="1658"/>
      <c r="AF430" s="1658"/>
      <c r="AG430" s="2068">
        <f>$M$141</f>
        <v>3</v>
      </c>
      <c r="AH430" s="2068">
        <f>$M$141</f>
        <v>3</v>
      </c>
      <c r="AI430" s="2068">
        <f>$M$141</f>
        <v>3</v>
      </c>
      <c r="AJ430" s="2068">
        <f>$M$141</f>
        <v>3</v>
      </c>
      <c r="AK430" s="1629" t="s">
        <v>2112</v>
      </c>
      <c r="AL430" s="1629"/>
      <c r="AM430" s="1643"/>
      <c r="AN430" s="1643"/>
      <c r="AP430" s="1760" t="s">
        <v>1491</v>
      </c>
      <c r="AQ430" s="1945" t="s">
        <v>2111</v>
      </c>
      <c r="AR430" s="1951"/>
      <c r="AS430" s="1951"/>
      <c r="AT430" s="1951"/>
      <c r="AU430" s="1951"/>
      <c r="AV430" s="1946">
        <f>$O$141</f>
        <v>3</v>
      </c>
      <c r="AW430" s="1962">
        <f>$O$141</f>
        <v>3</v>
      </c>
      <c r="AX430" s="1956">
        <f>$O$141</f>
        <v>3</v>
      </c>
      <c r="AY430" s="1957">
        <f>$O$141</f>
        <v>3</v>
      </c>
      <c r="AZ430" s="1948">
        <f>$P$141</f>
        <v>0</v>
      </c>
      <c r="BA430" s="1961">
        <f>$P$141</f>
        <v>0</v>
      </c>
      <c r="BB430" s="1960">
        <f>$P$141</f>
        <v>0</v>
      </c>
      <c r="BC430" s="1961">
        <f>$P$141</f>
        <v>0</v>
      </c>
    </row>
    <row r="431" spans="2:58">
      <c r="B431" s="1658"/>
      <c r="C431" s="1658"/>
      <c r="D431" s="1658"/>
      <c r="E431" s="1658"/>
      <c r="F431" s="1658"/>
      <c r="G431" s="3894" t="s">
        <v>2113</v>
      </c>
      <c r="H431" s="3894"/>
      <c r="I431" s="3894"/>
      <c r="J431" s="1658" t="s">
        <v>2114</v>
      </c>
      <c r="K431" s="1658"/>
      <c r="L431" s="1658"/>
      <c r="M431" s="1658"/>
      <c r="N431" s="2556"/>
      <c r="O431" s="2557">
        <v>2</v>
      </c>
      <c r="P431" s="2557"/>
      <c r="Q431" s="1658"/>
      <c r="R431" s="1658"/>
      <c r="S431" s="1658"/>
      <c r="AA431" s="2067" t="s">
        <v>1494</v>
      </c>
      <c r="AB431" s="1629" t="s">
        <v>2115</v>
      </c>
      <c r="AC431" s="1658"/>
      <c r="AD431" s="1658"/>
      <c r="AE431" s="1658"/>
      <c r="AF431" s="1658"/>
      <c r="AG431" s="2068">
        <f>$M$152</f>
        <v>2</v>
      </c>
      <c r="AH431" s="2068">
        <f>$M$152</f>
        <v>2</v>
      </c>
      <c r="AI431" s="2068">
        <f>$M$152</f>
        <v>2</v>
      </c>
      <c r="AJ431" s="2068">
        <f>$M$152</f>
        <v>2</v>
      </c>
      <c r="AK431" s="1629" t="s">
        <v>2116</v>
      </c>
      <c r="AL431" s="1629"/>
      <c r="AM431" s="1643"/>
      <c r="AN431" s="1643"/>
      <c r="AP431" s="1760" t="s">
        <v>1494</v>
      </c>
      <c r="AQ431" s="1945" t="s">
        <v>2115</v>
      </c>
      <c r="AR431" s="1951"/>
      <c r="AS431" s="1951"/>
      <c r="AT431" s="1951"/>
      <c r="AU431" s="1951"/>
      <c r="AV431" s="1946">
        <f>$O$152</f>
        <v>2</v>
      </c>
      <c r="AW431" s="1953">
        <f>$O$152</f>
        <v>2</v>
      </c>
      <c r="AX431" s="1956">
        <f>$O$152</f>
        <v>2</v>
      </c>
      <c r="AY431" s="1957">
        <f>$O$152</f>
        <v>2</v>
      </c>
      <c r="AZ431" s="1948">
        <f>$P$152</f>
        <v>0</v>
      </c>
      <c r="BA431" s="1949">
        <f>$P$152</f>
        <v>0</v>
      </c>
      <c r="BB431" s="1960">
        <f>$P$152</f>
        <v>0</v>
      </c>
      <c r="BC431" s="1961">
        <f>$P$152</f>
        <v>0</v>
      </c>
    </row>
    <row r="432" spans="2:58">
      <c r="B432" s="1658"/>
      <c r="C432" s="1658"/>
      <c r="D432" s="1658"/>
      <c r="E432" s="1658"/>
      <c r="F432" s="1658"/>
      <c r="G432" s="1662" t="s">
        <v>2117</v>
      </c>
      <c r="H432" s="1658" t="s">
        <v>2118</v>
      </c>
      <c r="I432" s="1662" t="s">
        <v>2119</v>
      </c>
      <c r="J432" s="1658" t="s">
        <v>2120</v>
      </c>
      <c r="K432" s="1658"/>
      <c r="L432" s="1662"/>
      <c r="M432" s="1658"/>
      <c r="N432" s="2556"/>
      <c r="O432" s="2557">
        <v>2</v>
      </c>
      <c r="P432" s="2557"/>
      <c r="Q432" s="1658"/>
      <c r="R432" s="1658"/>
      <c r="S432" s="1658"/>
      <c r="AA432" s="2067" t="s">
        <v>1501</v>
      </c>
      <c r="AB432" s="1629" t="s">
        <v>2052</v>
      </c>
      <c r="AC432" s="1658"/>
      <c r="AD432" s="1658"/>
      <c r="AE432" s="1658"/>
      <c r="AF432" s="1658"/>
      <c r="AG432" s="2068">
        <f>$M$160</f>
        <v>20</v>
      </c>
      <c r="AH432" s="2068">
        <f>$M$160</f>
        <v>20</v>
      </c>
      <c r="AI432" s="2068"/>
      <c r="AJ432" s="2068"/>
      <c r="AK432" s="1629" t="s">
        <v>2121</v>
      </c>
      <c r="AL432" s="1629"/>
      <c r="AM432" s="1643"/>
      <c r="AN432" s="1643"/>
      <c r="AP432" s="1760" t="s">
        <v>1501</v>
      </c>
      <c r="AQ432" s="1945" t="s">
        <v>2052</v>
      </c>
      <c r="AR432" s="1951"/>
      <c r="AS432" s="1951"/>
      <c r="AT432" s="1951"/>
      <c r="AU432" s="1951"/>
      <c r="AV432" s="1954">
        <f>$O$160</f>
        <v>20</v>
      </c>
      <c r="AW432" s="1955">
        <f>$O$160</f>
        <v>20</v>
      </c>
      <c r="AX432" s="1964"/>
      <c r="AY432" s="1965"/>
      <c r="AZ432" s="1958">
        <f>$P$160</f>
        <v>0</v>
      </c>
      <c r="BA432" s="1959">
        <f>$P$160</f>
        <v>0</v>
      </c>
      <c r="BB432" s="1966"/>
      <c r="BC432" s="1967"/>
    </row>
    <row r="433" spans="1:55">
      <c r="B433" s="1658"/>
      <c r="C433" s="1663"/>
      <c r="D433" s="1658"/>
      <c r="E433" s="1658"/>
      <c r="F433" s="1658"/>
      <c r="G433" s="1664" t="s">
        <v>2122</v>
      </c>
      <c r="H433" s="1658"/>
      <c r="I433" s="1664"/>
      <c r="J433" s="1658" t="s">
        <v>2123</v>
      </c>
      <c r="K433" s="1658"/>
      <c r="L433" s="1664"/>
      <c r="M433" s="1658"/>
      <c r="N433" s="2556"/>
      <c r="O433" s="2557">
        <v>2</v>
      </c>
      <c r="P433" s="2557"/>
      <c r="Q433" s="1658"/>
      <c r="R433" s="1658"/>
      <c r="S433" s="1658"/>
      <c r="AA433" s="2067" t="s">
        <v>1508</v>
      </c>
      <c r="AB433" s="1629" t="s">
        <v>2053</v>
      </c>
      <c r="AC433" s="1658"/>
      <c r="AD433" s="1658"/>
      <c r="AE433" s="1658"/>
      <c r="AF433" s="1658"/>
      <c r="AG433" s="2070">
        <f>$M$169</f>
        <v>6</v>
      </c>
      <c r="AH433" s="2070">
        <f>$M$169</f>
        <v>6</v>
      </c>
      <c r="AI433" s="2070"/>
      <c r="AJ433" s="2070"/>
      <c r="AK433" s="1629" t="s">
        <v>2124</v>
      </c>
      <c r="AL433" s="1629"/>
      <c r="AM433" s="1643" t="s">
        <v>2125</v>
      </c>
      <c r="AN433" s="1643" t="str">
        <f>IF('Part VII-Threshold Criteria'!$P$227="Agree","Yes","")</f>
        <v/>
      </c>
      <c r="AP433" s="1760" t="s">
        <v>1508</v>
      </c>
      <c r="AQ433" s="1945" t="s">
        <v>2053</v>
      </c>
      <c r="AR433" s="1951"/>
      <c r="AS433" s="1951"/>
      <c r="AT433" s="1951"/>
      <c r="AU433" s="1951"/>
      <c r="AV433" s="1954">
        <f>$O$169</f>
        <v>3</v>
      </c>
      <c r="AW433" s="1955">
        <f>$O$169</f>
        <v>3</v>
      </c>
      <c r="AX433" s="1964"/>
      <c r="AY433" s="1965"/>
      <c r="AZ433" s="1958">
        <f>$P$169</f>
        <v>0</v>
      </c>
      <c r="BA433" s="1959">
        <f>$P$169</f>
        <v>0</v>
      </c>
      <c r="BB433" s="1966"/>
      <c r="BC433" s="1967"/>
    </row>
    <row r="434" spans="1:55">
      <c r="B434" s="1658"/>
      <c r="C434" s="1663"/>
      <c r="D434" s="1658"/>
      <c r="E434" s="1658"/>
      <c r="F434" s="1658"/>
      <c r="G434" s="1664" t="s">
        <v>2126</v>
      </c>
      <c r="H434" s="2556" t="s">
        <v>2127</v>
      </c>
      <c r="I434" s="1662" t="s">
        <v>1117</v>
      </c>
      <c r="J434" s="1658" t="s">
        <v>2128</v>
      </c>
      <c r="K434" s="1658"/>
      <c r="L434" s="1663"/>
      <c r="M434" s="1658"/>
      <c r="N434" s="2556"/>
      <c r="O434" s="2557">
        <v>1</v>
      </c>
      <c r="P434" s="2557"/>
      <c r="Q434" s="1658"/>
      <c r="R434" s="1658"/>
      <c r="S434" s="1658"/>
      <c r="AA434" s="2067" t="s">
        <v>1530</v>
      </c>
      <c r="AB434" s="1629" t="s">
        <v>2054</v>
      </c>
      <c r="AC434" s="1658"/>
      <c r="AD434" s="1658"/>
      <c r="AE434" s="1658"/>
      <c r="AF434" s="1658"/>
      <c r="AG434" s="2068">
        <f>$M$190</f>
        <v>3</v>
      </c>
      <c r="AH434" s="2068">
        <f>$M$190</f>
        <v>3</v>
      </c>
      <c r="AI434" s="2068"/>
      <c r="AJ434" s="2068"/>
      <c r="AK434" s="1658"/>
      <c r="AL434" s="1629"/>
      <c r="AM434" s="1643" t="s">
        <v>2129</v>
      </c>
      <c r="AN434" s="1643" t="str">
        <f>IF('Part VII-Threshold Criteria'!$P$230="Agree","Yes","")</f>
        <v/>
      </c>
      <c r="AP434" s="1760" t="s">
        <v>1530</v>
      </c>
      <c r="AQ434" s="1945" t="s">
        <v>2054</v>
      </c>
      <c r="AR434" s="1951"/>
      <c r="AS434" s="1951"/>
      <c r="AT434" s="1951"/>
      <c r="AU434" s="1951"/>
      <c r="AV434" s="1954">
        <f>$O$190</f>
        <v>2</v>
      </c>
      <c r="AW434" s="1955">
        <f>$O$190</f>
        <v>2</v>
      </c>
      <c r="AX434" s="1964"/>
      <c r="AY434" s="1965"/>
      <c r="AZ434" s="1958">
        <f>$P$190</f>
        <v>0</v>
      </c>
      <c r="BA434" s="1959">
        <f>$P$190</f>
        <v>0</v>
      </c>
      <c r="BB434" s="1966"/>
      <c r="BC434" s="1967"/>
    </row>
    <row r="435" spans="1:55">
      <c r="B435" s="1658"/>
      <c r="C435" s="1663"/>
      <c r="D435" s="1658"/>
      <c r="E435" s="1658"/>
      <c r="F435" s="1658"/>
      <c r="G435" s="1664" t="s">
        <v>2130</v>
      </c>
      <c r="H435" s="2556">
        <v>2020</v>
      </c>
      <c r="I435" s="2556" t="s">
        <v>2131</v>
      </c>
      <c r="J435" s="1658" t="s">
        <v>2132</v>
      </c>
      <c r="K435" s="1658"/>
      <c r="L435" s="1663"/>
      <c r="M435" s="1658"/>
      <c r="N435" s="2556"/>
      <c r="O435" s="2557">
        <v>1</v>
      </c>
      <c r="P435" s="2557"/>
      <c r="Q435" s="1658"/>
      <c r="R435" s="1658"/>
      <c r="S435" s="1658"/>
      <c r="AA435" s="2067" t="s">
        <v>1547</v>
      </c>
      <c r="AB435" s="1629" t="s">
        <v>2012</v>
      </c>
      <c r="AC435" s="1658"/>
      <c r="AD435" s="1658"/>
      <c r="AE435" s="1658"/>
      <c r="AF435" s="1658"/>
      <c r="AG435" s="2068">
        <f>$M$206</f>
        <v>10</v>
      </c>
      <c r="AH435" s="2068">
        <f>$M$206</f>
        <v>10</v>
      </c>
      <c r="AI435" s="2068"/>
      <c r="AJ435" s="2068"/>
      <c r="AK435" s="1629"/>
      <c r="AL435" s="1629"/>
      <c r="AM435" s="1643" t="s">
        <v>2133</v>
      </c>
      <c r="AN435" s="1643" t="str">
        <f>IF('Part VII-Threshold Criteria'!$P$231="Agree","Yes","")</f>
        <v/>
      </c>
      <c r="AP435" s="1760" t="s">
        <v>1547</v>
      </c>
      <c r="AQ435" s="1945" t="s">
        <v>2012</v>
      </c>
      <c r="AR435" s="1951"/>
      <c r="AS435" s="1951"/>
      <c r="AT435" s="1951"/>
      <c r="AU435" s="1951"/>
      <c r="AV435" s="1954">
        <f>$O$206</f>
        <v>0</v>
      </c>
      <c r="AW435" s="1955">
        <f>$O$206</f>
        <v>0</v>
      </c>
      <c r="AX435" s="1964"/>
      <c r="AY435" s="1965"/>
      <c r="AZ435" s="1958">
        <f>$P$206</f>
        <v>0</v>
      </c>
      <c r="BA435" s="1959">
        <f>$P$206</f>
        <v>0</v>
      </c>
      <c r="BB435" s="1966"/>
      <c r="BC435" s="1967"/>
    </row>
    <row r="436" spans="1:55">
      <c r="B436" s="1658"/>
      <c r="C436" s="1663"/>
      <c r="D436" s="1658"/>
      <c r="E436" s="1658"/>
      <c r="F436" s="1658"/>
      <c r="G436" s="1664" t="s">
        <v>2134</v>
      </c>
      <c r="H436" s="2556" t="s">
        <v>2135</v>
      </c>
      <c r="I436" s="1662" t="s">
        <v>1117</v>
      </c>
      <c r="J436" s="1658" t="s">
        <v>2136</v>
      </c>
      <c r="K436" s="1658"/>
      <c r="L436" s="1663"/>
      <c r="M436" s="1658"/>
      <c r="N436" s="2556"/>
      <c r="O436" s="2557">
        <v>1</v>
      </c>
      <c r="P436" s="2557"/>
      <c r="Q436" s="1658"/>
      <c r="R436" s="1658"/>
      <c r="S436" s="1658"/>
      <c r="AA436" s="2067" t="s">
        <v>1539</v>
      </c>
      <c r="AB436" s="1629" t="s">
        <v>1763</v>
      </c>
      <c r="AC436" s="1658"/>
      <c r="AD436" s="1658"/>
      <c r="AE436" s="1658"/>
      <c r="AF436" s="1658"/>
      <c r="AG436" s="2068">
        <f>$M$238</f>
        <v>10</v>
      </c>
      <c r="AH436" s="2068">
        <f>$M$238</f>
        <v>10</v>
      </c>
      <c r="AI436" s="2068"/>
      <c r="AJ436" s="2068"/>
      <c r="AK436" s="1629"/>
      <c r="AL436" s="1629"/>
      <c r="AM436" s="1643" t="s">
        <v>2137</v>
      </c>
      <c r="AN436" s="1643" t="str">
        <f>IF('Part VII-Threshold Criteria'!$P$232="Agree","Yes","")</f>
        <v/>
      </c>
      <c r="AP436" s="1760" t="s">
        <v>1539</v>
      </c>
      <c r="AQ436" s="1945" t="s">
        <v>1763</v>
      </c>
      <c r="AR436" s="1951"/>
      <c r="AS436" s="1951"/>
      <c r="AT436" s="1951"/>
      <c r="AU436" s="1951"/>
      <c r="AV436" s="1946">
        <f>$O$238</f>
        <v>9</v>
      </c>
      <c r="AW436" s="1953">
        <f>$O$238</f>
        <v>9</v>
      </c>
      <c r="AX436" s="1968"/>
      <c r="AY436" s="1969"/>
      <c r="AZ436" s="1948">
        <f>$P$238</f>
        <v>0</v>
      </c>
      <c r="BA436" s="1949">
        <f>$P$238</f>
        <v>0</v>
      </c>
      <c r="BB436" s="1970"/>
      <c r="BC436" s="1971"/>
    </row>
    <row r="437" spans="1:55">
      <c r="B437" s="1658"/>
      <c r="C437" s="1663"/>
      <c r="D437" s="1658"/>
      <c r="E437" s="1658"/>
      <c r="F437" s="1658"/>
      <c r="G437" s="1664" t="s">
        <v>2138</v>
      </c>
      <c r="H437" s="2556">
        <v>2020</v>
      </c>
      <c r="I437" s="2556" t="s">
        <v>2131</v>
      </c>
      <c r="J437" s="1658" t="s">
        <v>2139</v>
      </c>
      <c r="K437" s="1658"/>
      <c r="L437" s="1663"/>
      <c r="M437" s="1658"/>
      <c r="N437" s="2556"/>
      <c r="O437" s="2557">
        <v>1</v>
      </c>
      <c r="P437" s="2557"/>
      <c r="Q437" s="1658"/>
      <c r="R437" s="1658"/>
      <c r="S437" s="1658"/>
      <c r="AA437" s="2067" t="s">
        <v>1547</v>
      </c>
      <c r="AB437" s="1629" t="s">
        <v>2057</v>
      </c>
      <c r="AC437" s="1658"/>
      <c r="AD437" s="1658"/>
      <c r="AE437" s="1658"/>
      <c r="AF437" s="1658"/>
      <c r="AG437" s="2068">
        <f>$M$265</f>
        <v>10</v>
      </c>
      <c r="AH437" s="2068">
        <f>$M$265</f>
        <v>10</v>
      </c>
      <c r="AI437" s="2068"/>
      <c r="AJ437" s="2068"/>
      <c r="AK437" s="1629" t="s">
        <v>2140</v>
      </c>
      <c r="AL437" s="1629"/>
      <c r="AM437" s="1643"/>
      <c r="AN437" s="1643"/>
      <c r="AP437" s="1760" t="s">
        <v>1547</v>
      </c>
      <c r="AQ437" s="1945" t="s">
        <v>2057</v>
      </c>
      <c r="AR437" s="1951"/>
      <c r="AS437" s="1951"/>
      <c r="AT437" s="1951"/>
      <c r="AU437" s="1951"/>
      <c r="AV437" s="1946">
        <f>$O$265</f>
        <v>0</v>
      </c>
      <c r="AW437" s="1953">
        <f>$O$265</f>
        <v>0</v>
      </c>
      <c r="AX437" s="1968"/>
      <c r="AY437" s="1969"/>
      <c r="AZ437" s="1948">
        <f>$P$265</f>
        <v>0</v>
      </c>
      <c r="BA437" s="1949">
        <f>$P$265</f>
        <v>0</v>
      </c>
      <c r="BB437" s="1970"/>
      <c r="BC437" s="1971"/>
    </row>
    <row r="438" spans="1:55">
      <c r="B438" s="1658"/>
      <c r="C438" s="1663"/>
      <c r="D438" s="1658"/>
      <c r="E438" s="1658"/>
      <c r="F438" s="1658"/>
      <c r="G438" s="1664" t="s">
        <v>2141</v>
      </c>
      <c r="H438" s="2556">
        <v>2019</v>
      </c>
      <c r="I438" s="2556" t="s">
        <v>2131</v>
      </c>
      <c r="J438" s="1658" t="s">
        <v>2142</v>
      </c>
      <c r="K438" s="1658"/>
      <c r="L438" s="1663"/>
      <c r="M438" s="1658"/>
      <c r="N438" s="2556"/>
      <c r="O438" s="2557">
        <v>1</v>
      </c>
      <c r="P438" s="2557"/>
      <c r="Q438" s="1658"/>
      <c r="R438" s="1658"/>
      <c r="S438" s="1658"/>
      <c r="AA438" s="2067" t="s">
        <v>1568</v>
      </c>
      <c r="AB438" s="1629" t="s">
        <v>2143</v>
      </c>
      <c r="AC438" s="1658"/>
      <c r="AD438" s="1658"/>
      <c r="AE438" s="1658"/>
      <c r="AF438" s="1658"/>
      <c r="AG438" s="2068">
        <f>$M$274</f>
        <v>4</v>
      </c>
      <c r="AH438" s="2068">
        <f>$M$274</f>
        <v>4</v>
      </c>
      <c r="AI438" s="2068"/>
      <c r="AJ438" s="2068"/>
      <c r="AK438" s="1629" t="s">
        <v>2144</v>
      </c>
      <c r="AL438" s="1629"/>
      <c r="AM438" s="1643"/>
      <c r="AN438" s="1643"/>
      <c r="AP438" s="1760" t="s">
        <v>1568</v>
      </c>
      <c r="AQ438" s="1945" t="s">
        <v>2143</v>
      </c>
      <c r="AR438" s="1951"/>
      <c r="AS438" s="1951"/>
      <c r="AT438" s="1951"/>
      <c r="AU438" s="1951"/>
      <c r="AV438" s="1946">
        <f>$O$274</f>
        <v>0</v>
      </c>
      <c r="AW438" s="1953">
        <f>$O$274</f>
        <v>0</v>
      </c>
      <c r="AX438" s="1968"/>
      <c r="AY438" s="1969"/>
      <c r="AZ438" s="1948">
        <f>$P$274</f>
        <v>0</v>
      </c>
      <c r="BA438" s="1949">
        <f>$P$274</f>
        <v>0</v>
      </c>
      <c r="BB438" s="1970"/>
      <c r="BC438" s="1971"/>
    </row>
    <row r="439" spans="1:55">
      <c r="B439" s="1658"/>
      <c r="C439" s="1663"/>
      <c r="D439" s="1658"/>
      <c r="E439" s="1658"/>
      <c r="F439" s="1658"/>
      <c r="G439" s="1664" t="s">
        <v>2145</v>
      </c>
      <c r="H439" s="2556" t="s">
        <v>2135</v>
      </c>
      <c r="I439" s="1662" t="s">
        <v>1117</v>
      </c>
      <c r="J439" s="1658" t="s">
        <v>2146</v>
      </c>
      <c r="K439" s="1658"/>
      <c r="L439" s="1663"/>
      <c r="M439" s="1658"/>
      <c r="N439" s="2556"/>
      <c r="O439" s="2557">
        <v>1</v>
      </c>
      <c r="P439" s="2557"/>
      <c r="Q439" s="1658"/>
      <c r="R439" s="1658"/>
      <c r="S439" s="1658"/>
      <c r="AA439" s="2067" t="s">
        <v>1578</v>
      </c>
      <c r="AB439" s="1629" t="s">
        <v>2147</v>
      </c>
      <c r="AC439" s="1658"/>
      <c r="AD439" s="1658"/>
      <c r="AE439" s="1658"/>
      <c r="AF439" s="1658"/>
      <c r="AG439" s="2068">
        <f>$M$286</f>
        <v>5</v>
      </c>
      <c r="AH439" s="2068"/>
      <c r="AI439" s="2068"/>
      <c r="AJ439" s="2068"/>
      <c r="AK439" s="1629" t="s">
        <v>2148</v>
      </c>
      <c r="AL439" s="1629"/>
      <c r="AM439" s="1643"/>
      <c r="AN439" s="2555" t="str">
        <f>'Part II-Sources of Funds'!$L$14</f>
        <v>No</v>
      </c>
      <c r="AP439" s="1760" t="s">
        <v>1578</v>
      </c>
      <c r="AQ439" s="1945" t="s">
        <v>2147</v>
      </c>
      <c r="AR439" s="1951"/>
      <c r="AS439" s="1951"/>
      <c r="AT439" s="1951"/>
      <c r="AU439" s="1951"/>
      <c r="AV439" s="1946">
        <f>$O$286</f>
        <v>5</v>
      </c>
      <c r="AW439" s="1972"/>
      <c r="AX439" s="1973"/>
      <c r="AY439" s="1969"/>
      <c r="AZ439" s="1948">
        <f>$P$286</f>
        <v>0</v>
      </c>
      <c r="BA439" s="1974"/>
      <c r="BB439" s="1975"/>
      <c r="BC439" s="1971"/>
    </row>
    <row r="440" spans="1:55">
      <c r="B440" s="1658"/>
      <c r="C440" s="1663"/>
      <c r="D440" s="1658"/>
      <c r="E440" s="1658"/>
      <c r="F440" s="1658"/>
      <c r="G440" s="1664" t="s">
        <v>2149</v>
      </c>
      <c r="H440" s="2556">
        <v>2020</v>
      </c>
      <c r="I440" s="2556" t="s">
        <v>2131</v>
      </c>
      <c r="J440" s="1658" t="s">
        <v>2150</v>
      </c>
      <c r="K440" s="1658"/>
      <c r="L440" s="1663"/>
      <c r="M440" s="1658"/>
      <c r="N440" s="2556"/>
      <c r="O440" s="2557">
        <v>1</v>
      </c>
      <c r="P440" s="2557"/>
      <c r="Q440" s="1658"/>
      <c r="R440" s="1658"/>
      <c r="S440" s="1658"/>
      <c r="AA440" s="2067" t="s">
        <v>1589</v>
      </c>
      <c r="AB440" s="1658" t="s">
        <v>2151</v>
      </c>
      <c r="AC440" s="1658"/>
      <c r="AD440" s="1658"/>
      <c r="AE440" s="1658"/>
      <c r="AF440" s="1658"/>
      <c r="AG440" s="2068">
        <f>$M$303</f>
        <v>10</v>
      </c>
      <c r="AH440" s="2068"/>
      <c r="AI440" s="2068"/>
      <c r="AJ440" s="2068"/>
      <c r="AK440" s="1658"/>
      <c r="AL440" s="1658"/>
      <c r="AM440" s="2556"/>
      <c r="AN440" s="1658"/>
      <c r="AP440" s="1760" t="s">
        <v>1589</v>
      </c>
      <c r="AQ440" s="1945" t="s">
        <v>2151</v>
      </c>
      <c r="AR440" s="1951"/>
      <c r="AS440" s="1951"/>
      <c r="AT440" s="1951"/>
      <c r="AU440" s="1951"/>
      <c r="AV440" s="1946">
        <f>$O$303</f>
        <v>0</v>
      </c>
      <c r="AW440" s="1972"/>
      <c r="AX440" s="1973"/>
      <c r="AY440" s="1969"/>
      <c r="AZ440" s="1948">
        <f>$P$303</f>
        <v>0</v>
      </c>
      <c r="BA440" s="1974"/>
      <c r="BB440" s="1975"/>
      <c r="BC440" s="1971"/>
    </row>
    <row r="441" spans="1:55">
      <c r="B441" s="1658"/>
      <c r="C441" s="1663"/>
      <c r="D441" s="1658"/>
      <c r="E441" s="1658"/>
      <c r="F441" s="1658"/>
      <c r="G441" s="1664" t="s">
        <v>2152</v>
      </c>
      <c r="H441" s="2556" t="s">
        <v>2127</v>
      </c>
      <c r="I441" s="1662" t="s">
        <v>1117</v>
      </c>
      <c r="J441" s="1658" t="s">
        <v>2153</v>
      </c>
      <c r="K441" s="1658"/>
      <c r="L441" s="1663"/>
      <c r="M441" s="1658"/>
      <c r="N441" s="2556"/>
      <c r="O441" s="2557">
        <v>1</v>
      </c>
      <c r="P441" s="2557"/>
      <c r="Q441" s="1658"/>
      <c r="R441" s="1658"/>
      <c r="S441" s="1658"/>
      <c r="AA441" s="2067" t="s">
        <v>1601</v>
      </c>
      <c r="AB441" s="1658" t="s">
        <v>2154</v>
      </c>
      <c r="AC441" s="1658"/>
      <c r="AD441" s="1658"/>
      <c r="AE441" s="1658"/>
      <c r="AF441" s="1658"/>
      <c r="AG441" s="2068">
        <f>$M$317</f>
        <v>1</v>
      </c>
      <c r="AH441" s="2068"/>
      <c r="AI441" s="2068"/>
      <c r="AJ441" s="2068"/>
      <c r="AK441" s="1658"/>
      <c r="AL441" s="1658"/>
      <c r="AM441" s="2556"/>
      <c r="AN441" s="1658"/>
      <c r="AP441" s="1760" t="s">
        <v>1601</v>
      </c>
      <c r="AQ441" s="1945" t="s">
        <v>2154</v>
      </c>
      <c r="AR441" s="1951"/>
      <c r="AS441" s="1951"/>
      <c r="AT441" s="1951"/>
      <c r="AU441" s="1951"/>
      <c r="AV441" s="1946">
        <f>$O$317</f>
        <v>0</v>
      </c>
      <c r="AW441" s="1976"/>
      <c r="AX441" s="1968"/>
      <c r="AY441" s="1969"/>
      <c r="AZ441" s="1948">
        <f>$P$317</f>
        <v>0</v>
      </c>
      <c r="BA441" s="1971"/>
      <c r="BB441" s="1970"/>
      <c r="BC441" s="1971"/>
    </row>
    <row r="442" spans="1:55">
      <c r="A442" s="1658"/>
      <c r="B442" s="1658"/>
      <c r="C442" s="1658"/>
      <c r="D442" s="1658"/>
      <c r="E442" s="1658"/>
      <c r="F442" s="1658"/>
      <c r="G442" s="1664" t="s">
        <v>2155</v>
      </c>
      <c r="H442" s="2556" t="s">
        <v>2127</v>
      </c>
      <c r="I442" s="1662" t="s">
        <v>1117</v>
      </c>
      <c r="J442" s="1658" t="s">
        <v>2156</v>
      </c>
      <c r="K442" s="1658"/>
      <c r="L442" s="1663"/>
      <c r="M442" s="1658"/>
      <c r="N442" s="2556"/>
      <c r="O442" s="2557">
        <v>1</v>
      </c>
      <c r="P442" s="2557"/>
      <c r="Q442" s="1658"/>
      <c r="R442" s="1658"/>
      <c r="S442" s="1658"/>
      <c r="AA442" s="2067" t="s">
        <v>1606</v>
      </c>
      <c r="AB442" s="1629" t="s">
        <v>2157</v>
      </c>
      <c r="AC442" s="1658"/>
      <c r="AD442" s="1658"/>
      <c r="AE442" s="1658"/>
      <c r="AF442" s="1658"/>
      <c r="AG442" s="2068">
        <f>$M$331</f>
        <v>1</v>
      </c>
      <c r="AH442" s="2068"/>
      <c r="AI442" s="2068"/>
      <c r="AJ442" s="2068"/>
      <c r="AK442" s="1658"/>
      <c r="AL442" s="1658"/>
      <c r="AM442" s="2556"/>
      <c r="AN442" s="1658"/>
      <c r="AP442" s="1760" t="s">
        <v>1606</v>
      </c>
      <c r="AQ442" s="1945" t="s">
        <v>2157</v>
      </c>
      <c r="AR442" s="1951"/>
      <c r="AS442" s="1951"/>
      <c r="AT442" s="1951"/>
      <c r="AU442" s="1951"/>
      <c r="AV442" s="1946">
        <f>$O$331</f>
        <v>1</v>
      </c>
      <c r="AW442" s="1976"/>
      <c r="AX442" s="1968"/>
      <c r="AY442" s="1969"/>
      <c r="AZ442" s="1948">
        <f>$P$331</f>
        <v>0</v>
      </c>
      <c r="BA442" s="1971"/>
      <c r="BB442" s="1970"/>
      <c r="BC442" s="1971"/>
    </row>
    <row r="443" spans="1:55">
      <c r="A443" s="1658"/>
      <c r="B443" s="1658"/>
      <c r="C443" s="1658"/>
      <c r="D443" s="1658"/>
      <c r="E443" s="1658"/>
      <c r="F443" s="1658"/>
      <c r="G443" s="1664" t="s">
        <v>2158</v>
      </c>
      <c r="H443" s="2556">
        <v>2019</v>
      </c>
      <c r="I443" s="2556" t="s">
        <v>2131</v>
      </c>
      <c r="J443" s="1658" t="s">
        <v>2159</v>
      </c>
      <c r="K443" s="1658"/>
      <c r="L443" s="1663"/>
      <c r="M443" s="1658"/>
      <c r="N443" s="2556"/>
      <c r="O443" s="2557">
        <v>1</v>
      </c>
      <c r="P443" s="2557"/>
      <c r="Q443" s="1658"/>
      <c r="R443" s="1658"/>
      <c r="S443" s="1658"/>
      <c r="AA443" s="2067" t="s">
        <v>1613</v>
      </c>
      <c r="AB443" s="1629" t="s">
        <v>2160</v>
      </c>
      <c r="AC443" s="1658"/>
      <c r="AD443" s="1658"/>
      <c r="AE443" s="1658"/>
      <c r="AF443" s="1658"/>
      <c r="AG443" s="2068">
        <f>$M$339</f>
        <v>2</v>
      </c>
      <c r="AH443" s="2068"/>
      <c r="AI443" s="2068"/>
      <c r="AJ443" s="2068"/>
      <c r="AK443" s="1658"/>
      <c r="AL443" s="1658"/>
      <c r="AM443" s="2556"/>
      <c r="AN443" s="1658"/>
      <c r="AP443" s="1760" t="s">
        <v>1613</v>
      </c>
      <c r="AQ443" s="1945" t="s">
        <v>2160</v>
      </c>
      <c r="AR443" s="1951"/>
      <c r="AS443" s="1951"/>
      <c r="AT443" s="1951"/>
      <c r="AU443" s="1951"/>
      <c r="AV443" s="1946">
        <f>$O$339</f>
        <v>0</v>
      </c>
      <c r="AW443" s="1976"/>
      <c r="AX443" s="1968"/>
      <c r="AY443" s="1969"/>
      <c r="AZ443" s="1948">
        <f>$P$339</f>
        <v>0</v>
      </c>
      <c r="BA443" s="1971"/>
      <c r="BB443" s="1970"/>
      <c r="BC443" s="1971"/>
    </row>
    <row r="444" spans="1:55">
      <c r="A444" s="1658" t="s">
        <v>2161</v>
      </c>
      <c r="B444" s="1658"/>
      <c r="C444" s="1658"/>
      <c r="D444" s="1658"/>
      <c r="E444" s="1658"/>
      <c r="F444" s="1658"/>
      <c r="G444" s="1664" t="s">
        <v>2162</v>
      </c>
      <c r="H444" s="2556" t="s">
        <v>2127</v>
      </c>
      <c r="I444" s="1662" t="s">
        <v>1117</v>
      </c>
      <c r="J444" s="1658" t="s">
        <v>2163</v>
      </c>
      <c r="K444" s="1658"/>
      <c r="L444" s="1663"/>
      <c r="M444" s="1658"/>
      <c r="N444" s="2556"/>
      <c r="O444" s="2557">
        <v>1</v>
      </c>
      <c r="P444" s="2557"/>
      <c r="Q444" s="1658"/>
      <c r="R444" s="1658"/>
      <c r="S444" s="1658"/>
      <c r="AA444" s="2067" t="s">
        <v>1620</v>
      </c>
      <c r="AB444" s="1629" t="s">
        <v>2164</v>
      </c>
      <c r="AC444" s="1658"/>
      <c r="AD444" s="1658"/>
      <c r="AE444" s="1658"/>
      <c r="AF444" s="1658"/>
      <c r="AG444" s="2068">
        <f>$M$350</f>
        <v>2</v>
      </c>
      <c r="AH444" s="2068"/>
      <c r="AI444" s="2069">
        <f>$M$350</f>
        <v>2</v>
      </c>
      <c r="AJ444" s="2068"/>
      <c r="AK444" s="1658"/>
      <c r="AL444" s="1658"/>
      <c r="AM444" s="2556"/>
      <c r="AN444" s="1658"/>
      <c r="AP444" s="1760" t="s">
        <v>1620</v>
      </c>
      <c r="AQ444" s="1945" t="s">
        <v>2164</v>
      </c>
      <c r="AR444" s="1951"/>
      <c r="AS444" s="1951"/>
      <c r="AT444" s="1951"/>
      <c r="AU444" s="1951"/>
      <c r="AV444" s="1946">
        <f>$O$350</f>
        <v>2</v>
      </c>
      <c r="AW444" s="1976"/>
      <c r="AX444" s="1946">
        <f>$O$350</f>
        <v>2</v>
      </c>
      <c r="AY444" s="1969"/>
      <c r="AZ444" s="1948">
        <f>$P$350</f>
        <v>0</v>
      </c>
      <c r="BA444" s="1971"/>
      <c r="BB444" s="1950">
        <f>$P$350</f>
        <v>0</v>
      </c>
      <c r="BC444" s="1971"/>
    </row>
    <row r="445" spans="1:55">
      <c r="A445" s="1658" t="s">
        <v>2165</v>
      </c>
      <c r="B445" s="1658"/>
      <c r="C445" s="1658"/>
      <c r="D445" s="1658"/>
      <c r="E445" s="1658"/>
      <c r="F445" s="1658"/>
      <c r="G445" s="1664" t="s">
        <v>2166</v>
      </c>
      <c r="H445" s="2556">
        <v>2019</v>
      </c>
      <c r="I445" s="2556" t="s">
        <v>2131</v>
      </c>
      <c r="J445" s="1658" t="s">
        <v>2167</v>
      </c>
      <c r="K445" s="1658"/>
      <c r="L445" s="1663"/>
      <c r="M445" s="1658"/>
      <c r="N445" s="2556"/>
      <c r="O445" s="2557">
        <v>1</v>
      </c>
      <c r="P445" s="2557"/>
      <c r="Q445" s="1658"/>
      <c r="R445" s="1658"/>
      <c r="S445" s="1658"/>
      <c r="AA445" s="2067" t="s">
        <v>1625</v>
      </c>
      <c r="AB445" s="1629" t="s">
        <v>2168</v>
      </c>
      <c r="AC445" s="1658"/>
      <c r="AD445" s="1658"/>
      <c r="AE445" s="1658"/>
      <c r="AF445" s="1658"/>
      <c r="AG445" s="2068">
        <f>$M$359</f>
        <v>2</v>
      </c>
      <c r="AH445" s="2068"/>
      <c r="AI445" s="2069">
        <f>$M$359</f>
        <v>2</v>
      </c>
      <c r="AJ445" s="2068"/>
      <c r="AK445" s="1658"/>
      <c r="AL445" s="1658"/>
      <c r="AM445" s="2556"/>
      <c r="AN445" s="1658"/>
      <c r="AP445" s="1760" t="s">
        <v>1625</v>
      </c>
      <c r="AQ445" s="1945" t="s">
        <v>2168</v>
      </c>
      <c r="AR445" s="1951"/>
      <c r="AS445" s="1951"/>
      <c r="AT445" s="1951"/>
      <c r="AU445" s="1951"/>
      <c r="AV445" s="1946">
        <f>$O$359</f>
        <v>0</v>
      </c>
      <c r="AW445" s="1976"/>
      <c r="AX445" s="1946">
        <f>$O$359</f>
        <v>0</v>
      </c>
      <c r="AY445" s="1969"/>
      <c r="AZ445" s="1948">
        <f>$P$359</f>
        <v>0</v>
      </c>
      <c r="BA445" s="1971"/>
      <c r="BB445" s="1950">
        <f>$P$359</f>
        <v>0</v>
      </c>
      <c r="BC445" s="1971"/>
    </row>
    <row r="446" spans="1:55">
      <c r="A446" s="1663" t="s">
        <v>2169</v>
      </c>
      <c r="B446" s="1658"/>
      <c r="C446" s="1658"/>
      <c r="D446" s="1663"/>
      <c r="E446" s="1663">
        <v>3</v>
      </c>
      <c r="F446" s="1658"/>
      <c r="G446" s="1664" t="s">
        <v>2170</v>
      </c>
      <c r="H446" s="2556">
        <v>2019</v>
      </c>
      <c r="I446" s="2556" t="s">
        <v>2131</v>
      </c>
      <c r="J446" s="1658"/>
      <c r="K446" s="1658"/>
      <c r="L446" s="1663"/>
      <c r="M446" s="1658"/>
      <c r="N446" s="2556"/>
      <c r="O446" s="2557"/>
      <c r="P446" s="2557"/>
      <c r="Q446" s="1658"/>
      <c r="R446" s="1658"/>
      <c r="S446" s="1658"/>
      <c r="AA446" s="2067" t="s">
        <v>1632</v>
      </c>
      <c r="AB446" s="1658" t="s">
        <v>2171</v>
      </c>
      <c r="AC446" s="1658"/>
      <c r="AD446" s="1658"/>
      <c r="AE446" s="1658"/>
      <c r="AF446" s="1658"/>
      <c r="AG446" s="2068"/>
      <c r="AH446" s="2068"/>
      <c r="AI446" s="2068">
        <f>$M$368</f>
        <v>0</v>
      </c>
      <c r="AJ446" s="2068">
        <f>$M$368</f>
        <v>0</v>
      </c>
      <c r="AK446" s="1658"/>
      <c r="AL446" s="1658"/>
      <c r="AM446" s="2556"/>
      <c r="AN446" s="1658"/>
      <c r="AP446" s="1760" t="s">
        <v>1632</v>
      </c>
      <c r="AQ446" s="1945" t="s">
        <v>2171</v>
      </c>
      <c r="AR446" s="1951"/>
      <c r="AS446" s="1951"/>
      <c r="AT446" s="1951"/>
      <c r="AU446" s="1951"/>
      <c r="AV446" s="1973"/>
      <c r="AW446" s="1972"/>
      <c r="AX446" s="1946">
        <f>$O$368</f>
        <v>0</v>
      </c>
      <c r="AY446" s="1947">
        <f>$O$368</f>
        <v>0</v>
      </c>
      <c r="AZ446" s="1977"/>
      <c r="BA446" s="1974"/>
      <c r="BB446" s="1950">
        <f>$P$368</f>
        <v>0</v>
      </c>
      <c r="BC446" s="1949">
        <f>$P$368</f>
        <v>0</v>
      </c>
    </row>
    <row r="447" spans="1:55">
      <c r="A447" s="1663" t="s">
        <v>2172</v>
      </c>
      <c r="B447" s="1658"/>
      <c r="C447" s="1658"/>
      <c r="D447" s="1663"/>
      <c r="E447" s="1663">
        <v>2</v>
      </c>
      <c r="F447" s="1658"/>
      <c r="G447" s="1664" t="s">
        <v>146</v>
      </c>
      <c r="H447" s="2556">
        <v>2019</v>
      </c>
      <c r="I447" s="2556" t="s">
        <v>2131</v>
      </c>
      <c r="J447" s="1658"/>
      <c r="K447" s="1658"/>
      <c r="L447" s="1663"/>
      <c r="M447" s="1658"/>
      <c r="N447" s="2556"/>
      <c r="O447" s="2557"/>
      <c r="P447" s="2557"/>
      <c r="Q447" s="1658"/>
      <c r="R447" s="1658"/>
      <c r="S447" s="1658"/>
      <c r="AA447" s="2067"/>
      <c r="AB447" s="1629"/>
      <c r="AC447" s="1658"/>
      <c r="AD447" s="1658"/>
      <c r="AE447" s="1658"/>
      <c r="AF447" s="1658"/>
      <c r="AG447" s="2068"/>
      <c r="AH447" s="2068"/>
      <c r="AI447" s="2068"/>
      <c r="AJ447" s="2068"/>
      <c r="AK447" s="1658"/>
      <c r="AL447" s="1658"/>
      <c r="AM447" s="2556"/>
      <c r="AN447" s="1658"/>
      <c r="AP447" s="1760"/>
      <c r="AQ447" s="1978"/>
      <c r="AR447" s="1979"/>
      <c r="AS447" s="1979"/>
      <c r="AT447" s="1979"/>
      <c r="AU447" s="1979"/>
      <c r="AV447" s="1980"/>
      <c r="AW447" s="1981"/>
      <c r="AX447" s="1982"/>
      <c r="AY447" s="1983"/>
      <c r="AZ447" s="1984"/>
      <c r="BA447" s="1985"/>
      <c r="BB447" s="1986"/>
      <c r="BC447" s="1985"/>
    </row>
    <row r="448" spans="1:55">
      <c r="A448" s="1663" t="s">
        <v>2173</v>
      </c>
      <c r="B448" s="1658"/>
      <c r="C448" s="1658"/>
      <c r="D448" s="1663"/>
      <c r="E448" s="1663">
        <v>10</v>
      </c>
      <c r="F448" s="1658"/>
      <c r="G448" s="1664" t="s">
        <v>2174</v>
      </c>
      <c r="H448" s="2556">
        <v>2019</v>
      </c>
      <c r="I448" s="2556" t="s">
        <v>2131</v>
      </c>
      <c r="J448" s="1665" t="s">
        <v>2175</v>
      </c>
      <c r="K448" s="1658"/>
      <c r="L448" s="1663"/>
      <c r="M448" s="1658"/>
      <c r="N448" s="2556"/>
      <c r="O448" s="2557"/>
      <c r="P448" s="2557"/>
      <c r="Q448" s="1658"/>
      <c r="R448" s="1658"/>
      <c r="S448" s="1658"/>
      <c r="AA448" s="1629"/>
      <c r="AB448" s="2071"/>
      <c r="AC448" s="1629"/>
      <c r="AD448" s="1629"/>
      <c r="AE448" s="1629"/>
      <c r="AF448" s="1629"/>
      <c r="AG448" s="1629"/>
      <c r="AH448" s="1629"/>
      <c r="AI448" s="1629"/>
      <c r="AJ448" s="1629"/>
      <c r="AK448" s="1658"/>
      <c r="AL448" s="1658"/>
      <c r="AM448" s="2556"/>
      <c r="AN448" s="1658"/>
      <c r="AP448" s="1725"/>
      <c r="AQ448" s="1725"/>
      <c r="AR448" s="1725"/>
      <c r="AS448" s="1725"/>
      <c r="AT448" s="1725"/>
      <c r="AU448" s="1725"/>
      <c r="AV448" s="1987"/>
      <c r="AW448" s="1987"/>
      <c r="AX448" s="1987"/>
      <c r="AY448" s="1987"/>
      <c r="AZ448" s="1988"/>
      <c r="BA448" s="1988"/>
      <c r="BB448" s="1988"/>
      <c r="BC448" s="1988"/>
    </row>
    <row r="449" spans="1:55">
      <c r="A449" s="1663" t="s">
        <v>2176</v>
      </c>
      <c r="B449" s="1658"/>
      <c r="C449" s="1658"/>
      <c r="D449" s="1663"/>
      <c r="E449" s="1663"/>
      <c r="F449" s="1658"/>
      <c r="G449" s="1664" t="s">
        <v>2177</v>
      </c>
      <c r="H449" s="2556">
        <v>2019</v>
      </c>
      <c r="I449" s="2556" t="s">
        <v>2131</v>
      </c>
      <c r="J449" s="1658" t="s">
        <v>1735</v>
      </c>
      <c r="K449" s="1658"/>
      <c r="L449" s="1663"/>
      <c r="M449" s="1658"/>
      <c r="N449" s="2556"/>
      <c r="O449" s="2557"/>
      <c r="P449" s="2557"/>
      <c r="Q449" s="1658"/>
      <c r="R449" s="1658"/>
      <c r="S449" s="1658"/>
      <c r="AA449" s="1629"/>
      <c r="AB449" s="2071"/>
      <c r="AC449" s="1629"/>
      <c r="AD449" s="1628" t="s">
        <v>2178</v>
      </c>
      <c r="AE449" s="1629"/>
      <c r="AF449" s="1629"/>
      <c r="AG449" s="2072"/>
      <c r="AH449" s="2073">
        <f>IF(AND($O$12="4%",($C$12-$A$12)&gt;0),(SUM(AH423:AH447)-($C$12-$A$12)),SUM(AH423:AH447))</f>
        <v>109</v>
      </c>
      <c r="AI449" s="2073">
        <f>IF(AND($O$12="4%",($C$12-$A$12)&gt;0),(SUM(AI423:AI447)-($C$12-$A$12)),SUM(AI423:AI447))</f>
        <v>50</v>
      </c>
      <c r="AJ449" s="2073">
        <f>SUM(AJ424:AJ447)</f>
        <v>46</v>
      </c>
      <c r="AK449" s="1643"/>
      <c r="AL449" s="2556"/>
      <c r="AM449" s="1657"/>
      <c r="AN449" s="2555"/>
      <c r="AP449" s="1725"/>
      <c r="AQ449" s="1725"/>
      <c r="AR449" s="1725"/>
      <c r="AS449" s="1725"/>
      <c r="AT449" s="1725"/>
      <c r="AU449" s="1725"/>
      <c r="AV449" s="1989">
        <f>SUM(AV423:AV447)</f>
        <v>86.5</v>
      </c>
      <c r="AW449" s="1989">
        <f>IF(AND($O$12="4%",($C$12-$A$12)&gt;0),(SUM(AW423:AW447)-($C$12-$A$12)),SUM(AW423:AW447))</f>
        <v>78.5</v>
      </c>
      <c r="AX449" s="1989">
        <f>IF(AND($O$12="4%",($C$12-$A$12)&gt;0),(SUM(AX423:AX447)-($C$12-$A$12)),SUM(AX423:AX447))</f>
        <v>46.5</v>
      </c>
      <c r="AY449" s="1989">
        <f>SUM(AY423:AY447)</f>
        <v>44.5</v>
      </c>
      <c r="AZ449" s="1990">
        <f>SUM(AZ423:AZ447)</f>
        <v>12</v>
      </c>
      <c r="BA449" s="1990">
        <f>IF(AND($O$12="4%",($D$12-$A$12)&gt;0),(SUM(BA423:BA447)-($D$12-$A$12)),SUM(BA423:BA447))</f>
        <v>12</v>
      </c>
      <c r="BB449" s="1990">
        <f>IF(AND($O$12="4%",($D$12-$A$12)&gt;0),(SUM(BB423:BB447)-($D$12-$A$12)),SUM(BB423:BB447))</f>
        <v>12</v>
      </c>
      <c r="BC449" s="1990">
        <f>SUM(BC423:BC447)</f>
        <v>12</v>
      </c>
    </row>
    <row r="450" spans="1:55">
      <c r="B450" s="1658"/>
      <c r="C450" s="1663"/>
      <c r="D450" s="1658"/>
      <c r="E450" s="1658"/>
      <c r="F450" s="1658"/>
      <c r="G450" s="1664" t="s">
        <v>2179</v>
      </c>
      <c r="H450" s="2556">
        <v>2020</v>
      </c>
      <c r="I450" s="2556" t="s">
        <v>2131</v>
      </c>
      <c r="J450" s="1658" t="s">
        <v>2180</v>
      </c>
      <c r="K450" s="1658"/>
      <c r="L450" s="1663"/>
      <c r="M450" s="1658"/>
      <c r="N450" s="2556"/>
      <c r="O450" s="2557"/>
      <c r="P450" s="2557"/>
      <c r="Q450" s="1658"/>
      <c r="R450" s="1658"/>
      <c r="S450" s="1658"/>
      <c r="AA450" s="1658"/>
      <c r="AB450" s="1658"/>
      <c r="AC450" s="1658"/>
      <c r="AD450" s="1658"/>
      <c r="AE450" s="1658"/>
      <c r="AF450" s="1658"/>
      <c r="AG450" s="1658"/>
      <c r="AH450" s="1658"/>
      <c r="AI450" s="1658"/>
      <c r="AJ450" s="1658"/>
      <c r="AK450" s="1643"/>
      <c r="AL450" s="2556"/>
      <c r="AM450" s="1657"/>
      <c r="AN450" s="2555"/>
    </row>
    <row r="451" spans="1:55">
      <c r="B451" s="1658"/>
      <c r="C451" s="1663"/>
      <c r="D451" s="1658"/>
      <c r="E451" s="1658"/>
      <c r="F451" s="1658"/>
      <c r="G451" s="1664" t="s">
        <v>2181</v>
      </c>
      <c r="H451" s="2556">
        <v>2020</v>
      </c>
      <c r="I451" s="2556" t="s">
        <v>2131</v>
      </c>
      <c r="J451" s="1658" t="s">
        <v>1736</v>
      </c>
      <c r="K451" s="1658"/>
      <c r="L451" s="1663"/>
      <c r="M451" s="1658"/>
      <c r="N451" s="2556"/>
      <c r="O451" s="2557"/>
      <c r="P451" s="2557"/>
      <c r="Q451" s="1658"/>
      <c r="R451" s="1658"/>
      <c r="S451" s="1658"/>
      <c r="AA451" s="1658"/>
      <c r="AB451" s="1658"/>
      <c r="AC451" s="1658"/>
      <c r="AD451" s="1658"/>
      <c r="AE451" s="1658"/>
      <c r="AF451" s="1658"/>
      <c r="AG451" s="1658"/>
      <c r="AH451" s="1658"/>
      <c r="AI451" s="1658"/>
      <c r="AJ451" s="1658"/>
      <c r="AK451" s="1658"/>
      <c r="AL451" s="1658"/>
      <c r="AM451" s="2556"/>
      <c r="AN451" s="1658"/>
    </row>
    <row r="452" spans="1:55">
      <c r="B452" s="1658"/>
      <c r="C452" s="1663"/>
      <c r="D452" s="1658"/>
      <c r="E452" s="1658"/>
      <c r="F452" s="1658"/>
      <c r="G452" s="1664" t="s">
        <v>2182</v>
      </c>
      <c r="H452" s="2556" t="s">
        <v>2127</v>
      </c>
      <c r="I452" s="1662" t="s">
        <v>1117</v>
      </c>
      <c r="J452" s="1658" t="s">
        <v>2183</v>
      </c>
      <c r="K452" s="1658"/>
      <c r="L452" s="1663"/>
      <c r="M452" s="1658"/>
      <c r="N452" s="2556"/>
      <c r="O452" s="2557"/>
      <c r="P452" s="2557"/>
      <c r="Q452" s="1658"/>
      <c r="R452" s="1658"/>
      <c r="S452" s="1658"/>
      <c r="AM452" s="2558"/>
    </row>
    <row r="453" spans="1:55">
      <c r="B453" s="1658"/>
      <c r="C453" s="1663"/>
      <c r="D453" s="1658"/>
      <c r="E453" s="1658"/>
      <c r="F453" s="1658"/>
      <c r="G453" s="1664" t="s">
        <v>2184</v>
      </c>
      <c r="H453" s="2556">
        <v>2019</v>
      </c>
      <c r="I453" s="2556" t="s">
        <v>2131</v>
      </c>
      <c r="J453" s="1658" t="s">
        <v>1738</v>
      </c>
      <c r="K453" s="1658"/>
      <c r="L453" s="1663"/>
      <c r="M453" s="1658"/>
      <c r="N453" s="2556"/>
      <c r="O453" s="2557"/>
      <c r="P453" s="2557"/>
      <c r="Q453" s="1658"/>
      <c r="R453" s="1658"/>
      <c r="S453" s="1658"/>
      <c r="AM453" s="2558"/>
    </row>
    <row r="454" spans="1:55">
      <c r="B454" s="1658"/>
      <c r="C454" s="1658"/>
      <c r="D454" s="1658"/>
      <c r="E454" s="1658"/>
      <c r="F454" s="1658"/>
      <c r="G454" s="1664" t="s">
        <v>2185</v>
      </c>
      <c r="H454" s="2556">
        <v>2019</v>
      </c>
      <c r="I454" s="2556" t="s">
        <v>2131</v>
      </c>
      <c r="J454" s="1658" t="s">
        <v>2186</v>
      </c>
      <c r="K454" s="1658"/>
      <c r="L454" s="1663"/>
      <c r="M454" s="1658"/>
      <c r="N454" s="2556"/>
      <c r="O454" s="2557"/>
      <c r="P454" s="2557"/>
      <c r="Q454" s="1658"/>
      <c r="R454" s="1658"/>
      <c r="S454" s="1658"/>
      <c r="AM454" s="2558"/>
    </row>
    <row r="455" spans="1:55">
      <c r="B455" s="1658"/>
      <c r="C455" s="1658"/>
      <c r="D455" s="1658"/>
      <c r="E455" s="1658"/>
      <c r="F455" s="1658"/>
      <c r="G455" s="1664" t="s">
        <v>2187</v>
      </c>
      <c r="H455" s="2556">
        <v>2019</v>
      </c>
      <c r="I455" s="2556" t="s">
        <v>2131</v>
      </c>
      <c r="J455" s="1658" t="s">
        <v>1740</v>
      </c>
      <c r="K455" s="1658"/>
      <c r="L455" s="1658"/>
      <c r="M455" s="1658"/>
      <c r="N455" s="2556"/>
      <c r="O455" s="2557"/>
      <c r="P455" s="2557"/>
      <c r="Q455" s="1658"/>
      <c r="R455" s="1658"/>
      <c r="S455" s="1658"/>
      <c r="AB455" s="1906" t="s">
        <v>2011</v>
      </c>
      <c r="AC455" s="1907"/>
      <c r="AD455" s="1907"/>
      <c r="AE455" s="1908"/>
      <c r="AF455" s="1908"/>
      <c r="AG455" s="1908"/>
      <c r="AH455" s="1908"/>
      <c r="AI455" s="1909" t="s">
        <v>1758</v>
      </c>
      <c r="AJ455" s="1910" t="s">
        <v>1749</v>
      </c>
      <c r="AK455" s="1911"/>
      <c r="AM455" s="2558"/>
    </row>
    <row r="456" spans="1:55">
      <c r="B456" s="1658"/>
      <c r="C456" s="1658"/>
      <c r="D456" s="1658"/>
      <c r="E456" s="1658"/>
      <c r="F456" s="1658"/>
      <c r="G456" s="1664" t="s">
        <v>2188</v>
      </c>
      <c r="H456" s="2556" t="s">
        <v>2127</v>
      </c>
      <c r="I456" s="1662" t="s">
        <v>1117</v>
      </c>
      <c r="J456" s="1658" t="s">
        <v>2189</v>
      </c>
      <c r="K456" s="1658"/>
      <c r="L456" s="1663"/>
      <c r="M456" s="1658"/>
      <c r="N456" s="2556"/>
      <c r="O456" s="2557"/>
      <c r="P456" s="2557"/>
      <c r="Q456" s="1658"/>
      <c r="R456" s="1658"/>
      <c r="S456" s="1658"/>
      <c r="AB456" s="1912"/>
      <c r="AC456" s="1725" t="s">
        <v>2012</v>
      </c>
      <c r="AD456" s="1747"/>
      <c r="AE456" s="1725"/>
      <c r="AF456" s="1725"/>
      <c r="AG456" s="1725"/>
      <c r="AH456" s="1725"/>
      <c r="AI456" s="1913">
        <f>$O$206</f>
        <v>0</v>
      </c>
      <c r="AJ456" s="1914">
        <f>$P$206</f>
        <v>0</v>
      </c>
      <c r="AK456" s="1915"/>
      <c r="AM456" s="2558"/>
    </row>
    <row r="457" spans="1:55">
      <c r="B457" s="1658"/>
      <c r="C457" s="1658"/>
      <c r="D457" s="1658"/>
      <c r="E457" s="1658"/>
      <c r="F457" s="1658"/>
      <c r="G457" s="1664" t="s">
        <v>2190</v>
      </c>
      <c r="H457" s="2556">
        <v>2020</v>
      </c>
      <c r="I457" s="2556" t="s">
        <v>2131</v>
      </c>
      <c r="J457" s="1658" t="s">
        <v>1742</v>
      </c>
      <c r="K457" s="1658"/>
      <c r="L457" s="1663"/>
      <c r="M457" s="1658"/>
      <c r="N457" s="1658"/>
      <c r="O457" s="1658"/>
      <c r="P457" s="1658"/>
      <c r="Q457" s="1658"/>
      <c r="R457" s="1658"/>
      <c r="S457" s="1658"/>
      <c r="AB457" s="1912"/>
      <c r="AC457" s="1725" t="s">
        <v>1763</v>
      </c>
      <c r="AD457" s="1747"/>
      <c r="AE457" s="1725"/>
      <c r="AF457" s="1725"/>
      <c r="AG457" s="1725"/>
      <c r="AH457" s="1725"/>
      <c r="AI457" s="1916">
        <f>$O$238</f>
        <v>9</v>
      </c>
      <c r="AJ457" s="1917">
        <f>$P$238</f>
        <v>0</v>
      </c>
      <c r="AK457" s="1915"/>
      <c r="AM457" s="2558"/>
    </row>
    <row r="458" spans="1:55">
      <c r="B458" s="1658"/>
      <c r="C458" s="1658"/>
      <c r="D458" s="1658"/>
      <c r="E458" s="1658"/>
      <c r="F458" s="1658"/>
      <c r="G458" s="1664" t="s">
        <v>2191</v>
      </c>
      <c r="H458" s="2556">
        <v>2020</v>
      </c>
      <c r="I458" s="2556" t="s">
        <v>2131</v>
      </c>
      <c r="J458" s="1658" t="s">
        <v>2192</v>
      </c>
      <c r="K458" s="1658"/>
      <c r="L458" s="1658"/>
      <c r="M458" s="1658"/>
      <c r="N458" s="1658"/>
      <c r="O458" s="1658"/>
      <c r="P458" s="1658"/>
      <c r="Q458" s="1658"/>
      <c r="R458" s="1658"/>
      <c r="S458" s="1658"/>
      <c r="AB458" s="1912"/>
      <c r="AC458" s="1725" t="s">
        <v>2057</v>
      </c>
      <c r="AD458" s="1747"/>
      <c r="AE458" s="1725"/>
      <c r="AF458" s="1725"/>
      <c r="AG458" s="1725"/>
      <c r="AH458" s="1725"/>
      <c r="AI458" s="1916">
        <f>$O$265</f>
        <v>0</v>
      </c>
      <c r="AJ458" s="1917">
        <f>$P$265</f>
        <v>0</v>
      </c>
      <c r="AK458" s="1915"/>
      <c r="AM458" s="2558"/>
    </row>
    <row r="459" spans="1:55">
      <c r="B459" s="1658"/>
      <c r="C459" s="1658"/>
      <c r="D459" s="1666"/>
      <c r="E459" s="1658"/>
      <c r="F459" s="1658"/>
      <c r="G459" s="1664" t="s">
        <v>2193</v>
      </c>
      <c r="H459" s="2556" t="s">
        <v>2127</v>
      </c>
      <c r="I459" s="1662" t="s">
        <v>1117</v>
      </c>
      <c r="J459" s="1658" t="s">
        <v>2194</v>
      </c>
      <c r="K459" s="1658"/>
      <c r="L459" s="1663"/>
      <c r="M459" s="1658"/>
      <c r="N459" s="1658"/>
      <c r="O459" s="1658"/>
      <c r="P459" s="1658"/>
      <c r="Q459" s="1658"/>
      <c r="R459" s="1658"/>
      <c r="S459" s="1658"/>
      <c r="AB459" s="1912"/>
      <c r="AC459" s="1725" t="s">
        <v>2151</v>
      </c>
      <c r="AD459" s="1747"/>
      <c r="AE459" s="1725"/>
      <c r="AF459" s="1725"/>
      <c r="AG459" s="1725"/>
      <c r="AH459" s="1725"/>
      <c r="AI459" s="1916">
        <f>$O$303</f>
        <v>0</v>
      </c>
      <c r="AJ459" s="1917">
        <f>$P$303</f>
        <v>0</v>
      </c>
      <c r="AK459" s="1915"/>
      <c r="AM459" s="2558"/>
    </row>
    <row r="460" spans="1:55">
      <c r="B460" s="1658"/>
      <c r="C460" s="1658"/>
      <c r="D460" s="1666"/>
      <c r="E460" s="1658"/>
      <c r="F460" s="1658"/>
      <c r="G460" s="1664" t="s">
        <v>2195</v>
      </c>
      <c r="H460" s="2556" t="s">
        <v>2127</v>
      </c>
      <c r="I460" s="1662" t="s">
        <v>1117</v>
      </c>
      <c r="J460" s="1658" t="s">
        <v>2196</v>
      </c>
      <c r="K460" s="1658"/>
      <c r="L460" s="1663"/>
      <c r="M460" s="1658"/>
      <c r="N460" s="1658"/>
      <c r="O460" s="1658"/>
      <c r="P460" s="1658"/>
      <c r="Q460" s="1658"/>
      <c r="R460" s="1658"/>
      <c r="S460" s="1658"/>
      <c r="AB460" s="1918"/>
      <c r="AC460" s="1919"/>
      <c r="AD460" s="1919"/>
      <c r="AE460" s="1920"/>
      <c r="AF460" s="1920"/>
      <c r="AG460" s="1920"/>
      <c r="AH460" s="1920"/>
      <c r="AI460" s="1920"/>
      <c r="AJ460" s="1920"/>
      <c r="AK460" s="1921"/>
      <c r="AM460" s="2558"/>
    </row>
    <row r="461" spans="1:55" ht="14.25">
      <c r="B461" s="1658"/>
      <c r="C461" s="1658"/>
      <c r="D461" s="1658"/>
      <c r="E461" s="1658"/>
      <c r="F461" s="1658"/>
      <c r="G461" s="1664" t="s">
        <v>2197</v>
      </c>
      <c r="H461" s="2556">
        <v>2020</v>
      </c>
      <c r="I461" s="2556" t="s">
        <v>2131</v>
      </c>
      <c r="J461" s="1658" t="s">
        <v>2198</v>
      </c>
      <c r="K461" s="1658"/>
      <c r="L461" s="1663"/>
      <c r="M461" s="1658"/>
      <c r="N461" s="1658"/>
      <c r="O461" s="1658"/>
      <c r="P461" s="1658"/>
      <c r="Q461" s="1658"/>
      <c r="R461" s="1658"/>
      <c r="S461" s="1658"/>
      <c r="AM461" s="2558"/>
    </row>
    <row r="462" spans="1:55" ht="14.25">
      <c r="B462" s="1658"/>
      <c r="C462" s="1658"/>
      <c r="D462" s="1658"/>
      <c r="E462" s="1658"/>
      <c r="F462" s="1658"/>
      <c r="G462" s="1664" t="s">
        <v>2199</v>
      </c>
      <c r="H462" s="2556">
        <v>2019</v>
      </c>
      <c r="I462" s="2556" t="s">
        <v>2131</v>
      </c>
      <c r="J462" s="1658" t="s">
        <v>2200</v>
      </c>
      <c r="K462" s="1658"/>
      <c r="L462" s="1658"/>
      <c r="M462" s="1658"/>
      <c r="N462" s="1658"/>
      <c r="O462" s="1658"/>
      <c r="P462" s="1658"/>
      <c r="Q462" s="1658"/>
      <c r="R462" s="1658"/>
      <c r="S462" s="1658"/>
      <c r="AM462" s="2558"/>
    </row>
    <row r="463" spans="1:55" ht="14.25">
      <c r="B463" s="1658"/>
      <c r="C463" s="1658"/>
      <c r="D463" s="1658"/>
      <c r="E463" s="1658"/>
      <c r="F463" s="1658"/>
      <c r="G463" s="1664" t="s">
        <v>2201</v>
      </c>
      <c r="H463" s="2556">
        <v>2019</v>
      </c>
      <c r="I463" s="2556" t="s">
        <v>2131</v>
      </c>
      <c r="J463" s="1658" t="s">
        <v>2202</v>
      </c>
      <c r="K463" s="1658"/>
      <c r="L463" s="1663"/>
      <c r="M463" s="1658"/>
      <c r="N463" s="1658"/>
      <c r="O463" s="1658"/>
      <c r="P463" s="1658"/>
      <c r="Q463" s="1658"/>
      <c r="R463" s="1658"/>
      <c r="S463" s="1658"/>
      <c r="AM463" s="2558"/>
    </row>
    <row r="464" spans="1:55" ht="14.25">
      <c r="B464" s="1658"/>
      <c r="C464" s="1658"/>
      <c r="D464" s="1658"/>
      <c r="E464" s="1658"/>
      <c r="F464" s="1658"/>
      <c r="G464" s="1664" t="s">
        <v>2203</v>
      </c>
      <c r="H464" s="2556">
        <v>2020</v>
      </c>
      <c r="I464" s="2556" t="s">
        <v>2131</v>
      </c>
      <c r="J464" s="1658" t="s">
        <v>2204</v>
      </c>
      <c r="K464" s="1658"/>
      <c r="L464" s="1663"/>
      <c r="M464" s="1658"/>
      <c r="N464" s="1658"/>
      <c r="O464" s="1658"/>
      <c r="P464" s="1658"/>
      <c r="Q464" s="1658"/>
      <c r="R464" s="1658"/>
      <c r="S464" s="1658"/>
      <c r="AM464" s="2558"/>
    </row>
    <row r="465" spans="2:19" ht="14.25">
      <c r="B465" s="1658"/>
      <c r="C465" s="1666"/>
      <c r="D465" s="1658"/>
      <c r="E465" s="1658"/>
      <c r="F465" s="1658"/>
      <c r="G465" s="1664" t="s">
        <v>2205</v>
      </c>
      <c r="H465" s="2556">
        <v>2020</v>
      </c>
      <c r="I465" s="2556" t="s">
        <v>2131</v>
      </c>
      <c r="J465" s="1658" t="s">
        <v>2206</v>
      </c>
      <c r="K465" s="1658"/>
      <c r="L465" s="1663"/>
      <c r="M465" s="1658"/>
      <c r="N465" s="1658"/>
      <c r="O465" s="1658"/>
      <c r="P465" s="1658"/>
      <c r="Q465" s="1658"/>
      <c r="R465" s="1658"/>
      <c r="S465" s="1658"/>
    </row>
    <row r="466" spans="2:19" ht="14.25">
      <c r="B466" s="1658"/>
      <c r="C466" s="1666"/>
      <c r="D466" s="1658"/>
      <c r="E466" s="1658"/>
      <c r="F466" s="1658"/>
      <c r="G466" s="1664" t="s">
        <v>2207</v>
      </c>
      <c r="H466" s="2556" t="s">
        <v>2127</v>
      </c>
      <c r="I466" s="1662" t="s">
        <v>1117</v>
      </c>
      <c r="J466" s="1658"/>
      <c r="K466" s="1658"/>
      <c r="L466" s="1663"/>
      <c r="M466" s="1658"/>
      <c r="N466" s="1658"/>
      <c r="O466" s="1658"/>
      <c r="P466" s="1658"/>
      <c r="Q466" s="1658"/>
      <c r="R466" s="1658"/>
      <c r="S466" s="1658"/>
    </row>
    <row r="467" spans="2:19" ht="14.25">
      <c r="B467" s="1658"/>
      <c r="C467" s="1666"/>
      <c r="D467" s="1658"/>
      <c r="E467" s="1658"/>
      <c r="F467" s="1658"/>
      <c r="G467" s="1664" t="s">
        <v>2208</v>
      </c>
      <c r="H467" s="2556" t="s">
        <v>2127</v>
      </c>
      <c r="I467" s="1662" t="s">
        <v>1117</v>
      </c>
      <c r="J467" s="1658"/>
      <c r="K467" s="1658"/>
      <c r="L467" s="1663"/>
      <c r="M467" s="1658"/>
      <c r="N467" s="1658"/>
      <c r="O467" s="1658"/>
      <c r="P467" s="1658"/>
      <c r="Q467" s="1658"/>
      <c r="R467" s="1658"/>
      <c r="S467" s="1658"/>
    </row>
    <row r="468" spans="2:19" ht="14.25">
      <c r="B468" s="1658"/>
      <c r="C468" s="1666"/>
      <c r="D468" s="1658"/>
      <c r="E468" s="1658"/>
      <c r="F468" s="1658"/>
      <c r="G468" s="1664" t="s">
        <v>2209</v>
      </c>
      <c r="H468" s="2556" t="s">
        <v>2127</v>
      </c>
      <c r="I468" s="1662" t="s">
        <v>1117</v>
      </c>
      <c r="J468" s="1658"/>
      <c r="K468" s="1658"/>
      <c r="L468" s="1663"/>
      <c r="M468" s="1658"/>
      <c r="N468" s="1658"/>
      <c r="O468" s="1658"/>
      <c r="P468" s="1658"/>
      <c r="Q468" s="1658"/>
      <c r="R468" s="1658"/>
      <c r="S468" s="1658"/>
    </row>
    <row r="469" spans="2:19" ht="14.25">
      <c r="B469" s="1658"/>
      <c r="C469" s="1666"/>
      <c r="D469" s="1658"/>
      <c r="E469" s="1658"/>
      <c r="F469" s="1658"/>
      <c r="G469" s="1664" t="s">
        <v>2210</v>
      </c>
      <c r="H469" s="2556" t="s">
        <v>2127</v>
      </c>
      <c r="I469" s="1662" t="s">
        <v>1117</v>
      </c>
      <c r="J469" s="1658"/>
      <c r="K469" s="1658"/>
      <c r="L469" s="1663"/>
      <c r="M469" s="1658"/>
      <c r="N469" s="1658"/>
      <c r="O469" s="1658"/>
      <c r="P469" s="1658"/>
      <c r="Q469" s="1658"/>
      <c r="R469" s="1658"/>
      <c r="S469" s="1658"/>
    </row>
    <row r="470" spans="2:19" ht="14.25">
      <c r="B470" s="1658"/>
      <c r="C470" s="1666"/>
      <c r="D470" s="1658"/>
      <c r="E470" s="1658"/>
      <c r="F470" s="1658"/>
      <c r="G470" s="1664" t="s">
        <v>2211</v>
      </c>
      <c r="H470" s="2556">
        <v>2020</v>
      </c>
      <c r="I470" s="2556" t="s">
        <v>2131</v>
      </c>
      <c r="J470" s="1658"/>
      <c r="K470" s="1658"/>
      <c r="L470" s="1663"/>
      <c r="M470" s="1658"/>
      <c r="N470" s="1658"/>
      <c r="O470" s="1658"/>
      <c r="P470" s="1658"/>
      <c r="Q470" s="1658"/>
      <c r="R470" s="1658"/>
      <c r="S470" s="1658"/>
    </row>
    <row r="471" spans="2:19" ht="14.25">
      <c r="B471" s="1658"/>
      <c r="C471" s="1666"/>
      <c r="D471" s="1658"/>
      <c r="E471" s="1658"/>
      <c r="F471" s="1658"/>
      <c r="G471" s="1664" t="s">
        <v>2212</v>
      </c>
      <c r="H471" s="2556">
        <v>2020</v>
      </c>
      <c r="I471" s="2556" t="s">
        <v>2131</v>
      </c>
      <c r="J471" s="1658"/>
      <c r="K471" s="1658"/>
      <c r="L471" s="1658"/>
      <c r="M471" s="1658"/>
      <c r="N471" s="1658"/>
      <c r="O471" s="1658"/>
      <c r="P471" s="1658"/>
      <c r="Q471" s="1658"/>
      <c r="R471" s="1658"/>
      <c r="S471" s="1658"/>
    </row>
    <row r="472" spans="2:19" ht="14.25">
      <c r="B472" s="1658"/>
      <c r="C472" s="1658"/>
      <c r="D472" s="1658"/>
      <c r="E472" s="1658"/>
      <c r="F472" s="1658"/>
      <c r="G472" s="1664" t="s">
        <v>2213</v>
      </c>
      <c r="H472" s="2556">
        <v>2019</v>
      </c>
      <c r="I472" s="2556" t="s">
        <v>2131</v>
      </c>
      <c r="J472" s="1658"/>
      <c r="K472" s="1658"/>
      <c r="L472" s="1658"/>
      <c r="M472" s="1658"/>
      <c r="N472" s="1658"/>
      <c r="O472" s="1658"/>
      <c r="P472" s="1658"/>
      <c r="Q472" s="1658"/>
      <c r="R472" s="1658"/>
      <c r="S472" s="1658"/>
    </row>
    <row r="473" spans="2:19">
      <c r="B473" s="1658"/>
      <c r="C473" s="1658"/>
      <c r="D473" s="1658"/>
      <c r="E473" s="1658"/>
      <c r="F473" s="1658"/>
      <c r="G473" s="1664" t="s">
        <v>2214</v>
      </c>
      <c r="H473" s="1658"/>
      <c r="I473" s="1658"/>
      <c r="J473" s="1658"/>
      <c r="K473" s="1658"/>
      <c r="L473" s="1658"/>
      <c r="M473" s="1658"/>
      <c r="N473" s="2556"/>
      <c r="O473" s="2557"/>
      <c r="P473" s="2557"/>
      <c r="Q473" s="1658"/>
      <c r="R473" s="1658"/>
      <c r="S473" s="1658"/>
    </row>
    <row r="474" spans="2:19">
      <c r="B474" s="1658"/>
      <c r="C474" s="1658"/>
      <c r="D474" s="1658"/>
      <c r="E474" s="1658"/>
      <c r="F474" s="1658"/>
      <c r="G474" s="1664" t="s">
        <v>2215</v>
      </c>
      <c r="H474" s="2556">
        <v>2019</v>
      </c>
      <c r="I474" s="2556" t="s">
        <v>2131</v>
      </c>
      <c r="J474" s="1658"/>
      <c r="K474" s="1658"/>
      <c r="L474" s="1658"/>
      <c r="M474" s="1658"/>
      <c r="N474" s="2556"/>
      <c r="O474" s="2557"/>
      <c r="P474" s="2557"/>
      <c r="Q474" s="1658"/>
      <c r="R474" s="1658"/>
      <c r="S474" s="1658"/>
    </row>
    <row r="475" spans="2:19">
      <c r="B475" s="1658"/>
      <c r="C475" s="1658"/>
      <c r="D475" s="1658"/>
      <c r="E475" s="1658"/>
      <c r="F475" s="1658"/>
      <c r="G475" s="1664" t="s">
        <v>2216</v>
      </c>
      <c r="H475" s="2556">
        <v>2020</v>
      </c>
      <c r="I475" s="2556" t="s">
        <v>2131</v>
      </c>
      <c r="J475" s="1658"/>
      <c r="K475" s="1658"/>
      <c r="L475" s="1658"/>
      <c r="M475" s="1658"/>
      <c r="N475" s="2556"/>
      <c r="O475" s="2557"/>
      <c r="P475" s="2557"/>
      <c r="Q475" s="1658"/>
      <c r="R475" s="1658"/>
      <c r="S475" s="1658"/>
    </row>
    <row r="476" spans="2:19">
      <c r="B476" s="1658"/>
      <c r="C476" s="1658"/>
      <c r="D476" s="1658"/>
      <c r="E476" s="1658"/>
      <c r="F476" s="1658"/>
      <c r="G476" s="1664" t="s">
        <v>2217</v>
      </c>
      <c r="H476" s="2556">
        <v>2020</v>
      </c>
      <c r="I476" s="2556" t="s">
        <v>2131</v>
      </c>
      <c r="J476" s="1658"/>
      <c r="K476" s="1658"/>
      <c r="L476" s="1658"/>
      <c r="M476" s="1658"/>
      <c r="N476" s="2556"/>
      <c r="O476" s="2557"/>
      <c r="P476" s="2557"/>
      <c r="Q476" s="1658"/>
      <c r="R476" s="1658"/>
      <c r="S476" s="1658"/>
    </row>
    <row r="477" spans="2:19">
      <c r="B477" s="1658"/>
      <c r="C477" s="1658"/>
      <c r="D477" s="1658"/>
      <c r="E477" s="1658"/>
      <c r="F477" s="1658"/>
      <c r="G477" s="1664" t="s">
        <v>2218</v>
      </c>
      <c r="H477" s="2556">
        <v>2020</v>
      </c>
      <c r="I477" s="2556" t="s">
        <v>2131</v>
      </c>
      <c r="J477" s="1658"/>
      <c r="K477" s="1658"/>
      <c r="L477" s="1658"/>
      <c r="M477" s="1658"/>
      <c r="N477" s="2556"/>
      <c r="O477" s="2557"/>
      <c r="P477" s="2557"/>
      <c r="Q477" s="1658"/>
      <c r="R477" s="1658"/>
      <c r="S477" s="1658"/>
    </row>
    <row r="478" spans="2:19">
      <c r="B478" s="1658"/>
      <c r="C478" s="1658"/>
      <c r="D478" s="1658"/>
      <c r="E478" s="1658"/>
      <c r="F478" s="1658"/>
      <c r="G478" s="1664" t="s">
        <v>2219</v>
      </c>
      <c r="H478" s="2556">
        <v>2019</v>
      </c>
      <c r="I478" s="2556" t="s">
        <v>2131</v>
      </c>
      <c r="J478" s="1658"/>
      <c r="K478" s="1658"/>
      <c r="L478" s="1658"/>
      <c r="M478" s="1658"/>
      <c r="N478" s="2556"/>
      <c r="O478" s="2557"/>
      <c r="P478" s="2557"/>
      <c r="Q478" s="1658"/>
      <c r="R478" s="1658"/>
      <c r="S478" s="1658"/>
    </row>
    <row r="479" spans="2:19">
      <c r="B479" s="1658"/>
      <c r="C479" s="1658"/>
      <c r="D479" s="1658"/>
      <c r="E479" s="1658"/>
      <c r="F479" s="1658"/>
      <c r="G479" s="1664" t="s">
        <v>2220</v>
      </c>
      <c r="H479" s="2556">
        <v>2020</v>
      </c>
      <c r="I479" s="2556" t="s">
        <v>2131</v>
      </c>
      <c r="J479" s="1658"/>
      <c r="K479" s="1658"/>
      <c r="L479" s="1658"/>
      <c r="M479" s="1658"/>
      <c r="N479" s="2556"/>
      <c r="O479" s="2557"/>
      <c r="P479" s="2557"/>
      <c r="Q479" s="1658"/>
      <c r="R479" s="1658"/>
      <c r="S479" s="1658"/>
    </row>
    <row r="480" spans="2:19">
      <c r="B480" s="1658"/>
      <c r="C480" s="1658"/>
      <c r="D480" s="1658"/>
      <c r="E480" s="1658"/>
      <c r="F480" s="1658"/>
      <c r="G480" s="1664" t="s">
        <v>2221</v>
      </c>
      <c r="H480" s="2556">
        <v>2020</v>
      </c>
      <c r="I480" s="2556" t="s">
        <v>2131</v>
      </c>
      <c r="J480" s="1658"/>
      <c r="K480" s="1658"/>
      <c r="L480" s="1658"/>
      <c r="M480" s="1658"/>
      <c r="N480" s="2556"/>
      <c r="O480" s="2557"/>
      <c r="P480" s="2557"/>
      <c r="Q480" s="1658"/>
      <c r="R480" s="1658"/>
      <c r="S480" s="1658"/>
    </row>
    <row r="481" spans="2:19">
      <c r="B481" s="1658"/>
      <c r="C481" s="1658"/>
      <c r="D481" s="1658"/>
      <c r="E481" s="1658"/>
      <c r="F481" s="1658"/>
      <c r="G481" s="1664" t="s">
        <v>2222</v>
      </c>
      <c r="H481" s="2556" t="s">
        <v>2127</v>
      </c>
      <c r="I481" s="1662" t="s">
        <v>1117</v>
      </c>
      <c r="J481" s="1658"/>
      <c r="K481" s="1658"/>
      <c r="L481" s="1658"/>
      <c r="M481" s="1658"/>
      <c r="N481" s="2556"/>
      <c r="O481" s="2557"/>
      <c r="P481" s="2557"/>
      <c r="Q481" s="1658"/>
      <c r="R481" s="1658"/>
      <c r="S481" s="1658"/>
    </row>
    <row r="482" spans="2:19" ht="30" customHeight="1">
      <c r="B482" s="1658"/>
      <c r="C482" s="1658"/>
      <c r="D482" s="1658"/>
      <c r="E482" s="1658"/>
      <c r="F482" s="1658"/>
      <c r="G482" s="1664"/>
      <c r="H482" s="1658"/>
      <c r="I482" s="1658"/>
      <c r="J482" s="1658"/>
      <c r="K482" s="1658"/>
      <c r="L482" s="1658"/>
      <c r="M482" s="1658"/>
      <c r="N482" s="1658"/>
      <c r="O482" s="1658"/>
      <c r="P482" s="1658"/>
      <c r="Q482" s="1658"/>
      <c r="R482" s="1658"/>
      <c r="S482" s="1658"/>
    </row>
    <row r="483" spans="2:19">
      <c r="B483" s="1658"/>
      <c r="C483" s="1658"/>
      <c r="D483" s="1658"/>
      <c r="E483" s="1658"/>
      <c r="F483" s="1658"/>
      <c r="G483" s="1658"/>
      <c r="H483" s="1658"/>
      <c r="I483" s="1658"/>
      <c r="J483" s="1658"/>
      <c r="K483" s="1658"/>
      <c r="L483" s="1658"/>
      <c r="M483" s="1658"/>
      <c r="N483" s="2556"/>
      <c r="O483" s="2557"/>
      <c r="P483" s="2557"/>
      <c r="Q483" s="1658"/>
      <c r="R483" s="1658"/>
      <c r="S483" s="1658"/>
    </row>
    <row r="484" spans="2:19">
      <c r="B484" s="1658"/>
      <c r="C484" s="1658"/>
      <c r="D484" s="1658"/>
      <c r="E484" s="1658"/>
      <c r="F484" s="1658"/>
      <c r="G484" s="1658"/>
      <c r="H484" s="1658"/>
      <c r="I484" s="1658"/>
      <c r="J484" s="1658"/>
      <c r="K484" s="1658"/>
      <c r="L484" s="1658"/>
      <c r="M484" s="1658"/>
      <c r="N484" s="2556"/>
      <c r="O484" s="2557"/>
      <c r="P484" s="2557"/>
      <c r="Q484" s="1658"/>
      <c r="R484" s="1658"/>
      <c r="S484" s="1658"/>
    </row>
    <row r="485" spans="2:19">
      <c r="B485" s="1658"/>
      <c r="C485" s="1658"/>
      <c r="D485" s="1658"/>
      <c r="E485" s="1658"/>
      <c r="F485" s="1658"/>
      <c r="G485" s="1658"/>
      <c r="H485" s="1658"/>
      <c r="I485" s="1658"/>
      <c r="J485" s="1658"/>
      <c r="K485" s="1658"/>
      <c r="L485" s="1658"/>
      <c r="M485" s="1658"/>
      <c r="N485" s="2556"/>
      <c r="O485" s="2557"/>
      <c r="P485" s="2557"/>
      <c r="Q485" s="1658"/>
      <c r="R485" s="1658"/>
      <c r="S485" s="1658"/>
    </row>
    <row r="615" spans="39:39" s="1724" customFormat="1" ht="14.25">
      <c r="AM615" s="2558"/>
    </row>
    <row r="616" spans="39:39" s="1724" customFormat="1" ht="14.25">
      <c r="AM616" s="2558"/>
    </row>
    <row r="617" spans="39:39" s="1724" customFormat="1" ht="14.25">
      <c r="AM617" s="2558"/>
    </row>
    <row r="618" spans="39:39" s="1724" customFormat="1" ht="14.25">
      <c r="AM618" s="2558"/>
    </row>
    <row r="619" spans="39:39" s="1724" customFormat="1" ht="14.25">
      <c r="AM619" s="2558"/>
    </row>
    <row r="620" spans="39:39" s="1724" customFormat="1" ht="14.25">
      <c r="AM620" s="2558"/>
    </row>
    <row r="621" spans="39:39" s="1724" customFormat="1" ht="14.25">
      <c r="AM621" s="2558"/>
    </row>
    <row r="622" spans="39:39" s="1724" customFormat="1" ht="14.25">
      <c r="AM622" s="2558"/>
    </row>
    <row r="623" spans="39:39" s="1724" customFormat="1" ht="14.25">
      <c r="AM623" s="2558"/>
    </row>
    <row r="624" spans="39:39" s="1724" customFormat="1" ht="14.25">
      <c r="AM624" s="2558"/>
    </row>
    <row r="625" spans="39:39" s="1724" customFormat="1" ht="14.25">
      <c r="AM625" s="2558"/>
    </row>
    <row r="626" spans="39:39" s="1724" customFormat="1" ht="14.25">
      <c r="AM626" s="2558"/>
    </row>
    <row r="627" spans="39:39" s="1724" customFormat="1" ht="14.25">
      <c r="AM627" s="2558"/>
    </row>
    <row r="628" spans="39:39" s="1724" customFormat="1" ht="14.25">
      <c r="AM628" s="2558"/>
    </row>
    <row r="629" spans="39:39" s="1724" customFormat="1" ht="14.25">
      <c r="AM629" s="2558"/>
    </row>
    <row r="630" spans="39:39" s="1724" customFormat="1" ht="14.25">
      <c r="AM630" s="2558"/>
    </row>
    <row r="631" spans="39:39" s="1724" customFormat="1" ht="14.25">
      <c r="AM631" s="2558"/>
    </row>
    <row r="632" spans="39:39" s="1724" customFormat="1" ht="14.25">
      <c r="AM632" s="2558"/>
    </row>
    <row r="633" spans="39:39" s="1724" customFormat="1" ht="14.25">
      <c r="AM633" s="2558"/>
    </row>
    <row r="634" spans="39:39" s="1724" customFormat="1" ht="14.25">
      <c r="AM634" s="2558"/>
    </row>
    <row r="635" spans="39:39" s="1724" customFormat="1" ht="14.25">
      <c r="AM635" s="2558"/>
    </row>
    <row r="636" spans="39:39" s="1724" customFormat="1" ht="14.25">
      <c r="AM636" s="2558"/>
    </row>
    <row r="637" spans="39:39" s="1724" customFormat="1" ht="14.25">
      <c r="AM637" s="2558"/>
    </row>
    <row r="638" spans="39:39" s="1724" customFormat="1" ht="14.25">
      <c r="AM638" s="2558"/>
    </row>
    <row r="639" spans="39:39" s="1724" customFormat="1" ht="14.25">
      <c r="AM639" s="2558"/>
    </row>
    <row r="640" spans="39:39" s="1724" customFormat="1" ht="14.25">
      <c r="AM640" s="2558"/>
    </row>
    <row r="641" spans="39:39" s="1724" customFormat="1" ht="14.25">
      <c r="AM641" s="2558"/>
    </row>
    <row r="642" spans="39:39" s="1724" customFormat="1" ht="14.25">
      <c r="AM642" s="2558"/>
    </row>
    <row r="643" spans="39:39" s="1724" customFormat="1" ht="14.25">
      <c r="AM643" s="2558"/>
    </row>
    <row r="644" spans="39:39" s="1724" customFormat="1" ht="14.25">
      <c r="AM644" s="2558"/>
    </row>
    <row r="645" spans="39:39" s="1724" customFormat="1" ht="14.25">
      <c r="AM645" s="2558"/>
    </row>
    <row r="646" spans="39:39" s="1724" customFormat="1" ht="14.25">
      <c r="AM646" s="2558"/>
    </row>
    <row r="647" spans="39:39" s="1724" customFormat="1" ht="14.25">
      <c r="AM647" s="2558"/>
    </row>
    <row r="648" spans="39:39" s="1724" customFormat="1" ht="14.25">
      <c r="AM648" s="2558"/>
    </row>
    <row r="649" spans="39:39" s="1724" customFormat="1" ht="14.25">
      <c r="AM649" s="2558"/>
    </row>
    <row r="650" spans="39:39" s="1724" customFormat="1" ht="14.25">
      <c r="AM650" s="2558"/>
    </row>
    <row r="651" spans="39:39" s="1724" customFormat="1" ht="14.25">
      <c r="AM651" s="2558"/>
    </row>
    <row r="652" spans="39:39" s="1724" customFormat="1" ht="14.25">
      <c r="AM652" s="2558"/>
    </row>
    <row r="653" spans="39:39" s="1724" customFormat="1" ht="14.25">
      <c r="AM653" s="2558"/>
    </row>
    <row r="654" spans="39:39" s="1724" customFormat="1" ht="14.25">
      <c r="AM654" s="2558"/>
    </row>
    <row r="655" spans="39:39" s="1724" customFormat="1" ht="14.25">
      <c r="AM655" s="2558"/>
    </row>
    <row r="656" spans="39:39" s="1724" customFormat="1" ht="14.25">
      <c r="AM656" s="2558"/>
    </row>
    <row r="657" spans="39:39" s="1724" customFormat="1" ht="14.25">
      <c r="AM657" s="2558"/>
    </row>
    <row r="658" spans="39:39" s="1724" customFormat="1" ht="14.25">
      <c r="AM658" s="2558"/>
    </row>
    <row r="659" spans="39:39" s="1724" customFormat="1" ht="14.25">
      <c r="AM659" s="2558"/>
    </row>
    <row r="660" spans="39:39" s="1724" customFormat="1" ht="14.25">
      <c r="AM660" s="2558"/>
    </row>
    <row r="661" spans="39:39" s="1724" customFormat="1" ht="14.25">
      <c r="AM661" s="2558"/>
    </row>
    <row r="662" spans="39:39" s="1724" customFormat="1" ht="14.25">
      <c r="AM662" s="2558"/>
    </row>
    <row r="663" spans="39:39" s="1724" customFormat="1" ht="14.25">
      <c r="AM663" s="2558"/>
    </row>
    <row r="664" spans="39:39" s="1724" customFormat="1" ht="14.25">
      <c r="AM664" s="2558"/>
    </row>
    <row r="665" spans="39:39" s="1724" customFormat="1" ht="14.25">
      <c r="AM665" s="2558"/>
    </row>
    <row r="666" spans="39:39" s="1724" customFormat="1" ht="14.25">
      <c r="AM666" s="2558"/>
    </row>
    <row r="667" spans="39:39" s="1724" customFormat="1" ht="14.25">
      <c r="AM667" s="2558"/>
    </row>
    <row r="668" spans="39:39" s="1724" customFormat="1" ht="14.25">
      <c r="AM668" s="2558"/>
    </row>
    <row r="669" spans="39:39" s="1724" customFormat="1" ht="14.25">
      <c r="AM669" s="2558"/>
    </row>
    <row r="670" spans="39:39" s="1724" customFormat="1" ht="14.25">
      <c r="AM670" s="2558"/>
    </row>
    <row r="671" spans="39:39" s="1724" customFormat="1" ht="14.25">
      <c r="AM671" s="2558"/>
    </row>
    <row r="672" spans="39:39" s="1724" customFormat="1" ht="14.25">
      <c r="AM672" s="2558"/>
    </row>
    <row r="673" spans="39:39" s="1724" customFormat="1" ht="14.25">
      <c r="AM673" s="2558"/>
    </row>
    <row r="674" spans="39:39" s="1724" customFormat="1" ht="14.25">
      <c r="AM674" s="2558"/>
    </row>
    <row r="675" spans="39:39" s="1724" customFormat="1" ht="14.25">
      <c r="AM675" s="2558"/>
    </row>
    <row r="676" spans="39:39" s="1724" customFormat="1" ht="14.25">
      <c r="AM676" s="2558"/>
    </row>
    <row r="677" spans="39:39" s="1724" customFormat="1" ht="14.25">
      <c r="AM677" s="2558"/>
    </row>
    <row r="678" spans="39:39" s="1724" customFormat="1" ht="14.25">
      <c r="AM678" s="2558"/>
    </row>
    <row r="679" spans="39:39" s="1724" customFormat="1" ht="14.25">
      <c r="AM679" s="2558"/>
    </row>
    <row r="680" spans="39:39" s="1724" customFormat="1" ht="14.25">
      <c r="AM680" s="2558"/>
    </row>
    <row r="681" spans="39:39" s="1724" customFormat="1" ht="14.25">
      <c r="AM681" s="2558"/>
    </row>
    <row r="682" spans="39:39" s="1724" customFormat="1" ht="14.25">
      <c r="AM682" s="2558"/>
    </row>
    <row r="683" spans="39:39" s="1724" customFormat="1" ht="14.25">
      <c r="AM683" s="2558"/>
    </row>
    <row r="684" spans="39:39" s="1724" customFormat="1" ht="14.25">
      <c r="AM684" s="2558"/>
    </row>
    <row r="685" spans="39:39" s="1724" customFormat="1" ht="14.25">
      <c r="AM685" s="2558"/>
    </row>
    <row r="686" spans="39:39" s="1724" customFormat="1" ht="14.25">
      <c r="AM686" s="2558"/>
    </row>
    <row r="687" spans="39:39" s="1724" customFormat="1" ht="14.25">
      <c r="AM687" s="2558"/>
    </row>
    <row r="688" spans="39:39" s="1724" customFormat="1" ht="14.25">
      <c r="AM688" s="2558"/>
    </row>
    <row r="689" spans="39:39" s="1724" customFormat="1" ht="14.25">
      <c r="AM689" s="2558"/>
    </row>
    <row r="690" spans="39:39" s="1724" customFormat="1" ht="14.25">
      <c r="AM690" s="2558"/>
    </row>
    <row r="691" spans="39:39" s="1724" customFormat="1" ht="14.25">
      <c r="AM691" s="2558"/>
    </row>
    <row r="692" spans="39:39" s="1724" customFormat="1" ht="14.25">
      <c r="AM692" s="2558"/>
    </row>
    <row r="693" spans="39:39" s="1724" customFormat="1" ht="14.25">
      <c r="AM693" s="2558"/>
    </row>
    <row r="694" spans="39:39" s="1724" customFormat="1" ht="14.25">
      <c r="AM694" s="2558"/>
    </row>
    <row r="695" spans="39:39" s="1724" customFormat="1" ht="14.25">
      <c r="AM695" s="2558"/>
    </row>
    <row r="696" spans="39:39" s="1724" customFormat="1" ht="14.25">
      <c r="AM696" s="2558"/>
    </row>
    <row r="697" spans="39:39" s="1724" customFormat="1" ht="14.25">
      <c r="AM697" s="2558"/>
    </row>
    <row r="698" spans="39:39" s="1724" customFormat="1" ht="14.25">
      <c r="AM698" s="2558"/>
    </row>
    <row r="699" spans="39:39" s="1724" customFormat="1" ht="14.25">
      <c r="AM699" s="2558"/>
    </row>
    <row r="700" spans="39:39" s="1724" customFormat="1" ht="14.25">
      <c r="AM700" s="2558"/>
    </row>
    <row r="701" spans="39:39" s="1724" customFormat="1" ht="14.25">
      <c r="AM701" s="2558"/>
    </row>
    <row r="702" spans="39:39" s="1724" customFormat="1" ht="14.25">
      <c r="AM702" s="2558"/>
    </row>
    <row r="703" spans="39:39" s="1724" customFormat="1" ht="14.25">
      <c r="AM703" s="2558"/>
    </row>
    <row r="704" spans="39:39" s="1724" customFormat="1" ht="14.25">
      <c r="AM704" s="2558"/>
    </row>
    <row r="705" spans="39:39" s="1724" customFormat="1" ht="14.25">
      <c r="AM705" s="2558"/>
    </row>
    <row r="706" spans="39:39" s="1724" customFormat="1" ht="14.25">
      <c r="AM706" s="2558"/>
    </row>
    <row r="707" spans="39:39" s="1724" customFormat="1" ht="14.25">
      <c r="AM707" s="2558"/>
    </row>
    <row r="708" spans="39:39" s="1724" customFormat="1" ht="14.25">
      <c r="AM708" s="2558"/>
    </row>
    <row r="709" spans="39:39" s="1724" customFormat="1" ht="14.25">
      <c r="AM709" s="2558"/>
    </row>
    <row r="710" spans="39:39" s="1724" customFormat="1" ht="14.25">
      <c r="AM710" s="2558"/>
    </row>
    <row r="711" spans="39:39" s="1724" customFormat="1" ht="14.25">
      <c r="AM711" s="2558"/>
    </row>
    <row r="712" spans="39:39" s="1724" customFormat="1" ht="14.25">
      <c r="AM712" s="2558"/>
    </row>
    <row r="713" spans="39:39" s="1724" customFormat="1" ht="14.25">
      <c r="AM713" s="2558"/>
    </row>
    <row r="714" spans="39:39" s="1724" customFormat="1" ht="14.25">
      <c r="AM714" s="2558"/>
    </row>
    <row r="715" spans="39:39" s="1724" customFormat="1" ht="14.25">
      <c r="AM715" s="2558"/>
    </row>
    <row r="716" spans="39:39" s="1724" customFormat="1" ht="14.25">
      <c r="AM716" s="2558"/>
    </row>
    <row r="717" spans="39:39" s="1724" customFormat="1" ht="14.25">
      <c r="AM717" s="2558"/>
    </row>
    <row r="718" spans="39:39" s="1724" customFormat="1" ht="14.25">
      <c r="AM718" s="2558"/>
    </row>
    <row r="719" spans="39:39" s="1724" customFormat="1" ht="14.25">
      <c r="AM719" s="2558"/>
    </row>
    <row r="720" spans="39:39" s="1724" customFormat="1" ht="14.25">
      <c r="AM720" s="2558"/>
    </row>
    <row r="721" spans="39:39" s="1724" customFormat="1" ht="14.25">
      <c r="AM721" s="2558"/>
    </row>
    <row r="722" spans="39:39" s="1724" customFormat="1" ht="14.25">
      <c r="AM722" s="2558"/>
    </row>
    <row r="723" spans="39:39" s="1724" customFormat="1" ht="14.25">
      <c r="AM723" s="2558"/>
    </row>
    <row r="724" spans="39:39" s="1724" customFormat="1" ht="14.25">
      <c r="AM724" s="2558"/>
    </row>
    <row r="725" spans="39:39" s="1724" customFormat="1" ht="14.25">
      <c r="AM725" s="2558"/>
    </row>
    <row r="726" spans="39:39" s="1724" customFormat="1" ht="14.25">
      <c r="AM726" s="2558"/>
    </row>
    <row r="727" spans="39:39" s="1724" customFormat="1" ht="14.25">
      <c r="AM727" s="2558"/>
    </row>
    <row r="728" spans="39:39" s="1724" customFormat="1" ht="14.25">
      <c r="AM728" s="2558"/>
    </row>
    <row r="729" spans="39:39" s="1724" customFormat="1" ht="14.25">
      <c r="AM729" s="2558"/>
    </row>
    <row r="730" spans="39:39" s="1724" customFormat="1" ht="14.25">
      <c r="AM730" s="2558"/>
    </row>
    <row r="731" spans="39:39" s="1724" customFormat="1" ht="14.25">
      <c r="AM731" s="2558"/>
    </row>
    <row r="732" spans="39:39" s="1724" customFormat="1" ht="14.25">
      <c r="AM732" s="2558"/>
    </row>
    <row r="733" spans="39:39" s="1724" customFormat="1" ht="14.25">
      <c r="AM733" s="2558"/>
    </row>
    <row r="734" spans="39:39" s="1724" customFormat="1" ht="14.25">
      <c r="AM734" s="2558"/>
    </row>
    <row r="735" spans="39:39" s="1724" customFormat="1" ht="14.25">
      <c r="AM735" s="2558"/>
    </row>
    <row r="736" spans="39:39" s="1724" customFormat="1" ht="14.25">
      <c r="AM736" s="2558"/>
    </row>
    <row r="737" spans="39:39" s="1724" customFormat="1" ht="14.25">
      <c r="AM737" s="2558"/>
    </row>
    <row r="738" spans="39:39" s="1724" customFormat="1" ht="14.25">
      <c r="AM738" s="2558"/>
    </row>
    <row r="739" spans="39:39" s="1724" customFormat="1" ht="14.25">
      <c r="AM739" s="2558"/>
    </row>
    <row r="740" spans="39:39" s="1724" customFormat="1" ht="14.25">
      <c r="AM740" s="2558"/>
    </row>
    <row r="741" spans="39:39" s="1724" customFormat="1" ht="14.25">
      <c r="AM741" s="2558"/>
    </row>
    <row r="742" spans="39:39" s="1724" customFormat="1" ht="14.25">
      <c r="AM742" s="2558"/>
    </row>
    <row r="743" spans="39:39" s="1724" customFormat="1" ht="14.25">
      <c r="AM743" s="2558"/>
    </row>
    <row r="744" spans="39:39" s="1724" customFormat="1" ht="14.25">
      <c r="AM744" s="2558"/>
    </row>
    <row r="745" spans="39:39" s="1724" customFormat="1" ht="14.25">
      <c r="AM745" s="2558"/>
    </row>
    <row r="746" spans="39:39" s="1724" customFormat="1" ht="14.25">
      <c r="AM746" s="2558"/>
    </row>
    <row r="747" spans="39:39" s="1724" customFormat="1" ht="14.25">
      <c r="AM747" s="2558"/>
    </row>
    <row r="748" spans="39:39" s="1724" customFormat="1" ht="14.25">
      <c r="AM748" s="2558"/>
    </row>
    <row r="749" spans="39:39" s="1724" customFormat="1" ht="14.25">
      <c r="AM749" s="2558"/>
    </row>
    <row r="750" spans="39:39" s="1724" customFormat="1" ht="14.25">
      <c r="AM750" s="2558"/>
    </row>
    <row r="751" spans="39:39" s="1724" customFormat="1" ht="14.25">
      <c r="AM751" s="2558"/>
    </row>
    <row r="752" spans="39:39" s="1724" customFormat="1" ht="14.25">
      <c r="AM752" s="2558"/>
    </row>
    <row r="753" spans="39:39" s="1724" customFormat="1" ht="14.25">
      <c r="AM753" s="2558"/>
    </row>
    <row r="754" spans="39:39" s="1724" customFormat="1" ht="14.25">
      <c r="AM754" s="2558"/>
    </row>
    <row r="755" spans="39:39" s="1724" customFormat="1" ht="14.25">
      <c r="AM755" s="2558"/>
    </row>
    <row r="756" spans="39:39" s="1724" customFormat="1" ht="14.25">
      <c r="AM756" s="2558"/>
    </row>
    <row r="757" spans="39:39" s="1724" customFormat="1" ht="14.25">
      <c r="AM757" s="2558"/>
    </row>
    <row r="758" spans="39:39" s="1724" customFormat="1" ht="14.25">
      <c r="AM758" s="2558"/>
    </row>
    <row r="759" spans="39:39" s="1724" customFormat="1" ht="14.25">
      <c r="AM759" s="2558"/>
    </row>
    <row r="760" spans="39:39" s="1724" customFormat="1" ht="14.25">
      <c r="AM760" s="2558"/>
    </row>
    <row r="761" spans="39:39" s="1724" customFormat="1" ht="14.25">
      <c r="AM761" s="2558"/>
    </row>
    <row r="762" spans="39:39" s="1724" customFormat="1" ht="14.25">
      <c r="AM762" s="2558"/>
    </row>
    <row r="763" spans="39:39" s="1724" customFormat="1" ht="14.25">
      <c r="AM763" s="2558"/>
    </row>
    <row r="764" spans="39:39" s="1724" customFormat="1" ht="14.25">
      <c r="AM764" s="2558"/>
    </row>
    <row r="765" spans="39:39" s="1724" customFormat="1" ht="14.25">
      <c r="AM765" s="2558"/>
    </row>
    <row r="766" spans="39:39" s="1724" customFormat="1" ht="14.25">
      <c r="AM766" s="2558"/>
    </row>
    <row r="767" spans="39:39" s="1724" customFormat="1" ht="14.25">
      <c r="AM767" s="2558"/>
    </row>
    <row r="768" spans="39:39" s="1724" customFormat="1" ht="14.25">
      <c r="AM768" s="2558"/>
    </row>
    <row r="769" spans="39:39" s="1724" customFormat="1" ht="14.25">
      <c r="AM769" s="2558"/>
    </row>
    <row r="770" spans="39:39" s="1724" customFormat="1" ht="14.25">
      <c r="AM770" s="2558"/>
    </row>
    <row r="771" spans="39:39" s="1724" customFormat="1" ht="14.25">
      <c r="AM771" s="2558"/>
    </row>
    <row r="772" spans="39:39" s="1724" customFormat="1" ht="14.25">
      <c r="AM772" s="2558"/>
    </row>
    <row r="773" spans="39:39" s="1724" customFormat="1" ht="14.25">
      <c r="AM773" s="2558"/>
    </row>
    <row r="774" spans="39:39" s="1724" customFormat="1" ht="14.25">
      <c r="AM774" s="2558"/>
    </row>
    <row r="775" spans="39:39" s="1724" customFormat="1" ht="14.25">
      <c r="AM775" s="2558"/>
    </row>
    <row r="776" spans="39:39" s="1724" customFormat="1" ht="14.25">
      <c r="AM776" s="2558"/>
    </row>
    <row r="777" spans="39:39" s="1724" customFormat="1" ht="14.25">
      <c r="AM777" s="2558"/>
    </row>
    <row r="778" spans="39:39" s="1724" customFormat="1" ht="14.25">
      <c r="AM778" s="2558"/>
    </row>
    <row r="779" spans="39:39" s="1724" customFormat="1" ht="14.25">
      <c r="AM779" s="2558"/>
    </row>
    <row r="780" spans="39:39" s="1724" customFormat="1" ht="14.25">
      <c r="AM780" s="2558"/>
    </row>
    <row r="781" spans="39:39" s="1724" customFormat="1" ht="14.25">
      <c r="AM781" s="2558"/>
    </row>
    <row r="782" spans="39:39" s="1724" customFormat="1" ht="14.25">
      <c r="AM782" s="2558"/>
    </row>
    <row r="783" spans="39:39" s="1724" customFormat="1" ht="14.25">
      <c r="AM783" s="2558"/>
    </row>
    <row r="784" spans="39:39" s="1724" customFormat="1" ht="14.25">
      <c r="AM784" s="2558"/>
    </row>
    <row r="785" spans="39:39" s="1724" customFormat="1" ht="14.25">
      <c r="AM785" s="2558"/>
    </row>
    <row r="786" spans="39:39" s="1724" customFormat="1" ht="14.25">
      <c r="AM786" s="2558"/>
    </row>
    <row r="787" spans="39:39" s="1724" customFormat="1" ht="14.25">
      <c r="AM787" s="2558"/>
    </row>
    <row r="788" spans="39:39" s="1724" customFormat="1" ht="14.25">
      <c r="AM788" s="2558"/>
    </row>
    <row r="789" spans="39:39" s="1724" customFormat="1" ht="14.25">
      <c r="AM789" s="2558"/>
    </row>
    <row r="790" spans="39:39" s="1724" customFormat="1" ht="14.25">
      <c r="AM790" s="2558"/>
    </row>
    <row r="791" spans="39:39" s="1724" customFormat="1" ht="14.25">
      <c r="AM791" s="2558"/>
    </row>
    <row r="792" spans="39:39" s="1724" customFormat="1" ht="14.25">
      <c r="AM792" s="2558"/>
    </row>
    <row r="793" spans="39:39" s="1724" customFormat="1" ht="14.25">
      <c r="AM793" s="2558"/>
    </row>
    <row r="794" spans="39:39" s="1724" customFormat="1" ht="14.25">
      <c r="AM794" s="2558"/>
    </row>
    <row r="795" spans="39:39" s="1724" customFormat="1" ht="14.25">
      <c r="AM795" s="2558"/>
    </row>
    <row r="796" spans="39:39" s="1724" customFormat="1" ht="14.25">
      <c r="AM796" s="2558"/>
    </row>
    <row r="797" spans="39:39" s="1724" customFormat="1" ht="14.25">
      <c r="AM797" s="2558"/>
    </row>
    <row r="798" spans="39:39" s="1724" customFormat="1" ht="14.25">
      <c r="AM798" s="2558"/>
    </row>
    <row r="799" spans="39:39" s="1724" customFormat="1" ht="14.25">
      <c r="AM799" s="2558"/>
    </row>
    <row r="800" spans="39:39" s="1724" customFormat="1" ht="14.25">
      <c r="AM800" s="2558"/>
    </row>
    <row r="801" spans="39:39" s="1724" customFormat="1" ht="14.25">
      <c r="AM801" s="2558"/>
    </row>
    <row r="802" spans="39:39" s="1724" customFormat="1" ht="14.25">
      <c r="AM802" s="2558"/>
    </row>
    <row r="803" spans="39:39" s="1724" customFormat="1" ht="14.25">
      <c r="AM803" s="2558"/>
    </row>
  </sheetData>
  <sheetProtection algorithmName="SHA-512" hashValue="VnBHOFEF4IXCJ3VOaXbEoHcV9p4MtOB77LjWA5kNJUztIAYVQ2XjFXdUDSMyuluKcasR13Ti77pIx5BSBetcMA==" saltValue="Pf1uE/bkOycQ94haeACCZg==" spinCount="100000" sheet="1" objects="1" scenarios="1" formatRows="0"/>
  <mergeCells count="305">
    <mergeCell ref="BB421:BC421"/>
    <mergeCell ref="AK422:AN422"/>
    <mergeCell ref="AK428:AN429"/>
    <mergeCell ref="G431:I431"/>
    <mergeCell ref="AG421:AH421"/>
    <mergeCell ref="AI421:AJ421"/>
    <mergeCell ref="AK421:AN421"/>
    <mergeCell ref="AV421:AW421"/>
    <mergeCell ref="AX421:AY421"/>
    <mergeCell ref="AZ421:BA421"/>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396:C396"/>
    <mergeCell ref="D396:F396"/>
    <mergeCell ref="G396:I396"/>
    <mergeCell ref="J396:K396"/>
    <mergeCell ref="M396:P396"/>
    <mergeCell ref="B397:C397"/>
    <mergeCell ref="D397:F397"/>
    <mergeCell ref="G397:I397"/>
    <mergeCell ref="J397:K397"/>
    <mergeCell ref="M397:P397"/>
    <mergeCell ref="B394:C394"/>
    <mergeCell ref="D394:F394"/>
    <mergeCell ref="G394:I394"/>
    <mergeCell ref="J394:K394"/>
    <mergeCell ref="M394:P394"/>
    <mergeCell ref="B395:C395"/>
    <mergeCell ref="D395:F395"/>
    <mergeCell ref="G395:I395"/>
    <mergeCell ref="J395:K395"/>
    <mergeCell ref="M395:P395"/>
    <mergeCell ref="B392:C392"/>
    <mergeCell ref="D392:F392"/>
    <mergeCell ref="G392:I392"/>
    <mergeCell ref="J392:K392"/>
    <mergeCell ref="M392:P392"/>
    <mergeCell ref="B393:C393"/>
    <mergeCell ref="D393:F393"/>
    <mergeCell ref="G393:I393"/>
    <mergeCell ref="J393:K393"/>
    <mergeCell ref="M393:P393"/>
    <mergeCell ref="B390:C390"/>
    <mergeCell ref="D390:F390"/>
    <mergeCell ref="G390:I390"/>
    <mergeCell ref="J390:K390"/>
    <mergeCell ref="M390:P390"/>
    <mergeCell ref="B391:C391"/>
    <mergeCell ref="D391:F391"/>
    <mergeCell ref="G391:I391"/>
    <mergeCell ref="J391:K391"/>
    <mergeCell ref="M391:P391"/>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C321:E321"/>
    <mergeCell ref="F321:H321"/>
    <mergeCell ref="I321:J321"/>
    <mergeCell ref="L321:M321"/>
    <mergeCell ref="O321:P321"/>
    <mergeCell ref="C322:E322"/>
    <mergeCell ref="F322:H322"/>
    <mergeCell ref="I322:J322"/>
    <mergeCell ref="L322:M322"/>
    <mergeCell ref="O322:P322"/>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B196:E196"/>
    <mergeCell ref="F196:G196"/>
    <mergeCell ref="H196:I196"/>
    <mergeCell ref="J196:K196"/>
    <mergeCell ref="L196:O196"/>
    <mergeCell ref="B197:E197"/>
    <mergeCell ref="F197:G197"/>
    <mergeCell ref="H197:I197"/>
    <mergeCell ref="J197:K197"/>
    <mergeCell ref="L197:O197"/>
    <mergeCell ref="B194:E194"/>
    <mergeCell ref="F194:G194"/>
    <mergeCell ref="H194:I194"/>
    <mergeCell ref="J194:K194"/>
    <mergeCell ref="L194:O194"/>
    <mergeCell ref="B195:E195"/>
    <mergeCell ref="F195:G195"/>
    <mergeCell ref="H195:I195"/>
    <mergeCell ref="J195:K195"/>
    <mergeCell ref="L195:O195"/>
    <mergeCell ref="A185:P185"/>
    <mergeCell ref="A187:P187"/>
    <mergeCell ref="F191:G193"/>
    <mergeCell ref="H191:I193"/>
    <mergeCell ref="J191:K193"/>
    <mergeCell ref="L191:O193"/>
    <mergeCell ref="B175:E175"/>
    <mergeCell ref="G175:I175"/>
    <mergeCell ref="J175:P175"/>
    <mergeCell ref="C178:K178"/>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J75:K75"/>
    <mergeCell ref="M75:P75"/>
    <mergeCell ref="U75:V75"/>
    <mergeCell ref="W75:X75"/>
    <mergeCell ref="Y75:Z75"/>
    <mergeCell ref="J76:K76"/>
    <mergeCell ref="M76:P76"/>
    <mergeCell ref="U76:V76"/>
    <mergeCell ref="W76:X76"/>
    <mergeCell ref="Y76:Z76"/>
    <mergeCell ref="J71:K71"/>
    <mergeCell ref="M71:P71"/>
    <mergeCell ref="U71:Z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59:K59"/>
    <mergeCell ref="M59:P59"/>
    <mergeCell ref="J60:K60"/>
    <mergeCell ref="M60:P60"/>
    <mergeCell ref="J61:K61"/>
    <mergeCell ref="M61:P61"/>
    <mergeCell ref="C42:L42"/>
    <mergeCell ref="B48:M48"/>
    <mergeCell ref="A50:P50"/>
    <mergeCell ref="A52:P52"/>
    <mergeCell ref="B57:L57"/>
    <mergeCell ref="J58:K58"/>
    <mergeCell ref="M58:P58"/>
    <mergeCell ref="B28:L28"/>
    <mergeCell ref="J31:M31"/>
    <mergeCell ref="C32:L32"/>
    <mergeCell ref="A34:P34"/>
    <mergeCell ref="O38:O41"/>
    <mergeCell ref="P38:P41"/>
    <mergeCell ref="G39:J39"/>
    <mergeCell ref="G40:H40"/>
    <mergeCell ref="G41:H41"/>
    <mergeCell ref="C15:L15"/>
    <mergeCell ref="C16:G16"/>
    <mergeCell ref="H16:L16"/>
    <mergeCell ref="C18:M18"/>
    <mergeCell ref="B26:L26"/>
    <mergeCell ref="C12:C13"/>
    <mergeCell ref="D12:D13"/>
    <mergeCell ref="F12:G13"/>
    <mergeCell ref="H12:I13"/>
    <mergeCell ref="J12:K13"/>
    <mergeCell ref="L12:M13"/>
    <mergeCell ref="A1:P1"/>
    <mergeCell ref="A3:L4"/>
    <mergeCell ref="B6:F6"/>
    <mergeCell ref="A10:D10"/>
    <mergeCell ref="E10:E13"/>
    <mergeCell ref="F10:I11"/>
    <mergeCell ref="J10:M11"/>
    <mergeCell ref="O10:P11"/>
    <mergeCell ref="A11:B11"/>
    <mergeCell ref="A12:B13"/>
    <mergeCell ref="O12:P13"/>
  </mergeCells>
  <conditionalFormatting sqref="J143">
    <cfRule type="containsText" dxfId="224" priority="72" operator="containsText" text="&lt;&lt; Select Election or Income Averaging &gt;&gt;">
      <formula>NOT(ISERROR(SEARCH("&lt;&lt; Select Election or Income Averaging &gt;&gt;",J143)))</formula>
    </cfRule>
  </conditionalFormatting>
  <conditionalFormatting sqref="L22:L23 L388:L398">
    <cfRule type="cellIs" dxfId="223" priority="79" stopIfTrue="1" operator="equal">
      <formula>"* * Check Score! * *"</formula>
    </cfRule>
  </conditionalFormatting>
  <conditionalFormatting sqref="L25">
    <cfRule type="cellIs" dxfId="222" priority="80" stopIfTrue="1" operator="equal">
      <formula>"* * Check Score! * *"</formula>
    </cfRule>
  </conditionalFormatting>
  <conditionalFormatting sqref="L27">
    <cfRule type="cellIs" dxfId="221" priority="76" stopIfTrue="1" operator="equal">
      <formula>"* * Check Score! * *"</formula>
    </cfRule>
  </conditionalFormatting>
  <conditionalFormatting sqref="L56">
    <cfRule type="cellIs" dxfId="220" priority="78" stopIfTrue="1" operator="equal">
      <formula>"* * Check Score! * *"</formula>
    </cfRule>
  </conditionalFormatting>
  <conditionalFormatting sqref="L80">
    <cfRule type="cellIs" dxfId="219" priority="77" stopIfTrue="1" operator="equal">
      <formula>"* * Check Score! * *"</formula>
    </cfRule>
  </conditionalFormatting>
  <conditionalFormatting sqref="N359:N360">
    <cfRule type="cellIs" dxfId="218" priority="82" stopIfTrue="1" operator="equal">
      <formula>"* * Check Score! * *"</formula>
    </cfRule>
  </conditionalFormatting>
  <conditionalFormatting sqref="O144:O145">
    <cfRule type="cellIs" dxfId="217" priority="73" operator="notEqual">
      <formula>$M144</formula>
    </cfRule>
  </conditionalFormatting>
  <conditionalFormatting sqref="O147">
    <cfRule type="cellIs" dxfId="216" priority="69" operator="notEqual">
      <formula>$M147</formula>
    </cfRule>
  </conditionalFormatting>
  <conditionalFormatting sqref="O161:O162">
    <cfRule type="cellIs" priority="81" operator="notEqual">
      <formula>$M161</formula>
    </cfRule>
  </conditionalFormatting>
  <conditionalFormatting sqref="O178">
    <cfRule type="cellIs" dxfId="215" priority="75" operator="notEqual">
      <formula>$M178</formula>
    </cfRule>
  </conditionalFormatting>
  <conditionalFormatting sqref="O181">
    <cfRule type="cellIs" dxfId="214" priority="83" operator="notEqual">
      <formula>$M181</formula>
    </cfRule>
  </conditionalFormatting>
  <conditionalFormatting sqref="O182:O183 O213:O214 O217:O219">
    <cfRule type="cellIs" dxfId="213" priority="74" operator="notEqual">
      <formula>$M182</formula>
    </cfRule>
  </conditionalFormatting>
  <conditionalFormatting sqref="O141:P141">
    <cfRule type="containsText" dxfId="212" priority="71" operator="containsText" text="AorB?">
      <formula>NOT(ISERROR(SEARCH("AorB?",O141)))</formula>
    </cfRule>
  </conditionalFormatting>
  <conditionalFormatting sqref="P213:P214 P217:P219">
    <cfRule type="cellIs" dxfId="211" priority="70" operator="notEqual">
      <formula>$M213</formula>
    </cfRule>
  </conditionalFormatting>
  <conditionalFormatting sqref="L79">
    <cfRule type="cellIs" dxfId="210" priority="68" stopIfTrue="1" operator="equal">
      <formula>"* * Check Score! * *"</formula>
    </cfRule>
  </conditionalFormatting>
  <conditionalFormatting sqref="L78">
    <cfRule type="cellIs" dxfId="209" priority="67" stopIfTrue="1" operator="equal">
      <formula>"* * Check Score! * *"</formula>
    </cfRule>
  </conditionalFormatting>
  <conditionalFormatting sqref="L121">
    <cfRule type="cellIs" dxfId="208" priority="66" stopIfTrue="1" operator="equal">
      <formula>"* * Check Score! * *"</formula>
    </cfRule>
  </conditionalFormatting>
  <conditionalFormatting sqref="L132 L124:L125 L128:L130">
    <cfRule type="cellIs" dxfId="207" priority="65" stopIfTrue="1" operator="equal">
      <formula>"* * Check Score! * *"</formula>
    </cfRule>
  </conditionalFormatting>
  <conditionalFormatting sqref="L131">
    <cfRule type="cellIs" dxfId="206" priority="64" stopIfTrue="1" operator="equal">
      <formula>"* * Check Score! * *"</formula>
    </cfRule>
  </conditionalFormatting>
  <conditionalFormatting sqref="L126">
    <cfRule type="cellIs" dxfId="205" priority="63" stopIfTrue="1" operator="equal">
      <formula>"* * Check Score! * *"</formula>
    </cfRule>
  </conditionalFormatting>
  <conditionalFormatting sqref="O220:O221">
    <cfRule type="cellIs" dxfId="204" priority="62" operator="notEqual">
      <formula>$M220</formula>
    </cfRule>
  </conditionalFormatting>
  <conditionalFormatting sqref="P220:P221">
    <cfRule type="cellIs" dxfId="203" priority="61" operator="notEqual">
      <formula>$M220</formula>
    </cfRule>
  </conditionalFormatting>
  <conditionalFormatting sqref="L144">
    <cfRule type="cellIs" dxfId="202" priority="60" stopIfTrue="1" operator="equal">
      <formula>"* * Check Score! * *"</formula>
    </cfRule>
  </conditionalFormatting>
  <conditionalFormatting sqref="L145">
    <cfRule type="cellIs" dxfId="201" priority="59" stopIfTrue="1" operator="equal">
      <formula>"* * Check Score! * *"</formula>
    </cfRule>
  </conditionalFormatting>
  <conditionalFormatting sqref="L161">
    <cfRule type="cellIs" dxfId="200" priority="58" stopIfTrue="1" operator="equal">
      <formula>"* * Check Score! * *"</formula>
    </cfRule>
  </conditionalFormatting>
  <conditionalFormatting sqref="L178">
    <cfRule type="cellIs" dxfId="199" priority="57" stopIfTrue="1" operator="equal">
      <formula>"* * Check Score! * *"</formula>
    </cfRule>
  </conditionalFormatting>
  <conditionalFormatting sqref="L181">
    <cfRule type="cellIs" dxfId="198" priority="55" stopIfTrue="1" operator="equal">
      <formula>"* * Check Score! * *"</formula>
    </cfRule>
  </conditionalFormatting>
  <conditionalFormatting sqref="L182">
    <cfRule type="cellIs" dxfId="197" priority="54" stopIfTrue="1" operator="equal">
      <formula>"* * Check Score! * *"</formula>
    </cfRule>
  </conditionalFormatting>
  <conditionalFormatting sqref="L183">
    <cfRule type="cellIs" dxfId="196" priority="53" stopIfTrue="1" operator="equal">
      <formula>"* * Check Score! * *"</formula>
    </cfRule>
  </conditionalFormatting>
  <conditionalFormatting sqref="L213">
    <cfRule type="cellIs" dxfId="195" priority="52" stopIfTrue="1" operator="equal">
      <formula>"* * Check Score! * *"</formula>
    </cfRule>
  </conditionalFormatting>
  <conditionalFormatting sqref="L214">
    <cfRule type="cellIs" dxfId="194" priority="51" stopIfTrue="1" operator="equal">
      <formula>"* * Check Score! * *"</formula>
    </cfRule>
  </conditionalFormatting>
  <conditionalFormatting sqref="L220">
    <cfRule type="cellIs" dxfId="193" priority="50" stopIfTrue="1" operator="equal">
      <formula>"* * Check Score! * *"</formula>
    </cfRule>
  </conditionalFormatting>
  <conditionalFormatting sqref="L221">
    <cfRule type="cellIs" dxfId="192" priority="49" stopIfTrue="1" operator="equal">
      <formula>"* * Check Score! * *"</formula>
    </cfRule>
  </conditionalFormatting>
  <conditionalFormatting sqref="O225:O228">
    <cfRule type="cellIs" dxfId="191" priority="48" operator="notEqual">
      <formula>$M225</formula>
    </cfRule>
  </conditionalFormatting>
  <conditionalFormatting sqref="P225:P228">
    <cfRule type="cellIs" dxfId="190" priority="47" operator="notEqual">
      <formula>$M225</formula>
    </cfRule>
  </conditionalFormatting>
  <conditionalFormatting sqref="L225">
    <cfRule type="cellIs" dxfId="189" priority="46" stopIfTrue="1" operator="equal">
      <formula>"* * Check Score! * *"</formula>
    </cfRule>
  </conditionalFormatting>
  <conditionalFormatting sqref="L226">
    <cfRule type="cellIs" dxfId="188" priority="45" stopIfTrue="1" operator="equal">
      <formula>"* * Check Score! * *"</formula>
    </cfRule>
  </conditionalFormatting>
  <conditionalFormatting sqref="L227">
    <cfRule type="cellIs" dxfId="187" priority="44" stopIfTrue="1" operator="equal">
      <formula>"* * Check Score! * *"</formula>
    </cfRule>
  </conditionalFormatting>
  <conditionalFormatting sqref="L238">
    <cfRule type="cellIs" dxfId="186" priority="43" stopIfTrue="1" operator="equal">
      <formula>"* * Check Score! * *"</formula>
    </cfRule>
  </conditionalFormatting>
  <conditionalFormatting sqref="O317:P317">
    <cfRule type="cellIs" dxfId="185" priority="42" operator="greaterThan">
      <formula>M317</formula>
    </cfRule>
  </conditionalFormatting>
  <conditionalFormatting sqref="O288">
    <cfRule type="cellIs" dxfId="184" priority="41" operator="notEqual">
      <formula>$M288</formula>
    </cfRule>
  </conditionalFormatting>
  <conditionalFormatting sqref="P288">
    <cfRule type="cellIs" dxfId="183" priority="40" operator="notEqual">
      <formula>$M288</formula>
    </cfRule>
  </conditionalFormatting>
  <conditionalFormatting sqref="O289">
    <cfRule type="cellIs" dxfId="182" priority="39" operator="notEqual">
      <formula>$M289</formula>
    </cfRule>
  </conditionalFormatting>
  <conditionalFormatting sqref="P289:P290">
    <cfRule type="cellIs" dxfId="181" priority="38" operator="notEqual">
      <formula>$M289</formula>
    </cfRule>
  </conditionalFormatting>
  <conditionalFormatting sqref="O291">
    <cfRule type="cellIs" dxfId="180" priority="37" operator="notEqual">
      <formula>$M291</formula>
    </cfRule>
  </conditionalFormatting>
  <conditionalFormatting sqref="P291">
    <cfRule type="cellIs" dxfId="179" priority="36" operator="notEqual">
      <formula>$M291</formula>
    </cfRule>
  </conditionalFormatting>
  <conditionalFormatting sqref="O292">
    <cfRule type="cellIs" dxfId="178" priority="35" operator="notEqual">
      <formula>$M292</formula>
    </cfRule>
  </conditionalFormatting>
  <conditionalFormatting sqref="P292:P293">
    <cfRule type="cellIs" dxfId="177" priority="34" operator="notEqual">
      <formula>$M292</formula>
    </cfRule>
  </conditionalFormatting>
  <conditionalFormatting sqref="O294">
    <cfRule type="cellIs" dxfId="176" priority="33" operator="notEqual">
      <formula>$M294</formula>
    </cfRule>
  </conditionalFormatting>
  <conditionalFormatting sqref="P294">
    <cfRule type="cellIs" dxfId="175" priority="32" operator="notEqual">
      <formula>$M294</formula>
    </cfRule>
  </conditionalFormatting>
  <conditionalFormatting sqref="O309">
    <cfRule type="cellIs" dxfId="174" priority="31" operator="notEqual">
      <formula>$M309</formula>
    </cfRule>
  </conditionalFormatting>
  <conditionalFormatting sqref="P309">
    <cfRule type="cellIs" dxfId="173" priority="30" operator="notEqual">
      <formula>$M309</formula>
    </cfRule>
  </conditionalFormatting>
  <conditionalFormatting sqref="L309">
    <cfRule type="cellIs" dxfId="172" priority="29" stopIfTrue="1" operator="equal">
      <formula>"* * Check Score! * *"</formula>
    </cfRule>
  </conditionalFormatting>
  <conditionalFormatting sqref="L310">
    <cfRule type="cellIs" dxfId="171" priority="28" stopIfTrue="1" operator="equal">
      <formula>"* * Check Score! * *"</formula>
    </cfRule>
  </conditionalFormatting>
  <conditionalFormatting sqref="J317">
    <cfRule type="cellIs" dxfId="170" priority="27" stopIfTrue="1" operator="equal">
      <formula>"* * Check Score! * *"</formula>
    </cfRule>
  </conditionalFormatting>
  <conditionalFormatting sqref="L332">
    <cfRule type="cellIs" dxfId="169" priority="26" stopIfTrue="1" operator="equal">
      <formula>"* * Check Score! * *"</formula>
    </cfRule>
  </conditionalFormatting>
  <conditionalFormatting sqref="L333">
    <cfRule type="cellIs" dxfId="168" priority="25" stopIfTrue="1" operator="equal">
      <formula>"* * Check Score! * *"</formula>
    </cfRule>
  </conditionalFormatting>
  <conditionalFormatting sqref="L341">
    <cfRule type="cellIs" dxfId="167" priority="24" stopIfTrue="1" operator="equal">
      <formula>"* * Check Score! * *"</formula>
    </cfRule>
  </conditionalFormatting>
  <conditionalFormatting sqref="L343">
    <cfRule type="cellIs" dxfId="166" priority="23" stopIfTrue="1" operator="equal">
      <formula>"* * Check Score! * *"</formula>
    </cfRule>
  </conditionalFormatting>
  <conditionalFormatting sqref="O332">
    <cfRule type="cellIs" dxfId="165" priority="22" operator="notEqual">
      <formula>$M332</formula>
    </cfRule>
  </conditionalFormatting>
  <conditionalFormatting sqref="P332">
    <cfRule type="cellIs" dxfId="164" priority="21" operator="notEqual">
      <formula>$M332</formula>
    </cfRule>
  </conditionalFormatting>
  <conditionalFormatting sqref="O333">
    <cfRule type="cellIs" dxfId="163" priority="20" operator="notEqual">
      <formula>$M333</formula>
    </cfRule>
  </conditionalFormatting>
  <conditionalFormatting sqref="P333">
    <cfRule type="cellIs" dxfId="162" priority="19" operator="notEqual">
      <formula>$M333</formula>
    </cfRule>
  </conditionalFormatting>
  <conditionalFormatting sqref="O341">
    <cfRule type="cellIs" dxfId="161" priority="18" operator="notEqual">
      <formula>$M341</formula>
    </cfRule>
  </conditionalFormatting>
  <conditionalFormatting sqref="P341">
    <cfRule type="cellIs" dxfId="160" priority="17" operator="notEqual">
      <formula>$M341</formula>
    </cfRule>
  </conditionalFormatting>
  <conditionalFormatting sqref="O343">
    <cfRule type="cellIs" dxfId="159" priority="16" operator="notEqual">
      <formula>$M343</formula>
    </cfRule>
  </conditionalFormatting>
  <conditionalFormatting sqref="P343">
    <cfRule type="cellIs" dxfId="158" priority="15" operator="notEqual">
      <formula>$M343</formula>
    </cfRule>
  </conditionalFormatting>
  <conditionalFormatting sqref="O351">
    <cfRule type="cellIs" dxfId="157" priority="14" operator="notEqual">
      <formula>$M351</formula>
    </cfRule>
  </conditionalFormatting>
  <conditionalFormatting sqref="P351">
    <cfRule type="cellIs" dxfId="156" priority="13" operator="notEqual">
      <formula>$M351</formula>
    </cfRule>
  </conditionalFormatting>
  <conditionalFormatting sqref="O352">
    <cfRule type="cellIs" dxfId="155" priority="12" operator="notEqual">
      <formula>$M352</formula>
    </cfRule>
  </conditionalFormatting>
  <conditionalFormatting sqref="P352">
    <cfRule type="cellIs" dxfId="154" priority="11" operator="notEqual">
      <formula>$M352</formula>
    </cfRule>
  </conditionalFormatting>
  <conditionalFormatting sqref="O359:P359">
    <cfRule type="cellIs" dxfId="153" priority="10" operator="greaterThan">
      <formula>M359</formula>
    </cfRule>
  </conditionalFormatting>
  <conditionalFormatting sqref="L351">
    <cfRule type="cellIs" dxfId="152" priority="9" stopIfTrue="1" operator="equal">
      <formula>"* * Check Score! * *"</formula>
    </cfRule>
  </conditionalFormatting>
  <conditionalFormatting sqref="L352">
    <cfRule type="cellIs" dxfId="151" priority="8" stopIfTrue="1" operator="equal">
      <formula>"* * Check Score! * *"</formula>
    </cfRule>
  </conditionalFormatting>
  <conditionalFormatting sqref="L177">
    <cfRule type="cellIs" dxfId="150" priority="7" stopIfTrue="1" operator="equal">
      <formula>"* * Check Score! * *"</formula>
    </cfRule>
  </conditionalFormatting>
  <conditionalFormatting sqref="O223">
    <cfRule type="cellIs" dxfId="149" priority="6" operator="notEqual">
      <formula>$M223</formula>
    </cfRule>
  </conditionalFormatting>
  <conditionalFormatting sqref="P223">
    <cfRule type="cellIs" dxfId="148" priority="5" operator="notEqual">
      <formula>$M223</formula>
    </cfRule>
  </conditionalFormatting>
  <conditionalFormatting sqref="O230">
    <cfRule type="cellIs" dxfId="147" priority="4" operator="notEqual">
      <formula>$M230</formula>
    </cfRule>
  </conditionalFormatting>
  <conditionalFormatting sqref="P230">
    <cfRule type="cellIs" dxfId="146" priority="3" operator="notEqual">
      <formula>$M230</formula>
    </cfRule>
  </conditionalFormatting>
  <conditionalFormatting sqref="O231">
    <cfRule type="cellIs" dxfId="145" priority="2" operator="notEqual">
      <formula>$M231</formula>
    </cfRule>
  </conditionalFormatting>
  <conditionalFormatting sqref="P231">
    <cfRule type="cellIs" dxfId="144" priority="1" operator="notEqual">
      <formula>$M231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3"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zoomScaleNormal="100" workbookViewId="0">
      <selection sqref="A1:XFD1048576"/>
    </sheetView>
  </sheetViews>
  <sheetFormatPr defaultColWidth="8.7109375" defaultRowHeight="12.75"/>
  <cols>
    <col min="1" max="8" width="9" style="251" bestFit="1" customWidth="1"/>
    <col min="9" max="9" width="14.285156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28515625" style="251" bestFit="1" customWidth="1"/>
    <col min="25" max="359" width="9" style="251" bestFit="1" customWidth="1"/>
    <col min="360" max="16384" width="8.7109375" style="251"/>
  </cols>
  <sheetData>
    <row r="1" spans="1:16">
      <c r="A1" s="2101" t="str">
        <f>'Part I-Project Identification'!A2</f>
        <v>Part I-Project Identification - 2024-0 Finley Place, Austell, Cobb County</v>
      </c>
      <c r="B1" s="2101"/>
      <c r="C1" s="2101"/>
      <c r="D1" s="2101"/>
      <c r="E1" s="2101"/>
      <c r="F1" s="2101"/>
      <c r="G1" s="2101"/>
      <c r="H1" s="2101"/>
      <c r="I1" s="2101"/>
      <c r="J1" s="2101"/>
      <c r="K1" s="2101"/>
      <c r="L1" s="2101"/>
      <c r="M1" s="2101"/>
      <c r="N1" s="2101"/>
      <c r="O1" s="2101"/>
      <c r="P1" s="2101"/>
    </row>
    <row r="2" spans="1:16">
      <c r="A2" s="2102"/>
      <c r="B2" s="2102"/>
      <c r="C2" s="2102"/>
      <c r="D2" s="2102"/>
      <c r="E2" s="2102"/>
      <c r="F2" s="2102"/>
      <c r="G2" s="2102"/>
      <c r="H2" s="2102"/>
      <c r="I2" s="2102"/>
      <c r="J2" s="2102"/>
      <c r="K2" s="2102"/>
      <c r="L2" s="2102"/>
      <c r="M2" s="2102"/>
      <c r="N2" s="2102"/>
      <c r="O2" s="2102"/>
      <c r="P2" s="2102"/>
    </row>
    <row r="3" spans="1:16" ht="12.95" customHeight="1">
      <c r="A3" s="2101" t="s">
        <v>2223</v>
      </c>
      <c r="B3" s="2101"/>
      <c r="C3" s="2101"/>
      <c r="D3" s="2101"/>
      <c r="E3" s="2101"/>
      <c r="F3" s="2101"/>
      <c r="G3" s="2101"/>
      <c r="H3" s="2101"/>
      <c r="I3" s="2101"/>
      <c r="J3" s="2101"/>
      <c r="K3" s="2101"/>
      <c r="L3" s="2101"/>
      <c r="M3" s="2101"/>
      <c r="N3" s="2101"/>
      <c r="O3" s="2101"/>
      <c r="P3" s="2101"/>
    </row>
    <row r="4" spans="1:16">
      <c r="A4" s="2102"/>
      <c r="B4" s="2102"/>
      <c r="C4" s="2102"/>
      <c r="D4" s="2102"/>
      <c r="E4" s="2102"/>
      <c r="F4" s="2102"/>
      <c r="G4" s="2102"/>
      <c r="H4" s="2102"/>
      <c r="I4" s="2102"/>
      <c r="J4" s="2102"/>
      <c r="K4" s="2102"/>
      <c r="L4" s="2102"/>
      <c r="M4" s="2102"/>
      <c r="N4" s="2102"/>
      <c r="O4" s="2102"/>
      <c r="P4" s="2102"/>
    </row>
    <row r="5" spans="1:16" ht="13.5" customHeight="1">
      <c r="A5" s="2103" t="str">
        <f>'Part I-Project Identification'!A6</f>
        <v>2024 May 7</v>
      </c>
      <c r="B5" s="2104"/>
      <c r="C5" s="2104"/>
      <c r="D5" s="2104"/>
      <c r="E5" s="1380"/>
      <c r="F5" s="2102"/>
      <c r="G5" s="2105" t="s">
        <v>2224</v>
      </c>
      <c r="H5" s="1380"/>
      <c r="I5" s="1380"/>
      <c r="J5" s="1380"/>
      <c r="K5" s="1380"/>
      <c r="L5" s="2102"/>
      <c r="M5" s="1380"/>
      <c r="N5" s="1380"/>
      <c r="O5" s="1380"/>
      <c r="P5" s="2106" t="s">
        <v>16</v>
      </c>
    </row>
    <row r="6" spans="1:16" ht="13.5" customHeight="1">
      <c r="A6" s="2104"/>
      <c r="B6" s="2104"/>
      <c r="C6" s="2104"/>
      <c r="D6" s="2104"/>
      <c r="E6" s="253"/>
      <c r="F6" s="2102"/>
      <c r="G6" s="2105" t="s">
        <v>2225</v>
      </c>
      <c r="H6" s="1202"/>
      <c r="I6" s="1202"/>
      <c r="J6" s="1202"/>
      <c r="K6" s="1380"/>
      <c r="L6" s="1380"/>
      <c r="M6" s="1380"/>
      <c r="N6" s="1380"/>
      <c r="O6" s="2101" t="str">
        <f>'Part I-Project Identification'!O7</f>
        <v>2024-0</v>
      </c>
      <c r="P6" s="2101"/>
    </row>
    <row r="7" spans="1:16" ht="12.95" customHeight="1">
      <c r="A7" s="2104"/>
      <c r="B7" s="2104"/>
      <c r="C7" s="2104"/>
      <c r="D7" s="2104"/>
      <c r="E7" s="253"/>
      <c r="F7" s="2101"/>
      <c r="G7" s="2107" t="s">
        <v>20</v>
      </c>
      <c r="H7" s="1202"/>
      <c r="I7" s="1202"/>
      <c r="J7" s="1202"/>
      <c r="K7" s="1380"/>
      <c r="L7" s="1380"/>
      <c r="M7" s="1380"/>
      <c r="N7" s="1380"/>
      <c r="O7" s="1380"/>
      <c r="P7" s="1380"/>
    </row>
    <row r="8" spans="1:16">
      <c r="A8" s="2102"/>
      <c r="B8" s="1380"/>
      <c r="C8" s="1380"/>
      <c r="D8" s="1380"/>
      <c r="E8" s="1202"/>
      <c r="F8" s="1380"/>
      <c r="G8" s="1380"/>
      <c r="H8" s="1202"/>
      <c r="I8" s="1202"/>
      <c r="J8" s="1380"/>
      <c r="K8" s="1380"/>
      <c r="L8" s="1380"/>
      <c r="M8" s="1202"/>
      <c r="N8" s="1380"/>
      <c r="O8" s="1380"/>
      <c r="P8" s="1380"/>
    </row>
    <row r="9" spans="1:16">
      <c r="A9" s="2101" t="s">
        <v>21</v>
      </c>
      <c r="B9" s="2101" t="s">
        <v>22</v>
      </c>
      <c r="C9" s="1380"/>
      <c r="D9" s="272"/>
      <c r="E9" s="1202"/>
      <c r="F9" s="2108" t="s">
        <v>23</v>
      </c>
      <c r="G9" s="1380"/>
      <c r="H9" s="1380"/>
      <c r="I9" s="2109">
        <f>'Part III-A-Uses of Funds'!$J$191</f>
        <v>1295000</v>
      </c>
      <c r="J9" s="2109"/>
      <c r="K9" s="1380"/>
      <c r="L9" s="1380" t="s">
        <v>24</v>
      </c>
      <c r="M9" s="1380"/>
      <c r="N9" s="1380"/>
      <c r="O9" s="2110">
        <f>'Part II-Sources of Funds'!$I$6</f>
        <v>0</v>
      </c>
      <c r="P9" s="2110"/>
    </row>
    <row r="10" spans="1:16">
      <c r="A10" s="2101"/>
      <c r="B10" s="2101"/>
      <c r="C10" s="1380"/>
      <c r="D10" s="272"/>
      <c r="E10" s="1202"/>
      <c r="F10" s="1202"/>
      <c r="G10" s="1380"/>
      <c r="H10" s="1380"/>
      <c r="I10" s="2111"/>
      <c r="J10" s="1380"/>
      <c r="K10" s="1380"/>
      <c r="L10" s="1380"/>
      <c r="M10" s="1380"/>
      <c r="N10" s="2112"/>
      <c r="O10" s="1380"/>
      <c r="P10" s="1380"/>
    </row>
    <row r="11" spans="1:16" ht="13.5">
      <c r="A11" s="2111" t="s">
        <v>25</v>
      </c>
      <c r="B11" s="2101" t="s">
        <v>26</v>
      </c>
      <c r="C11" s="1380"/>
      <c r="D11" s="1380"/>
      <c r="E11" s="1380"/>
      <c r="F11" s="2076" t="str">
        <f>'Part I-Project Identification'!F12</f>
        <v>9% Credit Competitive Round only</v>
      </c>
      <c r="G11" s="2076"/>
      <c r="H11" s="2076"/>
      <c r="I11" s="2113" t="s">
        <v>2226</v>
      </c>
      <c r="J11" s="2076" t="s">
        <v>2227</v>
      </c>
      <c r="K11" s="2101"/>
      <c r="L11" s="1202"/>
      <c r="M11" s="1380"/>
      <c r="N11" s="1380"/>
      <c r="O11" s="1380" t="str">
        <f>'Part I-Project Identification'!O12</f>
        <v>2024PA010</v>
      </c>
      <c r="P11" s="1380"/>
    </row>
    <row r="12" spans="1:16" ht="15">
      <c r="A12" s="2114"/>
      <c r="B12" s="2085"/>
      <c r="C12" s="2568"/>
      <c r="D12" s="2568"/>
      <c r="E12" s="2568"/>
      <c r="F12" s="2115" t="s">
        <v>31</v>
      </c>
      <c r="G12" s="2085"/>
      <c r="H12" s="2116"/>
      <c r="I12" s="2116"/>
      <c r="J12" s="2116"/>
      <c r="K12" s="2116"/>
      <c r="L12" s="2116"/>
      <c r="M12" s="2116"/>
      <c r="N12" s="2116"/>
      <c r="O12" s="2116"/>
      <c r="P12" s="2087">
        <f>'Part I-Project Identification'!P13</f>
        <v>0</v>
      </c>
    </row>
    <row r="13" spans="1:16">
      <c r="A13" s="2102"/>
      <c r="B13" s="272"/>
      <c r="C13" s="272"/>
      <c r="D13" s="272"/>
      <c r="E13" s="272"/>
      <c r="F13" s="1380"/>
      <c r="G13" s="1380"/>
      <c r="H13" s="1202"/>
      <c r="I13" s="1380"/>
      <c r="J13" s="2108"/>
      <c r="K13" s="2111"/>
      <c r="L13" s="1380"/>
      <c r="M13" s="1202"/>
      <c r="N13" s="1380"/>
      <c r="O13" s="1380"/>
      <c r="P13" s="1380"/>
    </row>
    <row r="14" spans="1:16">
      <c r="A14" s="2111" t="s">
        <v>32</v>
      </c>
      <c r="B14" s="2101" t="s">
        <v>33</v>
      </c>
      <c r="C14" s="1380"/>
      <c r="D14" s="2108"/>
      <c r="E14" s="1202"/>
      <c r="F14" s="1380"/>
      <c r="G14" s="1202"/>
      <c r="H14" s="1202"/>
      <c r="I14" s="2117" t="s">
        <v>34</v>
      </c>
      <c r="J14" s="1380"/>
      <c r="K14" s="1380"/>
      <c r="L14" s="2112"/>
      <c r="M14" s="1380"/>
      <c r="N14" s="1380"/>
      <c r="O14" s="1380"/>
      <c r="P14" s="1380"/>
    </row>
    <row r="15" spans="1:16">
      <c r="A15" s="1380"/>
      <c r="B15" s="1380" t="s">
        <v>35</v>
      </c>
      <c r="C15" s="1380"/>
      <c r="D15" s="1380"/>
      <c r="E15" s="1380"/>
      <c r="F15" s="1380" t="str">
        <f>'Part I-Project Identification'!F16</f>
        <v>Prestwick Development Company, LLC</v>
      </c>
      <c r="G15" s="1380"/>
      <c r="H15" s="1380"/>
      <c r="I15" s="1380" t="s">
        <v>37</v>
      </c>
      <c r="J15" s="1380" t="str">
        <f>'Part I-Project Identification'!J16</f>
        <v>Wiley A. Tucker III</v>
      </c>
      <c r="K15" s="1380"/>
      <c r="L15" s="1380"/>
      <c r="M15" s="2108" t="s">
        <v>39</v>
      </c>
      <c r="N15" s="1380" t="str">
        <f>'Part I-Project Identification'!N16</f>
        <v>Manager-CEO</v>
      </c>
      <c r="O15" s="1380"/>
      <c r="P15" s="1380"/>
    </row>
    <row r="16" spans="1:16">
      <c r="A16" s="1380"/>
      <c r="B16" s="2108" t="s">
        <v>41</v>
      </c>
      <c r="C16" s="1380"/>
      <c r="D16" s="1380"/>
      <c r="E16" s="1380"/>
      <c r="F16" s="2118">
        <f>'Part I-Project Identification'!F17</f>
        <v>4049493870</v>
      </c>
      <c r="G16" s="2118"/>
      <c r="H16" s="2118"/>
      <c r="I16" s="2108" t="s">
        <v>42</v>
      </c>
      <c r="J16" s="1202">
        <f>'Part I-Project Identification'!J17</f>
        <v>0</v>
      </c>
      <c r="K16" s="1380"/>
      <c r="L16" s="1380"/>
      <c r="M16" s="2108" t="s">
        <v>43</v>
      </c>
      <c r="N16" s="2118">
        <f>'Part I-Project Identification'!N17</f>
        <v>4049493871</v>
      </c>
      <c r="O16" s="2118"/>
      <c r="P16" s="2118"/>
    </row>
    <row r="17" spans="1:16">
      <c r="A17" s="1380"/>
      <c r="B17" s="2108" t="s">
        <v>44</v>
      </c>
      <c r="C17" s="1380"/>
      <c r="D17" s="1380"/>
      <c r="E17" s="1380"/>
      <c r="F17" s="1380" t="str">
        <f>'Part I-Project Identification'!F18</f>
        <v>jody@prestwickcompanies.com</v>
      </c>
      <c r="G17" s="1380"/>
      <c r="H17" s="1380"/>
      <c r="I17" s="1380"/>
      <c r="J17" s="1380"/>
      <c r="K17" s="1380"/>
      <c r="L17" s="1380"/>
      <c r="M17" s="2108" t="s">
        <v>46</v>
      </c>
      <c r="N17" s="2118">
        <f>'Part I-Project Identification'!N18</f>
        <v>0</v>
      </c>
      <c r="O17" s="2118"/>
      <c r="P17" s="2118"/>
    </row>
    <row r="18" spans="1:16">
      <c r="A18" s="2102"/>
      <c r="B18" s="2101" t="s">
        <v>47</v>
      </c>
      <c r="C18" s="272"/>
      <c r="D18" s="1380"/>
      <c r="E18" s="1380"/>
      <c r="F18" s="1380"/>
      <c r="G18" s="1380"/>
      <c r="H18" s="1202"/>
      <c r="I18" s="1380"/>
      <c r="J18" s="272"/>
      <c r="K18" s="1380"/>
      <c r="L18" s="1380"/>
      <c r="M18" s="1380"/>
      <c r="N18" s="1380"/>
      <c r="O18" s="1380"/>
      <c r="P18" s="1202"/>
    </row>
    <row r="19" spans="1:16">
      <c r="A19" s="1380"/>
      <c r="B19" s="1380" t="s">
        <v>35</v>
      </c>
      <c r="C19" s="1380"/>
      <c r="D19" s="1380"/>
      <c r="E19" s="1380"/>
      <c r="F19" s="1380" t="str">
        <f>'Part I-Project Identification'!F20</f>
        <v>Prestwick Development Company, LLC</v>
      </c>
      <c r="G19" s="1380"/>
      <c r="H19" s="1380"/>
      <c r="I19" s="1380" t="s">
        <v>37</v>
      </c>
      <c r="J19" s="1380" t="str">
        <f>'Part I-Project Identification'!J20</f>
        <v>Edrick Harris</v>
      </c>
      <c r="K19" s="1380"/>
      <c r="L19" s="1380"/>
      <c r="M19" s="2108" t="s">
        <v>39</v>
      </c>
      <c r="N19" s="1380" t="str">
        <f>'Part I-Project Identification'!N20</f>
        <v>Partner-EVP</v>
      </c>
      <c r="O19" s="1380"/>
      <c r="P19" s="1380"/>
    </row>
    <row r="20" spans="1:16">
      <c r="A20" s="1380"/>
      <c r="B20" s="2108" t="s">
        <v>41</v>
      </c>
      <c r="C20" s="1380"/>
      <c r="D20" s="1380"/>
      <c r="E20" s="1380"/>
      <c r="F20" s="2118">
        <f>'Part I-Project Identification'!F21</f>
        <v>6787050738</v>
      </c>
      <c r="G20" s="2118"/>
      <c r="H20" s="2118"/>
      <c r="I20" s="2108" t="s">
        <v>42</v>
      </c>
      <c r="J20" s="1202">
        <f>'Part I-Project Identification'!J21</f>
        <v>0</v>
      </c>
      <c r="K20" s="1380"/>
      <c r="L20" s="1380"/>
      <c r="M20" s="2108" t="s">
        <v>43</v>
      </c>
      <c r="N20" s="2118">
        <f>'Part I-Project Identification'!N21</f>
        <v>6787050738</v>
      </c>
      <c r="O20" s="2118"/>
      <c r="P20" s="2118"/>
    </row>
    <row r="21" spans="1:16">
      <c r="A21" s="1380"/>
      <c r="B21" s="2108" t="s">
        <v>44</v>
      </c>
      <c r="C21" s="1380"/>
      <c r="D21" s="1380"/>
      <c r="E21" s="1380"/>
      <c r="F21" s="1380" t="str">
        <f>'Part I-Project Identification'!F22</f>
        <v>edrick@prestwickcompanies.com</v>
      </c>
      <c r="G21" s="1380"/>
      <c r="H21" s="1380"/>
      <c r="I21" s="1380"/>
      <c r="J21" s="1380"/>
      <c r="K21" s="1380"/>
      <c r="L21" s="1380"/>
      <c r="M21" s="2108" t="s">
        <v>46</v>
      </c>
      <c r="N21" s="2118">
        <f>'Part I-Project Identification'!N22</f>
        <v>0</v>
      </c>
      <c r="O21" s="2118"/>
      <c r="P21" s="2118"/>
    </row>
    <row r="22" spans="1:16">
      <c r="A22" s="1380"/>
      <c r="B22" s="1380"/>
      <c r="C22" s="1380"/>
      <c r="D22" s="1380"/>
      <c r="E22" s="1380"/>
      <c r="F22" s="1380"/>
      <c r="G22" s="1380"/>
      <c r="H22" s="1380"/>
      <c r="I22" s="272"/>
      <c r="J22" s="272"/>
      <c r="K22" s="272"/>
      <c r="L22" s="272"/>
      <c r="M22" s="272"/>
      <c r="N22" s="272"/>
      <c r="O22" s="272"/>
      <c r="P22" s="272"/>
    </row>
    <row r="23" spans="1:16">
      <c r="A23" s="2111" t="s">
        <v>51</v>
      </c>
      <c r="B23" s="2101" t="s">
        <v>52</v>
      </c>
      <c r="C23" s="1380"/>
      <c r="D23" s="272"/>
      <c r="E23" s="1202"/>
      <c r="F23" s="1202"/>
      <c r="G23" s="2108"/>
      <c r="H23" s="1202"/>
      <c r="I23" s="1202"/>
      <c r="J23" s="1202"/>
      <c r="K23" s="1380"/>
      <c r="L23" s="1380"/>
      <c r="M23" s="1380"/>
      <c r="N23" s="1380"/>
      <c r="O23" s="1380"/>
      <c r="P23" s="1380"/>
    </row>
    <row r="24" spans="1:16">
      <c r="A24" s="2111"/>
      <c r="B24" s="2101"/>
      <c r="C24" s="1380"/>
      <c r="D24" s="272"/>
      <c r="E24" s="1202"/>
      <c r="F24" s="1202"/>
      <c r="G24" s="2108"/>
      <c r="H24" s="1202"/>
      <c r="I24" s="1202"/>
      <c r="J24" s="1202"/>
      <c r="K24" s="1380"/>
      <c r="L24" s="2112"/>
      <c r="M24" s="2112"/>
      <c r="N24" s="1380"/>
      <c r="O24" s="1380"/>
      <c r="P24" s="1380"/>
    </row>
    <row r="25" spans="1:16">
      <c r="A25" s="2101"/>
      <c r="B25" s="1380" t="s">
        <v>53</v>
      </c>
      <c r="C25" s="1380"/>
      <c r="D25" s="2101"/>
      <c r="E25" s="1380"/>
      <c r="F25" s="1380" t="str">
        <f>'Part I-Project Identification'!F26</f>
        <v>Finley Place</v>
      </c>
      <c r="G25" s="1380"/>
      <c r="H25" s="1380"/>
      <c r="I25" s="1380"/>
      <c r="J25" s="1380"/>
      <c r="K25" s="1380"/>
      <c r="L25" s="1380"/>
      <c r="M25" s="2108" t="s">
        <v>55</v>
      </c>
      <c r="N25" s="1380"/>
      <c r="O25" s="1380"/>
      <c r="P25" s="2119" t="str">
        <f>'Part I-Project Identification'!P26</f>
        <v>No</v>
      </c>
    </row>
    <row r="26" spans="1:16">
      <c r="A26" s="2102"/>
      <c r="B26" s="1380" t="s">
        <v>57</v>
      </c>
      <c r="C26" s="1380"/>
      <c r="D26" s="1380"/>
      <c r="E26" s="1380"/>
      <c r="F26" s="1380" t="str">
        <f>'Part I-Project Identification'!F27</f>
        <v>Austell</v>
      </c>
      <c r="G26" s="1380"/>
      <c r="H26" s="1380"/>
      <c r="I26" s="2120" t="s">
        <v>59</v>
      </c>
      <c r="J26" s="1380" t="str">
        <f>'Part I-Project Identification'!J27</f>
        <v>Cobb</v>
      </c>
      <c r="K26" s="1380"/>
      <c r="L26" s="1380"/>
      <c r="M26" s="2108" t="s">
        <v>60</v>
      </c>
      <c r="N26" s="1380"/>
      <c r="O26" s="1380"/>
      <c r="P26" s="2119" t="str">
        <f>'Part I-Project Identification'!P27</f>
        <v>No</v>
      </c>
    </row>
    <row r="27" spans="1:16" ht="13.5">
      <c r="A27" s="2102"/>
      <c r="B27" s="1380" t="s">
        <v>61</v>
      </c>
      <c r="C27" s="2121"/>
      <c r="D27" s="1255"/>
      <c r="E27" s="1255"/>
      <c r="F27" s="1380" t="str">
        <f>'Part I-Project Identification'!F28</f>
        <v>City Limits</v>
      </c>
      <c r="G27" s="1380"/>
      <c r="H27" s="1380"/>
      <c r="I27" s="1202"/>
      <c r="J27" s="273" t="s">
        <v>63</v>
      </c>
      <c r="K27" s="1202"/>
      <c r="L27" s="1380"/>
      <c r="M27" s="2108" t="s">
        <v>64</v>
      </c>
      <c r="N27" s="1380"/>
      <c r="O27" s="2122">
        <f>'Part I-Project Identification'!O28</f>
        <v>5.8479999999999999</v>
      </c>
      <c r="P27" s="2122"/>
    </row>
    <row r="28" spans="1:16">
      <c r="A28" s="2102"/>
      <c r="B28" s="1380" t="s">
        <v>65</v>
      </c>
      <c r="C28" s="1380"/>
      <c r="D28" s="1380"/>
      <c r="E28" s="1380"/>
      <c r="F28" s="2108" t="str">
        <f>'Part I-Project Identification'!F29</f>
        <v>No</v>
      </c>
      <c r="G28" s="1380"/>
      <c r="H28" s="1380"/>
      <c r="I28" s="1202"/>
      <c r="J28" s="1202" t="s">
        <v>66</v>
      </c>
      <c r="K28" s="1202" t="str">
        <f>'Part I-Project Identification'!K29</f>
        <v>Urban</v>
      </c>
      <c r="L28" s="1380"/>
      <c r="M28" s="2108" t="s">
        <v>67</v>
      </c>
      <c r="N28" s="2102" t="str">
        <f>'Part I-Project Identification'!N29</f>
        <v>MSA</v>
      </c>
      <c r="O28" s="1380" t="str">
        <f>'Part I-Project Identification'!O29</f>
        <v>Atlanta-Sandy Springs-Marietta</v>
      </c>
      <c r="P28" s="1380"/>
    </row>
    <row r="29" spans="1:16">
      <c r="A29" s="2102"/>
      <c r="B29" s="2102"/>
      <c r="C29" s="2121"/>
      <c r="D29" s="1255"/>
      <c r="E29" s="1255"/>
      <c r="F29" s="1202"/>
      <c r="G29" s="1202"/>
      <c r="H29" s="1202"/>
      <c r="I29" s="1202"/>
      <c r="J29" s="1255"/>
      <c r="K29" s="1202"/>
      <c r="L29" s="1202"/>
      <c r="M29" s="1380"/>
      <c r="N29" s="1380"/>
      <c r="O29" s="1380"/>
      <c r="P29" s="1202"/>
    </row>
    <row r="30" spans="1:16">
      <c r="A30" s="2111" t="s">
        <v>68</v>
      </c>
      <c r="B30" s="2111" t="s">
        <v>69</v>
      </c>
      <c r="C30" s="1380"/>
      <c r="D30" s="271"/>
      <c r="E30" s="271"/>
      <c r="F30" s="271"/>
      <c r="G30" s="1202"/>
      <c r="H30" s="1202"/>
      <c r="I30" s="1202"/>
      <c r="J30" s="1255"/>
      <c r="K30" s="1202"/>
      <c r="L30" s="1202"/>
      <c r="M30" s="1380"/>
      <c r="N30" s="1380"/>
      <c r="O30" s="1380"/>
      <c r="P30" s="1202"/>
    </row>
    <row r="31" spans="1:16">
      <c r="A31" s="2102"/>
      <c r="B31" s="2102"/>
      <c r="C31" s="1380"/>
      <c r="D31" s="1380"/>
      <c r="E31" s="1380"/>
      <c r="F31" s="1380"/>
      <c r="G31" s="1380"/>
      <c r="H31" s="1380"/>
      <c r="I31" s="1380"/>
      <c r="J31" s="1380"/>
      <c r="K31" s="1380"/>
      <c r="L31" s="1380"/>
      <c r="M31" s="2108"/>
      <c r="N31" s="2123"/>
      <c r="O31" s="2123"/>
      <c r="P31" s="2124"/>
    </row>
    <row r="32" spans="1:16">
      <c r="A32" s="2102"/>
      <c r="B32" s="2111" t="s">
        <v>70</v>
      </c>
      <c r="C32" s="1380"/>
      <c r="D32" s="2125"/>
      <c r="E32" s="2125"/>
      <c r="F32" s="2125"/>
      <c r="G32" s="2125"/>
      <c r="H32" s="1202"/>
      <c r="I32" s="1380"/>
      <c r="J32" s="272"/>
      <c r="K32" s="1255"/>
      <c r="L32" s="1380"/>
      <c r="M32" s="1380"/>
      <c r="N32" s="1380"/>
      <c r="O32" s="1380"/>
      <c r="P32" s="1202"/>
    </row>
    <row r="33" spans="1:17">
      <c r="A33" s="2102"/>
      <c r="B33" s="2102"/>
      <c r="C33" s="2111"/>
      <c r="D33" s="2125"/>
      <c r="E33" s="2125"/>
      <c r="F33" s="2125"/>
      <c r="G33" s="2125"/>
      <c r="H33" s="1202"/>
      <c r="I33" s="1380"/>
      <c r="J33" s="272"/>
      <c r="K33" s="1255"/>
      <c r="L33" s="1380"/>
      <c r="M33" s="1380"/>
      <c r="N33" s="1380"/>
      <c r="O33" s="1380"/>
      <c r="P33" s="1202"/>
    </row>
    <row r="34" spans="1:17" ht="12.95" hidden="1" customHeight="1">
      <c r="A34" s="2102"/>
      <c r="B34" s="2102"/>
      <c r="C34" s="1380" t="s">
        <v>71</v>
      </c>
      <c r="D34" s="2076"/>
      <c r="E34" s="1380"/>
      <c r="F34" s="1380"/>
      <c r="G34" s="1380"/>
      <c r="H34" s="1380"/>
      <c r="I34" s="1255"/>
      <c r="J34" s="1380"/>
      <c r="K34" s="2101"/>
      <c r="L34" s="1380" t="s">
        <v>72</v>
      </c>
      <c r="M34" s="1380"/>
      <c r="N34" s="1380"/>
      <c r="O34" s="1380"/>
      <c r="P34" s="1255"/>
    </row>
    <row r="35" spans="1:17" ht="12.95" hidden="1" customHeight="1">
      <c r="A35" s="2102"/>
      <c r="B35" s="2101"/>
      <c r="C35" s="1380" t="s">
        <v>73</v>
      </c>
      <c r="D35" s="1380"/>
      <c r="E35" s="1380"/>
      <c r="F35" s="1380"/>
      <c r="G35" s="1380"/>
      <c r="H35" s="1380"/>
      <c r="I35" s="1255"/>
      <c r="J35" s="2120" t="s">
        <v>74</v>
      </c>
      <c r="K35" s="1380"/>
      <c r="L35" s="1380"/>
      <c r="M35" s="1380"/>
      <c r="N35" s="1380"/>
      <c r="O35" s="2126"/>
      <c r="P35" s="2126"/>
    </row>
    <row r="36" spans="1:17">
      <c r="A36" s="2102"/>
      <c r="B36" s="2101"/>
      <c r="C36" s="1380" t="s">
        <v>75</v>
      </c>
      <c r="D36" s="1380"/>
      <c r="E36" s="1380"/>
      <c r="F36" s="1380"/>
      <c r="G36" s="1380"/>
      <c r="H36" s="1380"/>
      <c r="I36" s="1255"/>
      <c r="J36" s="2120" t="s">
        <v>74</v>
      </c>
      <c r="K36" s="1380"/>
      <c r="L36" s="1380"/>
      <c r="M36" s="1380"/>
      <c r="N36" s="1380"/>
      <c r="O36" s="2126">
        <f>'Part I-Project Identification'!O37</f>
        <v>0</v>
      </c>
      <c r="P36" s="2126"/>
    </row>
    <row r="37" spans="1:17">
      <c r="A37" s="2102"/>
      <c r="B37" s="2102"/>
      <c r="C37" s="1380" t="s">
        <v>76</v>
      </c>
      <c r="D37" s="1380"/>
      <c r="E37" s="1380"/>
      <c r="F37" s="1380"/>
      <c r="G37" s="1380"/>
      <c r="H37" s="1380"/>
      <c r="I37" s="1255"/>
      <c r="J37" s="2120" t="s">
        <v>74</v>
      </c>
      <c r="K37" s="1380"/>
      <c r="L37" s="1380"/>
      <c r="M37" s="1380"/>
      <c r="N37" s="1380"/>
      <c r="O37" s="2126">
        <f>'Part I-Project Identification'!O38</f>
        <v>0</v>
      </c>
      <c r="P37" s="2126"/>
    </row>
    <row r="38" spans="1:17">
      <c r="A38" s="2102"/>
      <c r="B38" s="2102"/>
      <c r="C38" s="1380"/>
      <c r="D38" s="1380"/>
      <c r="E38" s="1380"/>
      <c r="F38" s="1380"/>
      <c r="G38" s="1380"/>
      <c r="H38" s="1380"/>
      <c r="I38" s="1380"/>
      <c r="J38" s="1380"/>
      <c r="K38" s="1380"/>
      <c r="L38" s="1380"/>
      <c r="M38" s="1380"/>
      <c r="N38" s="1380"/>
      <c r="O38" s="1380"/>
      <c r="P38" s="272"/>
    </row>
    <row r="39" spans="1:17">
      <c r="A39" s="1380"/>
      <c r="B39" s="2101"/>
      <c r="C39" s="1380"/>
      <c r="D39" s="1380"/>
      <c r="E39" s="1380"/>
      <c r="F39" s="1380"/>
      <c r="G39" s="1380"/>
      <c r="H39" s="1380"/>
      <c r="I39" s="1380"/>
      <c r="J39" s="1380"/>
      <c r="K39" s="1380"/>
      <c r="L39" s="272"/>
      <c r="M39" s="272"/>
      <c r="N39" s="272"/>
      <c r="O39" s="272"/>
      <c r="P39" s="2112"/>
    </row>
    <row r="40" spans="1:17">
      <c r="A40" s="2111" t="s">
        <v>77</v>
      </c>
      <c r="B40" s="271"/>
      <c r="C40" s="271" t="s">
        <v>78</v>
      </c>
      <c r="D40" s="272"/>
      <c r="E40" s="272"/>
      <c r="F40" s="272"/>
      <c r="G40" s="272"/>
      <c r="H40" s="272"/>
      <c r="I40" s="272"/>
      <c r="J40" s="272"/>
      <c r="K40" s="272"/>
      <c r="L40" s="272"/>
      <c r="M40" s="2111" t="s">
        <v>79</v>
      </c>
      <c r="N40" s="271" t="s">
        <v>80</v>
      </c>
      <c r="O40" s="272"/>
      <c r="P40" s="272"/>
    </row>
    <row r="41" spans="1:17">
      <c r="A41" s="2111"/>
      <c r="B41" s="271"/>
      <c r="C41" s="271"/>
      <c r="D41" s="272"/>
      <c r="E41" s="272"/>
      <c r="F41" s="272"/>
      <c r="G41" s="272"/>
      <c r="H41" s="272"/>
      <c r="I41" s="272"/>
      <c r="J41" s="272"/>
      <c r="K41" s="272"/>
      <c r="L41" s="272"/>
      <c r="M41" s="2111"/>
      <c r="N41" s="271"/>
      <c r="O41" s="272"/>
      <c r="P41" s="272"/>
    </row>
    <row r="42" spans="1:17" ht="13.5">
      <c r="A42" s="2127" t="str">
        <f>'Part I-Project Identification'!A43</f>
        <v xml:space="preserve">The Prestwick Development team is requesting $1,295,000 in 9% credits for Finley Place, below the maximum credit award limit for New Affordability in Metro Pools.
</v>
      </c>
      <c r="B42" s="2127"/>
      <c r="C42" s="2127"/>
      <c r="D42" s="2127"/>
      <c r="E42" s="2127"/>
      <c r="F42" s="2127"/>
      <c r="G42" s="2127"/>
      <c r="H42" s="2127"/>
      <c r="I42" s="2127"/>
      <c r="J42" s="2127"/>
      <c r="K42" s="2127"/>
      <c r="L42" s="2127"/>
      <c r="M42" s="2127"/>
      <c r="N42" s="2127"/>
      <c r="O42" s="2127"/>
      <c r="P42" s="2127"/>
    </row>
    <row r="45" spans="1:17">
      <c r="A45" s="2101" t="str">
        <f>CONCATENATE("PART TWO - SOURCES OF FUNDS (Proposed)","  -  ",'Part I-Project Identification'!$O$7," ",'Part I-Project Identification'!$F$26,", ",'Part I-Project Identification'!$F$27,", ",'Part I-Project Identification'!$J$27," County")</f>
        <v>PART TWO - SOURCES OF FUNDS (Proposed)  -  2024-0 Finley Place, Austell, Cobb County</v>
      </c>
      <c r="B45" s="2101"/>
      <c r="C45" s="2101"/>
      <c r="D45" s="2101"/>
      <c r="E45" s="2101"/>
      <c r="F45" s="2101"/>
      <c r="G45" s="2101"/>
      <c r="H45" s="2101"/>
      <c r="I45" s="2101"/>
      <c r="J45" s="2101"/>
      <c r="K45" s="2101"/>
      <c r="L45" s="2101"/>
      <c r="M45" s="2101"/>
      <c r="N45" s="2101"/>
      <c r="O45" s="2101"/>
      <c r="P45" s="2101"/>
      <c r="Q45" s="2101"/>
    </row>
    <row r="46" spans="1:17" ht="13.5">
      <c r="A46" s="272"/>
      <c r="B46" s="272"/>
      <c r="C46" s="272"/>
      <c r="D46" s="272"/>
      <c r="E46" s="272"/>
      <c r="F46" s="272"/>
      <c r="G46" s="253"/>
      <c r="H46" s="253"/>
      <c r="I46" s="253"/>
      <c r="J46" s="253"/>
      <c r="K46" s="253"/>
      <c r="L46" s="253"/>
      <c r="M46" s="2074"/>
      <c r="N46" s="2074"/>
      <c r="O46" s="2074"/>
      <c r="P46" s="2074"/>
      <c r="Q46" s="2074"/>
    </row>
    <row r="47" spans="1:17" ht="16.5">
      <c r="A47" s="2101" t="s">
        <v>21</v>
      </c>
      <c r="B47" s="2101" t="s">
        <v>360</v>
      </c>
      <c r="C47" s="1380"/>
      <c r="D47" s="1380"/>
      <c r="E47" s="1380"/>
      <c r="F47" s="1380"/>
      <c r="G47" s="1380"/>
      <c r="H47" s="2075"/>
      <c r="I47" s="2075"/>
      <c r="J47" s="2075"/>
      <c r="K47" s="2075"/>
      <c r="L47" s="2128" t="str">
        <f>'Part I-Project Identification'!$A$6</f>
        <v>2024 May 7</v>
      </c>
      <c r="M47" s="2128"/>
      <c r="N47" s="2128"/>
      <c r="O47" s="2128"/>
      <c r="P47" s="2128"/>
      <c r="Q47" s="2075"/>
    </row>
    <row r="48" spans="1:17" ht="13.5">
      <c r="A48" s="271"/>
      <c r="B48" s="2102"/>
      <c r="C48" s="271"/>
      <c r="D48" s="1380"/>
      <c r="E48" s="1380"/>
      <c r="F48" s="1380"/>
      <c r="G48" s="1380"/>
      <c r="H48" s="2075"/>
      <c r="I48" s="2075"/>
      <c r="J48" s="2075"/>
      <c r="K48" s="2075"/>
      <c r="L48" s="2075"/>
      <c r="M48" s="2075"/>
      <c r="N48" s="2075"/>
      <c r="O48" s="2075"/>
      <c r="P48" s="2075"/>
      <c r="Q48" s="2075"/>
    </row>
    <row r="49" spans="1:17" ht="13.5">
      <c r="A49" s="2102"/>
      <c r="B49" s="1202" t="str">
        <f>'Part II-Sources of Funds'!B6</f>
        <v>Yes</v>
      </c>
      <c r="C49" s="2105" t="s">
        <v>363</v>
      </c>
      <c r="D49" s="1380"/>
      <c r="E49" s="1202" t="str">
        <f>'Part II-Sources of Funds'!E6</f>
        <v>No</v>
      </c>
      <c r="F49" s="2105" t="s">
        <v>364</v>
      </c>
      <c r="G49" s="1380"/>
      <c r="H49" s="2075"/>
      <c r="I49" s="2129">
        <f>'Part II-Sources of Funds'!I6</f>
        <v>0</v>
      </c>
      <c r="J49" s="253"/>
      <c r="K49" s="2075"/>
      <c r="L49" s="1202" t="str">
        <f>'Part II-Sources of Funds'!L6</f>
        <v>No</v>
      </c>
      <c r="M49" s="2105" t="s">
        <v>365</v>
      </c>
      <c r="N49" s="2075"/>
      <c r="O49" s="2075"/>
      <c r="P49" s="2075"/>
      <c r="Q49" s="2127"/>
    </row>
    <row r="50" spans="1:17" ht="13.5">
      <c r="A50" s="2102"/>
      <c r="B50" s="1202" t="str">
        <f>'Part II-Sources of Funds'!B7</f>
        <v>No</v>
      </c>
      <c r="C50" s="2105" t="s">
        <v>366</v>
      </c>
      <c r="D50" s="1380"/>
      <c r="E50" s="1202" t="str">
        <f>'Part II-Sources of Funds'!E7</f>
        <v>No</v>
      </c>
      <c r="F50" s="2105" t="s">
        <v>367</v>
      </c>
      <c r="G50" s="2075"/>
      <c r="H50" s="2075"/>
      <c r="I50" s="2129">
        <f>'Part II-Sources of Funds'!I7</f>
        <v>0</v>
      </c>
      <c r="J50" s="253"/>
      <c r="K50" s="2075"/>
      <c r="L50" s="1202" t="str">
        <f>'Part II-Sources of Funds'!L7</f>
        <v>No</v>
      </c>
      <c r="M50" s="2105" t="s">
        <v>368</v>
      </c>
      <c r="N50" s="2075"/>
      <c r="O50" s="2075"/>
      <c r="P50" s="2127"/>
      <c r="Q50" s="2127"/>
    </row>
    <row r="51" spans="1:17" ht="13.5">
      <c r="A51" s="1380"/>
      <c r="B51" s="1202" t="str">
        <f>'Part II-Sources of Funds'!B8</f>
        <v>No</v>
      </c>
      <c r="C51" s="2105" t="s">
        <v>369</v>
      </c>
      <c r="D51" s="2075"/>
      <c r="E51" s="2075"/>
      <c r="F51" s="2075" t="s">
        <v>370</v>
      </c>
      <c r="G51" s="2075"/>
      <c r="H51" s="2075" t="str">
        <f>'Part II-Sources of Funds'!H8</f>
        <v>Specify Other HOME Source here</v>
      </c>
      <c r="I51" s="2075"/>
      <c r="J51" s="2075"/>
      <c r="K51" s="2075"/>
      <c r="L51" s="1202" t="str">
        <f>'Part II-Sources of Funds'!L8</f>
        <v>No</v>
      </c>
      <c r="M51" s="2105" t="s">
        <v>372</v>
      </c>
      <c r="N51" s="2075"/>
      <c r="O51" s="2075"/>
      <c r="P51" s="2127"/>
      <c r="Q51" s="2127"/>
    </row>
    <row r="52" spans="1:17" ht="13.5">
      <c r="A52" s="2102"/>
      <c r="B52" s="1202" t="str">
        <f>'Part II-Sources of Funds'!B9</f>
        <v>No</v>
      </c>
      <c r="C52" s="2075" t="s">
        <v>373</v>
      </c>
      <c r="D52" s="2075"/>
      <c r="E52" s="1202" t="str">
        <f>'Part II-Sources of Funds'!E9</f>
        <v>No</v>
      </c>
      <c r="F52" s="2075" t="str">
        <f>'Part II-Sources of Funds'!F9</f>
        <v>Other Type of FEDERAL Funding * - describe type/program here</v>
      </c>
      <c r="G52" s="2075"/>
      <c r="H52" s="2075"/>
      <c r="I52" s="2075"/>
      <c r="J52" s="2075"/>
      <c r="K52" s="2075"/>
      <c r="L52" s="1202" t="str">
        <f>'Part II-Sources of Funds'!L9</f>
        <v>No</v>
      </c>
      <c r="M52" s="2105" t="s">
        <v>375</v>
      </c>
      <c r="N52" s="2075"/>
      <c r="O52" s="2075"/>
      <c r="P52" s="2075"/>
      <c r="Q52" s="2127"/>
    </row>
    <row r="53" spans="1:17" ht="13.5">
      <c r="A53" s="2102"/>
      <c r="B53" s="1202" t="str">
        <f>'Part II-Sources of Funds'!B10</f>
        <v>No</v>
      </c>
      <c r="C53" s="2105" t="s">
        <v>376</v>
      </c>
      <c r="D53" s="2075"/>
      <c r="E53" s="2075"/>
      <c r="F53" s="2075" t="str">
        <f>'Part II-Sources of Funds'!F10</f>
        <v>Specify Source/Administrator of Other FEDERAL Funding here</v>
      </c>
      <c r="G53" s="2075"/>
      <c r="H53" s="2075"/>
      <c r="I53" s="2075"/>
      <c r="J53" s="2075"/>
      <c r="K53" s="2075"/>
      <c r="L53" s="1202" t="str">
        <f>'Part II-Sources of Funds'!L10</f>
        <v>No</v>
      </c>
      <c r="M53" s="2105" t="s">
        <v>378</v>
      </c>
      <c r="N53" s="2075"/>
      <c r="O53" s="2075"/>
      <c r="P53" s="2127"/>
      <c r="Q53" s="2127"/>
    </row>
    <row r="54" spans="1:17" ht="13.5">
      <c r="A54" s="2102"/>
      <c r="B54" s="1202" t="str">
        <f>'Part II-Sources of Funds'!B11</f>
        <v>No</v>
      </c>
      <c r="C54" s="2105" t="s">
        <v>379</v>
      </c>
      <c r="D54" s="2075"/>
      <c r="E54" s="1202" t="str">
        <f>'Part II-Sources of Funds'!E11</f>
        <v>No</v>
      </c>
      <c r="F54" s="2075" t="str">
        <f>'Part II-Sources of Funds'!F11</f>
        <v>Other Type of STATE/LOCAL Funding * - describe type/program here</v>
      </c>
      <c r="G54" s="2075"/>
      <c r="H54" s="2075"/>
      <c r="I54" s="2075"/>
      <c r="J54" s="2075"/>
      <c r="K54" s="2075"/>
      <c r="L54" s="1202" t="str">
        <f>'Part II-Sources of Funds'!L11</f>
        <v>No</v>
      </c>
      <c r="M54" s="2075" t="s">
        <v>381</v>
      </c>
      <c r="N54" s="2075"/>
      <c r="O54" s="2075"/>
      <c r="P54" s="2075"/>
      <c r="Q54" s="2075"/>
    </row>
    <row r="55" spans="1:17" ht="13.5">
      <c r="A55" s="2102"/>
      <c r="B55" s="1202" t="str">
        <f>'Part II-Sources of Funds'!B12</f>
        <v>No</v>
      </c>
      <c r="C55" s="2105" t="s">
        <v>382</v>
      </c>
      <c r="D55" s="2075"/>
      <c r="E55" s="2075"/>
      <c r="F55" s="2075" t="str">
        <f>'Part II-Sources of Funds'!F12</f>
        <v>Specify Source/Administrator of Other STATE/LOCAL Funding here</v>
      </c>
      <c r="G55" s="2075"/>
      <c r="H55" s="2075"/>
      <c r="I55" s="2075"/>
      <c r="J55" s="2075"/>
      <c r="K55" s="2075"/>
      <c r="L55" s="1202" t="str">
        <f>'Part II-Sources of Funds'!L12</f>
        <v>Yes</v>
      </c>
      <c r="M55" s="2075" t="s">
        <v>384</v>
      </c>
      <c r="N55" s="2075"/>
      <c r="O55" s="2075"/>
      <c r="P55" s="2075"/>
      <c r="Q55" s="2075"/>
    </row>
    <row r="56" spans="1:17" ht="13.5">
      <c r="A56" s="2102"/>
      <c r="B56" s="1202" t="str">
        <f>'Part II-Sources of Funds'!B13</f>
        <v>No</v>
      </c>
      <c r="C56" s="2105" t="s">
        <v>385</v>
      </c>
      <c r="D56" s="2075"/>
      <c r="E56" s="1202" t="str">
        <f>'Part II-Sources of Funds'!E13</f>
        <v>Yes</v>
      </c>
      <c r="F56" s="2105" t="s">
        <v>386</v>
      </c>
      <c r="G56" s="2075"/>
      <c r="H56" s="2075" t="str">
        <f>'Part II-Sources of Funds'!H13</f>
        <v>Marietta Housing Authority</v>
      </c>
      <c r="I56" s="2075"/>
      <c r="J56" s="2075"/>
      <c r="K56" s="2075"/>
      <c r="L56" s="1202" t="str">
        <f>'Part II-Sources of Funds'!L13</f>
        <v>No</v>
      </c>
      <c r="M56" s="2075" t="s">
        <v>388</v>
      </c>
      <c r="N56" s="2075"/>
      <c r="O56" s="2075"/>
      <c r="P56" s="2075"/>
      <c r="Q56" s="2075"/>
    </row>
    <row r="57" spans="1:17" ht="13.5">
      <c r="A57" s="2102"/>
      <c r="B57" s="1202" t="str">
        <f>'Part II-Sources of Funds'!B14</f>
        <v>No</v>
      </c>
      <c r="C57" s="2075" t="s">
        <v>389</v>
      </c>
      <c r="D57" s="2075"/>
      <c r="E57" s="1202" t="str">
        <f>'Part II-Sources of Funds'!E14</f>
        <v>No</v>
      </c>
      <c r="F57" s="2105" t="s">
        <v>390</v>
      </c>
      <c r="G57" s="2075"/>
      <c r="H57" s="2075"/>
      <c r="I57" s="2075"/>
      <c r="J57" s="2075"/>
      <c r="K57" s="2075"/>
      <c r="L57" s="1202" t="str">
        <f>'Part II-Sources of Funds'!L14</f>
        <v>No</v>
      </c>
      <c r="M57" s="2075" t="s">
        <v>391</v>
      </c>
      <c r="N57" s="2075"/>
      <c r="O57" s="2075"/>
      <c r="P57" s="2075"/>
      <c r="Q57" s="2075"/>
    </row>
    <row r="58" spans="1:17" ht="13.5">
      <c r="A58" s="2102"/>
      <c r="B58" s="1202" t="str">
        <f>'Part II-Sources of Funds'!B15</f>
        <v>No</v>
      </c>
      <c r="C58" s="2075" t="s">
        <v>392</v>
      </c>
      <c r="D58" s="2075"/>
      <c r="E58" s="1202" t="str">
        <f>'Part II-Sources of Funds'!E15</f>
        <v>No</v>
      </c>
      <c r="F58" s="2105" t="s">
        <v>393</v>
      </c>
      <c r="G58" s="2075"/>
      <c r="H58" s="2075"/>
      <c r="I58" s="2075"/>
      <c r="J58" s="2075"/>
      <c r="K58" s="2075"/>
      <c r="L58" s="1202" t="str">
        <f>'Part II-Sources of Funds'!L15</f>
        <v>No</v>
      </c>
      <c r="M58" s="2127" t="s">
        <v>394</v>
      </c>
      <c r="N58" s="2075"/>
      <c r="O58" s="2075"/>
      <c r="P58" s="2075"/>
      <c r="Q58" s="2075"/>
    </row>
    <row r="59" spans="1:17" ht="13.5">
      <c r="A59" s="2102"/>
      <c r="B59" s="1202" t="str">
        <f>'Part II-Sources of Funds'!B16</f>
        <v>No</v>
      </c>
      <c r="C59" s="2105" t="s">
        <v>395</v>
      </c>
      <c r="D59" s="2075"/>
      <c r="E59" s="1202" t="str">
        <f>'Part II-Sources of Funds'!E16</f>
        <v>No</v>
      </c>
      <c r="F59" s="2105" t="s">
        <v>396</v>
      </c>
      <c r="G59" s="2075"/>
      <c r="H59" s="2075"/>
      <c r="I59" s="2129">
        <f>'Part II-Sources of Funds'!I16</f>
        <v>0</v>
      </c>
      <c r="J59" s="253"/>
      <c r="K59" s="2075"/>
      <c r="L59" s="1202" t="str">
        <f>'Part II-Sources of Funds'!L16</f>
        <v>No</v>
      </c>
      <c r="M59" s="2127" t="s">
        <v>397</v>
      </c>
      <c r="N59" s="2075"/>
      <c r="O59" s="2075"/>
      <c r="P59" s="2075"/>
      <c r="Q59" s="2075"/>
    </row>
    <row r="60" spans="1:17" ht="13.5">
      <c r="A60" s="2102"/>
      <c r="B60" s="2075" t="s">
        <v>398</v>
      </c>
      <c r="C60" s="1380"/>
      <c r="D60" s="1380"/>
      <c r="E60" s="1380"/>
      <c r="F60" s="1380"/>
      <c r="G60" s="1380"/>
      <c r="H60" s="1380"/>
      <c r="I60" s="1380"/>
      <c r="J60" s="1380"/>
      <c r="K60" s="1380"/>
      <c r="L60" s="1380"/>
      <c r="M60" s="2074"/>
      <c r="N60" s="1380"/>
      <c r="O60" s="1380"/>
      <c r="P60" s="1380"/>
      <c r="Q60" s="1380"/>
    </row>
    <row r="61" spans="1:17" ht="13.5">
      <c r="A61" s="2102"/>
      <c r="B61" s="2075"/>
      <c r="C61" s="2075"/>
      <c r="D61" s="2075"/>
      <c r="E61" s="2075"/>
      <c r="F61" s="2075"/>
      <c r="G61" s="2075"/>
      <c r="H61" s="2075"/>
      <c r="I61" s="2075"/>
      <c r="J61" s="2075"/>
      <c r="K61" s="2075"/>
      <c r="L61" s="1380"/>
      <c r="M61" s="272"/>
      <c r="N61" s="1380"/>
      <c r="O61" s="1380"/>
      <c r="P61" s="1380"/>
      <c r="Q61" s="1380"/>
    </row>
    <row r="62" spans="1:17" ht="13.5">
      <c r="A62" s="2101" t="s">
        <v>25</v>
      </c>
      <c r="B62" s="2111" t="s">
        <v>399</v>
      </c>
      <c r="C62" s="1380"/>
      <c r="D62" s="1380"/>
      <c r="E62" s="1380"/>
      <c r="F62" s="1380"/>
      <c r="G62" s="1380"/>
      <c r="H62" s="2076"/>
      <c r="I62" s="2076"/>
      <c r="J62" s="2076"/>
      <c r="K62" s="2076"/>
      <c r="L62" s="1380"/>
      <c r="M62" s="1380"/>
      <c r="N62" s="1380"/>
      <c r="O62" s="1380"/>
      <c r="P62" s="1380"/>
      <c r="Q62" s="1380"/>
    </row>
    <row r="63" spans="1:17" ht="13.5">
      <c r="A63" s="2101"/>
      <c r="B63" s="2111"/>
      <c r="C63" s="1380"/>
      <c r="D63" s="2076"/>
      <c r="E63" s="2076"/>
      <c r="F63" s="2076"/>
      <c r="G63" s="2076"/>
      <c r="H63" s="2076"/>
      <c r="I63" s="2076"/>
      <c r="J63" s="2076"/>
      <c r="K63" s="1380"/>
      <c r="L63" s="1380"/>
      <c r="M63" s="1380"/>
      <c r="N63" s="1202"/>
      <c r="O63" s="1202"/>
      <c r="P63" s="1380"/>
      <c r="Q63" s="1380"/>
    </row>
    <row r="64" spans="1:17">
      <c r="A64" s="1380"/>
      <c r="B64" s="2108" t="s">
        <v>400</v>
      </c>
      <c r="C64" s="1380"/>
      <c r="D64" s="1380"/>
      <c r="E64" s="1380"/>
      <c r="F64" s="1380"/>
      <c r="G64" s="1380"/>
      <c r="H64" s="1380" t="s">
        <v>401</v>
      </c>
      <c r="I64" s="1380"/>
      <c r="J64" s="1380"/>
      <c r="K64" s="1380"/>
      <c r="L64" s="1380" t="s">
        <v>402</v>
      </c>
      <c r="M64" s="1380"/>
      <c r="N64" s="1380" t="s">
        <v>403</v>
      </c>
      <c r="O64" s="1380"/>
      <c r="P64" s="1380" t="s">
        <v>404</v>
      </c>
      <c r="Q64" s="1380"/>
    </row>
    <row r="65" spans="1:17">
      <c r="A65" s="1380"/>
      <c r="B65" s="1380" t="s">
        <v>406</v>
      </c>
      <c r="C65" s="1380"/>
      <c r="D65" s="1380"/>
      <c r="E65" s="1380"/>
      <c r="F65" s="1380"/>
      <c r="G65" s="1380"/>
      <c r="H65" s="1380" t="str">
        <f>'Part II-Sources of Funds'!H22</f>
        <v>Truist Bank</v>
      </c>
      <c r="I65" s="1380"/>
      <c r="J65" s="1380"/>
      <c r="K65" s="1380"/>
      <c r="L65" s="2130">
        <f>'Part II-Sources of Funds'!L22</f>
        <v>13200000</v>
      </c>
      <c r="M65" s="2130"/>
      <c r="N65" s="2131">
        <f>'Part II-Sources of Funds'!N22</f>
        <v>7.2499999999999995E-2</v>
      </c>
      <c r="O65" s="2131"/>
      <c r="P65" s="2132">
        <f>'Part II-Sources of Funds'!P22</f>
        <v>30</v>
      </c>
      <c r="Q65" s="2132"/>
    </row>
    <row r="66" spans="1:17">
      <c r="A66" s="1380"/>
      <c r="B66" s="1380" t="s">
        <v>409</v>
      </c>
      <c r="C66" s="1380"/>
      <c r="D66" s="1380"/>
      <c r="E66" s="1380"/>
      <c r="F66" s="1380"/>
      <c r="G66" s="1380"/>
      <c r="H66" s="1380" t="str">
        <f>'Part II-Sources of Funds'!H23</f>
        <v>Neighborhood Stabilization Program Loan</v>
      </c>
      <c r="I66" s="1380"/>
      <c r="J66" s="1380"/>
      <c r="K66" s="1380"/>
      <c r="L66" s="2130">
        <f>'Part II-Sources of Funds'!L23</f>
        <v>2279916</v>
      </c>
      <c r="M66" s="2130"/>
      <c r="N66" s="2131">
        <f>'Part II-Sources of Funds'!N23</f>
        <v>0.01</v>
      </c>
      <c r="O66" s="2131"/>
      <c r="P66" s="2132">
        <f>'Part II-Sources of Funds'!P23</f>
        <v>24</v>
      </c>
      <c r="Q66" s="2132"/>
    </row>
    <row r="67" spans="1:17">
      <c r="A67" s="1380"/>
      <c r="B67" s="1380" t="s">
        <v>412</v>
      </c>
      <c r="C67" s="1380"/>
      <c r="D67" s="1380"/>
      <c r="E67" s="1380"/>
      <c r="F67" s="1380"/>
      <c r="G67" s="1380"/>
      <c r="H67" s="1380">
        <f>'Part II-Sources of Funds'!H24</f>
        <v>0</v>
      </c>
      <c r="I67" s="1380"/>
      <c r="J67" s="1380"/>
      <c r="K67" s="1380"/>
      <c r="L67" s="2130">
        <f>'Part II-Sources of Funds'!L24</f>
        <v>0</v>
      </c>
      <c r="M67" s="2130"/>
      <c r="N67" s="2131">
        <f>'Part II-Sources of Funds'!N24</f>
        <v>0</v>
      </c>
      <c r="O67" s="2131"/>
      <c r="P67" s="2132">
        <f>'Part II-Sources of Funds'!P24</f>
        <v>0</v>
      </c>
      <c r="Q67" s="2132"/>
    </row>
    <row r="68" spans="1:17">
      <c r="A68" s="1380"/>
      <c r="B68" s="1380" t="s">
        <v>414</v>
      </c>
      <c r="C68" s="1380"/>
      <c r="D68" s="1380"/>
      <c r="E68" s="1380"/>
      <c r="F68" s="1380"/>
      <c r="G68" s="1380"/>
      <c r="H68" s="1380">
        <f>'Part II-Sources of Funds'!H25</f>
        <v>0</v>
      </c>
      <c r="I68" s="1380"/>
      <c r="J68" s="1380"/>
      <c r="K68" s="1380"/>
      <c r="L68" s="2130">
        <f>'Part II-Sources of Funds'!L25</f>
        <v>0</v>
      </c>
      <c r="M68" s="2130"/>
      <c r="N68" s="2131"/>
      <c r="O68" s="2131"/>
      <c r="P68" s="1380"/>
      <c r="Q68" s="1380"/>
    </row>
    <row r="69" spans="1:17" ht="13.5">
      <c r="A69" s="1380"/>
      <c r="B69" s="1380" t="s">
        <v>416</v>
      </c>
      <c r="C69" s="1380"/>
      <c r="D69" s="1380"/>
      <c r="E69" s="1380"/>
      <c r="F69" s="2075"/>
      <c r="G69" s="2075"/>
      <c r="H69" s="1380">
        <f>'Part II-Sources of Funds'!H26</f>
        <v>0</v>
      </c>
      <c r="I69" s="1380"/>
      <c r="J69" s="1380"/>
      <c r="K69" s="1380"/>
      <c r="L69" s="2130">
        <f>'Part II-Sources of Funds'!L26</f>
        <v>0</v>
      </c>
      <c r="M69" s="2130"/>
      <c r="N69" s="2131"/>
      <c r="O69" s="2131"/>
      <c r="P69" s="1380"/>
      <c r="Q69" s="1380"/>
    </row>
    <row r="70" spans="1:17" ht="13.5">
      <c r="A70" s="1380"/>
      <c r="B70" s="1380" t="s">
        <v>418</v>
      </c>
      <c r="C70" s="1380"/>
      <c r="D70" s="1380"/>
      <c r="E70" s="1380"/>
      <c r="F70" s="2075"/>
      <c r="G70" s="2075"/>
      <c r="H70" s="1380">
        <f>'Part II-Sources of Funds'!H27</f>
        <v>0</v>
      </c>
      <c r="I70" s="1380"/>
      <c r="J70" s="1380"/>
      <c r="K70" s="1380"/>
      <c r="L70" s="2130">
        <f>'Part II-Sources of Funds'!L27</f>
        <v>0</v>
      </c>
      <c r="M70" s="2130"/>
      <c r="N70" s="2131"/>
      <c r="O70" s="2131"/>
      <c r="P70" s="1380"/>
      <c r="Q70" s="1380"/>
    </row>
    <row r="71" spans="1:17" ht="13.5">
      <c r="A71" s="1380"/>
      <c r="B71" s="1380" t="s">
        <v>420</v>
      </c>
      <c r="C71" s="1380"/>
      <c r="D71" s="1380"/>
      <c r="E71" s="1380"/>
      <c r="F71" s="2075"/>
      <c r="G71" s="2075"/>
      <c r="H71" s="1380" t="str">
        <f>'Part II-Sources of Funds'!H28</f>
        <v>Truist Community Capital</v>
      </c>
      <c r="I71" s="1380"/>
      <c r="J71" s="1380"/>
      <c r="K71" s="1380"/>
      <c r="L71" s="2130">
        <f>'Part II-Sources of Funds'!L28</f>
        <v>7769223</v>
      </c>
      <c r="M71" s="2130"/>
      <c r="N71" s="1380"/>
      <c r="O71" s="2075"/>
      <c r="P71" s="2075"/>
      <c r="Q71" s="1380"/>
    </row>
    <row r="72" spans="1:17" ht="13.5">
      <c r="A72" s="1380"/>
      <c r="B72" s="1380" t="s">
        <v>423</v>
      </c>
      <c r="C72" s="1380"/>
      <c r="D72" s="1380"/>
      <c r="E72" s="1380"/>
      <c r="F72" s="2075"/>
      <c r="G72" s="2075"/>
      <c r="H72" s="1380" t="str">
        <f>'Part II-Sources of Funds'!H29</f>
        <v>Truist Community Capital</v>
      </c>
      <c r="I72" s="1380"/>
      <c r="J72" s="1380"/>
      <c r="K72" s="1380"/>
      <c r="L72" s="2130">
        <f>'Part II-Sources of Funds'!L29</f>
        <v>4856250</v>
      </c>
      <c r="M72" s="2130"/>
      <c r="N72" s="1380"/>
      <c r="O72" s="2075"/>
      <c r="P72" s="2075"/>
      <c r="Q72" s="1380"/>
    </row>
    <row r="73" spans="1:17" ht="13.5">
      <c r="A73" s="1380"/>
      <c r="B73" s="1380" t="s">
        <v>425</v>
      </c>
      <c r="C73" s="1380"/>
      <c r="D73" s="1380">
        <f>'Part II-Sources of Funds'!D30</f>
        <v>0</v>
      </c>
      <c r="E73" s="1380"/>
      <c r="F73" s="1380"/>
      <c r="G73" s="1380"/>
      <c r="H73" s="1380">
        <f>'Part II-Sources of Funds'!H30</f>
        <v>0</v>
      </c>
      <c r="I73" s="1380"/>
      <c r="J73" s="1380"/>
      <c r="K73" s="1380"/>
      <c r="L73" s="2130">
        <f>'Part II-Sources of Funds'!L30</f>
        <v>0</v>
      </c>
      <c r="M73" s="2130"/>
      <c r="N73" s="1380"/>
      <c r="O73" s="2075"/>
      <c r="P73" s="2075"/>
      <c r="Q73" s="1380"/>
    </row>
    <row r="74" spans="1:17" ht="13.5">
      <c r="A74" s="1380"/>
      <c r="B74" s="1380" t="s">
        <v>425</v>
      </c>
      <c r="C74" s="1380"/>
      <c r="D74" s="1380">
        <f>'Part II-Sources of Funds'!D31</f>
        <v>0</v>
      </c>
      <c r="E74" s="1380"/>
      <c r="F74" s="1380"/>
      <c r="G74" s="1380"/>
      <c r="H74" s="1380">
        <f>'Part II-Sources of Funds'!H31</f>
        <v>0</v>
      </c>
      <c r="I74" s="1380"/>
      <c r="J74" s="1380"/>
      <c r="K74" s="1380"/>
      <c r="L74" s="2130">
        <f>'Part II-Sources of Funds'!L31</f>
        <v>0</v>
      </c>
      <c r="M74" s="2130"/>
      <c r="N74" s="1380"/>
      <c r="O74" s="2075"/>
      <c r="P74" s="2075"/>
      <c r="Q74" s="2075"/>
    </row>
    <row r="75" spans="1:17" ht="13.5">
      <c r="A75" s="1380"/>
      <c r="B75" s="1380" t="s">
        <v>425</v>
      </c>
      <c r="C75" s="1380"/>
      <c r="D75" s="1380">
        <f>'Part II-Sources of Funds'!D32</f>
        <v>0</v>
      </c>
      <c r="E75" s="1380"/>
      <c r="F75" s="1380"/>
      <c r="G75" s="1380"/>
      <c r="H75" s="1380">
        <f>'Part II-Sources of Funds'!H32</f>
        <v>0</v>
      </c>
      <c r="I75" s="1380"/>
      <c r="J75" s="1380"/>
      <c r="K75" s="1380"/>
      <c r="L75" s="2130">
        <f>'Part II-Sources of Funds'!L32</f>
        <v>0</v>
      </c>
      <c r="M75" s="2130"/>
      <c r="N75" s="1380"/>
      <c r="O75" s="2075"/>
      <c r="P75" s="2075"/>
      <c r="Q75" s="2075"/>
    </row>
    <row r="76" spans="1:17" ht="13.5">
      <c r="A76" s="1380"/>
      <c r="B76" s="2111" t="s">
        <v>428</v>
      </c>
      <c r="C76" s="1380"/>
      <c r="D76" s="1380"/>
      <c r="E76" s="1380"/>
      <c r="F76" s="1380"/>
      <c r="G76" s="1380"/>
      <c r="H76" s="1380"/>
      <c r="I76" s="1380"/>
      <c r="J76" s="2075"/>
      <c r="K76" s="2075"/>
      <c r="L76" s="2133">
        <f>SUM(L65:L75)</f>
        <v>28105389</v>
      </c>
      <c r="M76" s="2133"/>
      <c r="N76" s="272"/>
      <c r="O76" s="2075"/>
      <c r="P76" s="2075"/>
      <c r="Q76" s="2075"/>
    </row>
    <row r="77" spans="1:17" ht="13.5">
      <c r="A77" s="1380"/>
      <c r="B77" s="2108" t="s">
        <v>429</v>
      </c>
      <c r="C77" s="1380"/>
      <c r="D77" s="1380"/>
      <c r="E77" s="1380"/>
      <c r="F77" s="1380"/>
      <c r="G77" s="1380"/>
      <c r="H77" s="1380"/>
      <c r="I77" s="1380"/>
      <c r="J77" s="2075"/>
      <c r="K77" s="2075"/>
      <c r="L77" s="2133">
        <f>'Part II-Sources of Funds'!L34</f>
        <v>20462023</v>
      </c>
      <c r="M77" s="2133"/>
      <c r="N77" s="272"/>
      <c r="O77" s="2075"/>
      <c r="P77" s="2075"/>
      <c r="Q77" s="2075"/>
    </row>
    <row r="78" spans="1:17" ht="13.5">
      <c r="A78" s="1380"/>
      <c r="B78" s="2108" t="s">
        <v>430</v>
      </c>
      <c r="C78" s="1380"/>
      <c r="D78" s="1380"/>
      <c r="E78" s="1380"/>
      <c r="F78" s="1380"/>
      <c r="G78" s="1380"/>
      <c r="H78" s="1380"/>
      <c r="I78" s="1380"/>
      <c r="J78" s="2075"/>
      <c r="K78" s="2075"/>
      <c r="L78" s="2134">
        <f>L76-L77</f>
        <v>7643366</v>
      </c>
      <c r="M78" s="2134"/>
      <c r="N78" s="272"/>
      <c r="O78" s="2075"/>
      <c r="P78" s="2075"/>
      <c r="Q78" s="2075"/>
    </row>
    <row r="79" spans="1:17" ht="13.5">
      <c r="A79" s="271"/>
      <c r="B79" s="2111"/>
      <c r="C79" s="272"/>
      <c r="D79" s="272"/>
      <c r="E79" s="272"/>
      <c r="F79" s="272"/>
      <c r="G79" s="272"/>
      <c r="H79" s="272"/>
      <c r="I79" s="272"/>
      <c r="J79" s="272"/>
      <c r="K79" s="272"/>
      <c r="L79" s="272"/>
      <c r="M79" s="1202"/>
      <c r="N79" s="1202"/>
      <c r="O79" s="2074"/>
      <c r="P79" s="2074"/>
      <c r="Q79" s="2074"/>
    </row>
    <row r="80" spans="1:17" ht="13.5">
      <c r="A80" s="2101" t="s">
        <v>32</v>
      </c>
      <c r="B80" s="2111" t="s">
        <v>431</v>
      </c>
      <c r="C80" s="272"/>
      <c r="D80" s="272"/>
      <c r="E80" s="272"/>
      <c r="F80" s="272"/>
      <c r="G80" s="272"/>
      <c r="H80" s="272"/>
      <c r="I80" s="272"/>
      <c r="J80" s="272"/>
      <c r="K80" s="272"/>
      <c r="L80" s="272"/>
      <c r="M80" s="1202"/>
      <c r="N80" s="1202"/>
      <c r="O80" s="272"/>
      <c r="P80" s="2074"/>
      <c r="Q80" s="2074"/>
    </row>
    <row r="81" spans="1:17" ht="12.95" customHeight="1">
      <c r="A81" s="1380"/>
      <c r="B81" s="1380"/>
      <c r="C81" s="1380"/>
      <c r="D81" s="1380"/>
      <c r="E81" s="1380"/>
      <c r="F81" s="1202"/>
      <c r="G81" s="1202"/>
      <c r="H81" s="1380"/>
      <c r="I81" s="1380"/>
      <c r="J81" s="2075"/>
      <c r="K81" s="1255" t="s">
        <v>432</v>
      </c>
      <c r="L81" s="1202" t="s">
        <v>433</v>
      </c>
      <c r="M81" s="1202" t="s">
        <v>434</v>
      </c>
      <c r="N81" s="2075"/>
      <c r="O81" s="2075"/>
      <c r="P81" s="272" t="s">
        <v>435</v>
      </c>
      <c r="Q81" s="272"/>
    </row>
    <row r="82" spans="1:17">
      <c r="A82" s="1380"/>
      <c r="B82" s="2108" t="s">
        <v>400</v>
      </c>
      <c r="C82" s="1380"/>
      <c r="D82" s="1380"/>
      <c r="E82" s="1380" t="s">
        <v>401</v>
      </c>
      <c r="F82" s="1380"/>
      <c r="G82" s="1380"/>
      <c r="H82" s="1380"/>
      <c r="I82" s="1380" t="s">
        <v>436</v>
      </c>
      <c r="J82" s="1380"/>
      <c r="K82" s="1202" t="s">
        <v>437</v>
      </c>
      <c r="L82" s="1202" t="s">
        <v>438</v>
      </c>
      <c r="M82" s="1202" t="s">
        <v>438</v>
      </c>
      <c r="N82" s="1380" t="s">
        <v>439</v>
      </c>
      <c r="O82" s="1380"/>
      <c r="P82" s="272"/>
      <c r="Q82" s="272"/>
    </row>
    <row r="83" spans="1:17">
      <c r="A83" s="1380"/>
      <c r="B83" s="1380" t="s">
        <v>441</v>
      </c>
      <c r="C83" s="1380"/>
      <c r="D83" s="1380"/>
      <c r="E83" s="1380" t="str">
        <f>'Part II-Sources of Funds'!E40</f>
        <v>Truist Bank</v>
      </c>
      <c r="F83" s="1380"/>
      <c r="G83" s="1380"/>
      <c r="H83" s="1380"/>
      <c r="I83" s="2135">
        <f>'Part II-Sources of Funds'!I40</f>
        <v>3110008</v>
      </c>
      <c r="J83" s="1380"/>
      <c r="K83" s="2136">
        <f>'Part II-Sources of Funds'!K40</f>
        <v>6.7500000000000004E-2</v>
      </c>
      <c r="L83" s="1202">
        <f>'Part II-Sources of Funds'!L40</f>
        <v>15</v>
      </c>
      <c r="M83" s="1202">
        <f>'Part II-Sources of Funds'!M40</f>
        <v>35</v>
      </c>
      <c r="N83" s="1380" t="str">
        <f>'Part II-Sources of Funds'!N40</f>
        <v>Amortizing</v>
      </c>
      <c r="O83" s="1380"/>
      <c r="P83" s="2137">
        <f>'Part II-Sources of Funds'!P40</f>
        <v>231913.23633240676</v>
      </c>
      <c r="Q83" s="2137"/>
    </row>
    <row r="84" spans="1:17">
      <c r="A84" s="1380"/>
      <c r="B84" s="1380" t="s">
        <v>444</v>
      </c>
      <c r="C84" s="1380"/>
      <c r="D84" s="1380"/>
      <c r="E84" s="1380" t="str">
        <f>'Part II-Sources of Funds'!E41</f>
        <v>Neighborhood Stabilization Program Loan</v>
      </c>
      <c r="F84" s="1380"/>
      <c r="G84" s="1380"/>
      <c r="H84" s="1380"/>
      <c r="I84" s="2135">
        <f>'Part II-Sources of Funds'!I41</f>
        <v>2279916</v>
      </c>
      <c r="J84" s="1380"/>
      <c r="K84" s="2136">
        <f>'Part II-Sources of Funds'!K41</f>
        <v>0.01</v>
      </c>
      <c r="L84" s="1202">
        <f>'Part II-Sources of Funds'!L41</f>
        <v>20</v>
      </c>
      <c r="M84" s="1202" t="str">
        <f>'Part II-Sources of Funds'!M41</f>
        <v>N/A</v>
      </c>
      <c r="N84" s="1380" t="str">
        <f>'Part II-Sources of Funds'!N41</f>
        <v>Cash Flow</v>
      </c>
      <c r="O84" s="1380"/>
      <c r="P84" s="2137">
        <f>'Part II-Sources of Funds'!P41</f>
        <v>0</v>
      </c>
      <c r="Q84" s="2137"/>
    </row>
    <row r="85" spans="1:17">
      <c r="A85" s="1380"/>
      <c r="B85" s="1380" t="s">
        <v>448</v>
      </c>
      <c r="C85" s="1380"/>
      <c r="D85" s="1380"/>
      <c r="E85" s="1380">
        <f>'Part II-Sources of Funds'!E42</f>
        <v>0</v>
      </c>
      <c r="F85" s="1380"/>
      <c r="G85" s="1380"/>
      <c r="H85" s="1380"/>
      <c r="I85" s="2135">
        <f>'Part II-Sources of Funds'!I42</f>
        <v>0</v>
      </c>
      <c r="J85" s="1380"/>
      <c r="K85" s="2136">
        <f>'Part II-Sources of Funds'!K42</f>
        <v>0</v>
      </c>
      <c r="L85" s="1202">
        <f>'Part II-Sources of Funds'!L42</f>
        <v>0</v>
      </c>
      <c r="M85" s="1202">
        <f>'Part II-Sources of Funds'!M42</f>
        <v>0</v>
      </c>
      <c r="N85" s="1380">
        <f>'Part II-Sources of Funds'!N42</f>
        <v>0</v>
      </c>
      <c r="O85" s="1380"/>
      <c r="P85" s="2137" t="str">
        <f>'Part II-Sources of Funds'!P42</f>
        <v/>
      </c>
      <c r="Q85" s="2137"/>
    </row>
    <row r="86" spans="1:17">
      <c r="A86" s="1380"/>
      <c r="B86" s="1380" t="s">
        <v>450</v>
      </c>
      <c r="C86" s="1380">
        <f>'Part II-Sources of Funds'!C43</f>
        <v>0</v>
      </c>
      <c r="D86" s="1380"/>
      <c r="E86" s="1380">
        <f>'Part II-Sources of Funds'!E43</f>
        <v>0</v>
      </c>
      <c r="F86" s="1380"/>
      <c r="G86" s="1380"/>
      <c r="H86" s="1380"/>
      <c r="I86" s="2135">
        <f>'Part II-Sources of Funds'!I43</f>
        <v>0</v>
      </c>
      <c r="J86" s="1380"/>
      <c r="K86" s="2136">
        <f>'Part II-Sources of Funds'!K43</f>
        <v>0</v>
      </c>
      <c r="L86" s="1202">
        <f>'Part II-Sources of Funds'!L43</f>
        <v>0</v>
      </c>
      <c r="M86" s="1202">
        <f>'Part II-Sources of Funds'!M43</f>
        <v>0</v>
      </c>
      <c r="N86" s="1380">
        <f>'Part II-Sources of Funds'!N43</f>
        <v>0</v>
      </c>
      <c r="O86" s="1380"/>
      <c r="P86" s="2137" t="str">
        <f>'Part II-Sources of Funds'!P43</f>
        <v/>
      </c>
      <c r="Q86" s="2137"/>
    </row>
    <row r="87" spans="1:17">
      <c r="A87" s="1380"/>
      <c r="B87" s="1380" t="s">
        <v>452</v>
      </c>
      <c r="C87" s="1380"/>
      <c r="D87" s="1380"/>
      <c r="E87" s="1380">
        <f>'Part II-Sources of Funds'!E44</f>
        <v>0</v>
      </c>
      <c r="F87" s="1380"/>
      <c r="G87" s="1380"/>
      <c r="H87" s="1380"/>
      <c r="I87" s="2135">
        <f>'Part II-Sources of Funds'!I44</f>
        <v>0</v>
      </c>
      <c r="J87" s="1380"/>
      <c r="K87" s="2136"/>
      <c r="L87" s="1202"/>
      <c r="M87" s="1202"/>
      <c r="N87" s="1380"/>
      <c r="O87" s="1380"/>
      <c r="P87" s="2137"/>
      <c r="Q87" s="2137"/>
    </row>
    <row r="88" spans="1:17">
      <c r="A88" s="1380"/>
      <c r="B88" s="1380" t="s">
        <v>454</v>
      </c>
      <c r="C88" s="1380"/>
      <c r="D88" s="2138">
        <f>'Part II-Sources of Funds'!D45</f>
        <v>4.2437137330754351E-3</v>
      </c>
      <c r="E88" s="1380" t="str">
        <f>'Part II-Sources of Funds'!E45</f>
        <v>Prestwick Development Company, LLC</v>
      </c>
      <c r="F88" s="1380"/>
      <c r="G88" s="1380"/>
      <c r="H88" s="1380"/>
      <c r="I88" s="2135">
        <f>'Part II-Sources of Funds'!I45</f>
        <v>6582</v>
      </c>
      <c r="J88" s="1380"/>
      <c r="K88" s="2136">
        <f>'Part II-Sources of Funds'!K45</f>
        <v>0</v>
      </c>
      <c r="L88" s="1202">
        <f>'Part II-Sources of Funds'!L45</f>
        <v>1</v>
      </c>
      <c r="M88" s="1202" t="str">
        <f>'Part II-Sources of Funds'!M45</f>
        <v>N/A</v>
      </c>
      <c r="N88" s="1380" t="str">
        <f>'Part II-Sources of Funds'!N45</f>
        <v>Cash Flow</v>
      </c>
      <c r="O88" s="1380"/>
      <c r="P88" s="2137">
        <f>'Part II-Sources of Funds'!P45</f>
        <v>0</v>
      </c>
      <c r="Q88" s="2137"/>
    </row>
    <row r="89" spans="1:17" ht="13.5">
      <c r="A89" s="1380"/>
      <c r="B89" s="1380"/>
      <c r="C89" s="1380"/>
      <c r="D89" s="1380"/>
      <c r="E89" s="1380"/>
      <c r="F89" s="1380"/>
      <c r="G89" s="1380"/>
      <c r="H89" s="1380"/>
      <c r="I89" s="2139"/>
      <c r="J89" s="2140"/>
      <c r="K89" s="2136"/>
      <c r="L89" s="1202"/>
      <c r="M89" s="1202"/>
      <c r="N89" s="2141"/>
      <c r="O89" s="2141"/>
      <c r="P89" s="1202"/>
      <c r="Q89" s="1202"/>
    </row>
    <row r="90" spans="1:17" ht="13.5">
      <c r="A90" s="1380"/>
      <c r="B90" s="2075" t="s">
        <v>455</v>
      </c>
      <c r="C90" s="1380"/>
      <c r="D90" s="2075"/>
      <c r="E90" s="2075" t="s">
        <v>456</v>
      </c>
      <c r="F90" s="2142">
        <f>'Part II-Sources of Funds'!F47</f>
        <v>62034.330067593255</v>
      </c>
      <c r="G90" s="2075"/>
      <c r="H90" s="2143" t="s">
        <v>457</v>
      </c>
      <c r="I90" s="2142">
        <f>'Part II-Sources of Funds'!I47</f>
        <v>6582</v>
      </c>
      <c r="J90" s="2075"/>
      <c r="K90" s="2143" t="s">
        <v>458</v>
      </c>
      <c r="L90" s="2144">
        <f>'Part II-Sources of Funds'!L47</f>
        <v>0.10610254020359669</v>
      </c>
      <c r="M90" s="2144"/>
      <c r="N90" s="2137" t="s">
        <v>459</v>
      </c>
      <c r="O90" s="2137"/>
      <c r="P90" s="1381">
        <f>'Part II-Sources of Funds'!P47</f>
        <v>0</v>
      </c>
      <c r="Q90" s="1381"/>
    </row>
    <row r="91" spans="1:17" ht="13.5">
      <c r="A91" s="1380"/>
      <c r="B91" s="1380"/>
      <c r="C91" s="1380"/>
      <c r="D91" s="1380"/>
      <c r="E91" s="1380"/>
      <c r="F91" s="1380"/>
      <c r="G91" s="1380"/>
      <c r="H91" s="1380"/>
      <c r="I91" s="2139"/>
      <c r="J91" s="2140"/>
      <c r="K91" s="2136"/>
      <c r="L91" s="1202"/>
      <c r="M91" s="1202"/>
      <c r="N91" s="2141"/>
      <c r="O91" s="2141"/>
      <c r="P91" s="1202"/>
      <c r="Q91" s="1202"/>
    </row>
    <row r="92" spans="1:17">
      <c r="A92" s="1380"/>
      <c r="B92" s="1380" t="s">
        <v>414</v>
      </c>
      <c r="C92" s="1380"/>
      <c r="D92" s="1380"/>
      <c r="E92" s="1380">
        <f>'Part II-Sources of Funds'!E49</f>
        <v>0</v>
      </c>
      <c r="F92" s="1380"/>
      <c r="G92" s="1380"/>
      <c r="H92" s="1380"/>
      <c r="I92" s="2135">
        <f>'Part II-Sources of Funds'!I49</f>
        <v>0</v>
      </c>
      <c r="J92" s="1380"/>
      <c r="K92" s="1380"/>
      <c r="L92" s="1380"/>
      <c r="M92" s="1380"/>
      <c r="N92" s="1380"/>
      <c r="O92" s="1380"/>
      <c r="P92" s="1202" t="s">
        <v>461</v>
      </c>
      <c r="Q92" s="1380"/>
    </row>
    <row r="93" spans="1:17" ht="13.5">
      <c r="A93" s="1380"/>
      <c r="B93" s="1380" t="s">
        <v>416</v>
      </c>
      <c r="C93" s="1380"/>
      <c r="D93" s="1380"/>
      <c r="E93" s="1380">
        <f>'Part II-Sources of Funds'!E50</f>
        <v>0</v>
      </c>
      <c r="F93" s="1380"/>
      <c r="G93" s="1380"/>
      <c r="H93" s="1380"/>
      <c r="I93" s="2135">
        <f>'Part II-Sources of Funds'!I50</f>
        <v>0</v>
      </c>
      <c r="J93" s="1380"/>
      <c r="K93" s="2075"/>
      <c r="L93" s="2145" t="s">
        <v>463</v>
      </c>
      <c r="M93" s="2145"/>
      <c r="N93" s="2146" t="s">
        <v>464</v>
      </c>
      <c r="O93" s="2146"/>
      <c r="P93" s="2147" t="s">
        <v>465</v>
      </c>
      <c r="Q93" s="1380"/>
    </row>
    <row r="94" spans="1:17" ht="13.5">
      <c r="A94" s="1380"/>
      <c r="B94" s="1380" t="s">
        <v>420</v>
      </c>
      <c r="C94" s="1380"/>
      <c r="D94" s="1380"/>
      <c r="E94" s="1380" t="str">
        <f>'Part II-Sources of Funds'!E51</f>
        <v>Truist Community Capital</v>
      </c>
      <c r="F94" s="1380"/>
      <c r="G94" s="1380"/>
      <c r="H94" s="1380"/>
      <c r="I94" s="2135">
        <f>'Part II-Sources of Funds'!I51</f>
        <v>10358964</v>
      </c>
      <c r="J94" s="1380"/>
      <c r="K94" s="2075"/>
      <c r="L94" s="2148">
        <f>'Part III-A-Uses of Funds'!$J$191*10*'Part III-A-Uses of Funds'!$N$182</f>
        <v>10360000</v>
      </c>
      <c r="M94" s="2148"/>
      <c r="N94" s="2149">
        <f>I94-L94</f>
        <v>-1036</v>
      </c>
      <c r="O94" s="2149"/>
      <c r="P94" s="2150">
        <f>I94/I104</f>
        <v>0.46598043136289968</v>
      </c>
      <c r="Q94" s="1380"/>
    </row>
    <row r="95" spans="1:17" ht="13.5">
      <c r="A95" s="1380"/>
      <c r="B95" s="1380" t="s">
        <v>423</v>
      </c>
      <c r="C95" s="1380"/>
      <c r="D95" s="1380"/>
      <c r="E95" s="1380" t="str">
        <f>'Part II-Sources of Funds'!E52</f>
        <v>Truist Community Capital</v>
      </c>
      <c r="F95" s="1380"/>
      <c r="G95" s="1380"/>
      <c r="H95" s="1380"/>
      <c r="I95" s="2135">
        <f>'Part II-Sources of Funds'!I52</f>
        <v>6475000</v>
      </c>
      <c r="J95" s="1380"/>
      <c r="K95" s="2075"/>
      <c r="L95" s="2148">
        <f>'Part III-A-Uses of Funds'!$J$191*10*'Part III-A-Uses of Funds'!$Q$182</f>
        <v>6475000</v>
      </c>
      <c r="M95" s="2148"/>
      <c r="N95" s="2149">
        <f>I95-L95</f>
        <v>0</v>
      </c>
      <c r="O95" s="2149"/>
      <c r="P95" s="2150">
        <f>I95/I104</f>
        <v>0.29126689629144142</v>
      </c>
      <c r="Q95" s="1380"/>
    </row>
    <row r="96" spans="1:17" ht="13.5">
      <c r="A96" s="1380"/>
      <c r="B96" s="1380" t="s">
        <v>469</v>
      </c>
      <c r="C96" s="1380"/>
      <c r="D96" s="1380"/>
      <c r="E96" s="1380">
        <f>'Part II-Sources of Funds'!E53</f>
        <v>0</v>
      </c>
      <c r="F96" s="1380"/>
      <c r="G96" s="1380"/>
      <c r="H96" s="1380"/>
      <c r="I96" s="2135">
        <f>'Part II-Sources of Funds'!I53</f>
        <v>0</v>
      </c>
      <c r="J96" s="1380"/>
      <c r="K96" s="2075"/>
      <c r="L96" s="2075"/>
      <c r="M96" s="2075"/>
      <c r="N96" s="2075"/>
      <c r="O96" s="2075"/>
      <c r="P96" s="2150">
        <f>SUM(P94:P95)</f>
        <v>0.75724732765434111</v>
      </c>
      <c r="Q96" s="1380"/>
    </row>
    <row r="97" spans="1:20" ht="13.5">
      <c r="A97" s="1380"/>
      <c r="B97" s="1380" t="s">
        <v>470</v>
      </c>
      <c r="C97" s="1380"/>
      <c r="D97" s="1380"/>
      <c r="E97" s="1380">
        <f>'Part II-Sources of Funds'!E54</f>
        <v>0</v>
      </c>
      <c r="F97" s="1380"/>
      <c r="G97" s="1380"/>
      <c r="H97" s="1380"/>
      <c r="I97" s="2135">
        <f>'Part II-Sources of Funds'!I54</f>
        <v>0</v>
      </c>
      <c r="J97" s="1380"/>
      <c r="K97" s="1380"/>
      <c r="L97" s="2075"/>
      <c r="M97" s="2075"/>
      <c r="N97" s="2075"/>
      <c r="O97" s="2075"/>
      <c r="P97" s="2075"/>
      <c r="Q97" s="1380"/>
    </row>
    <row r="98" spans="1:20" ht="13.5">
      <c r="A98" s="1380"/>
      <c r="B98" s="1380" t="s">
        <v>471</v>
      </c>
      <c r="C98" s="1380"/>
      <c r="D98" s="1380"/>
      <c r="E98" s="1380">
        <f>'Part II-Sources of Funds'!E55</f>
        <v>0</v>
      </c>
      <c r="F98" s="1380"/>
      <c r="G98" s="1380"/>
      <c r="H98" s="1380"/>
      <c r="I98" s="2135">
        <f>'Part II-Sources of Funds'!I55</f>
        <v>0</v>
      </c>
      <c r="J98" s="1380"/>
      <c r="K98" s="2075"/>
      <c r="L98" s="2075"/>
      <c r="M98" s="2075"/>
      <c r="N98" s="1380"/>
      <c r="O98" s="1380"/>
      <c r="P98" s="1380"/>
      <c r="Q98" s="1380"/>
    </row>
    <row r="99" spans="1:20" ht="13.5">
      <c r="A99" s="1380"/>
      <c r="B99" s="1380" t="s">
        <v>472</v>
      </c>
      <c r="C99" s="1380"/>
      <c r="D99" s="1380"/>
      <c r="E99" s="1380">
        <f>'Part II-Sources of Funds'!E56</f>
        <v>0</v>
      </c>
      <c r="F99" s="1380"/>
      <c r="G99" s="1380"/>
      <c r="H99" s="1380"/>
      <c r="I99" s="2135">
        <f>'Part II-Sources of Funds'!I56</f>
        <v>0</v>
      </c>
      <c r="J99" s="1380"/>
      <c r="K99" s="2075"/>
      <c r="L99" s="2075"/>
      <c r="M99" s="1380"/>
      <c r="N99" s="1380"/>
      <c r="O99" s="1380"/>
      <c r="P99" s="1380"/>
      <c r="Q99" s="1380"/>
    </row>
    <row r="100" spans="1:20" ht="13.5">
      <c r="A100" s="1380"/>
      <c r="B100" s="1380" t="s">
        <v>450</v>
      </c>
      <c r="C100" s="1380">
        <f>'Part II-Sources of Funds'!C57</f>
        <v>0</v>
      </c>
      <c r="D100" s="1380"/>
      <c r="E100" s="1380">
        <f>'Part II-Sources of Funds'!E57</f>
        <v>0</v>
      </c>
      <c r="F100" s="1380"/>
      <c r="G100" s="1380"/>
      <c r="H100" s="1380"/>
      <c r="I100" s="2135">
        <f>'Part II-Sources of Funds'!I57</f>
        <v>0</v>
      </c>
      <c r="J100" s="1380"/>
      <c r="K100" s="2075"/>
      <c r="L100" s="2075"/>
      <c r="M100" s="1380"/>
      <c r="N100" s="1380"/>
      <c r="O100" s="1380"/>
      <c r="P100" s="1380"/>
      <c r="Q100" s="1380"/>
    </row>
    <row r="101" spans="1:20">
      <c r="A101" s="1380"/>
      <c r="B101" s="1380" t="s">
        <v>450</v>
      </c>
      <c r="C101" s="1380">
        <f>'Part II-Sources of Funds'!C58</f>
        <v>0</v>
      </c>
      <c r="D101" s="1380"/>
      <c r="E101" s="1380">
        <f>'Part II-Sources of Funds'!E58</f>
        <v>0</v>
      </c>
      <c r="F101" s="1380"/>
      <c r="G101" s="1380"/>
      <c r="H101" s="1380"/>
      <c r="I101" s="2135">
        <f>'Part II-Sources of Funds'!I58</f>
        <v>0</v>
      </c>
      <c r="J101" s="1380"/>
      <c r="K101" s="1380"/>
      <c r="L101" s="1202"/>
      <c r="M101" s="1380"/>
      <c r="N101" s="1380"/>
      <c r="O101" s="1380"/>
      <c r="P101" s="1380"/>
      <c r="Q101" s="1380"/>
    </row>
    <row r="102" spans="1:20">
      <c r="A102" s="1380"/>
      <c r="B102" s="1380" t="s">
        <v>450</v>
      </c>
      <c r="C102" s="1380">
        <f>'Part II-Sources of Funds'!C59</f>
        <v>0</v>
      </c>
      <c r="D102" s="1380"/>
      <c r="E102" s="1380">
        <f>'Part II-Sources of Funds'!E59</f>
        <v>0</v>
      </c>
      <c r="F102" s="1380"/>
      <c r="G102" s="1380"/>
      <c r="H102" s="1380"/>
      <c r="I102" s="2135">
        <f>'Part II-Sources of Funds'!I59</f>
        <v>0</v>
      </c>
      <c r="J102" s="1380"/>
      <c r="K102" s="1380"/>
      <c r="L102" s="1202"/>
      <c r="M102" s="1380"/>
      <c r="N102" s="1380"/>
      <c r="O102" s="1380"/>
      <c r="P102" s="1380"/>
      <c r="Q102" s="1380"/>
    </row>
    <row r="103" spans="1:20" ht="13.5">
      <c r="A103" s="1380"/>
      <c r="B103" s="2108" t="s">
        <v>476</v>
      </c>
      <c r="C103" s="1380"/>
      <c r="D103" s="1380"/>
      <c r="E103" s="1380"/>
      <c r="F103" s="1380"/>
      <c r="G103" s="1380"/>
      <c r="H103" s="2075"/>
      <c r="I103" s="2133">
        <f>SUM(I83:J88)+SUM(I92:J102)</f>
        <v>22230470</v>
      </c>
      <c r="J103" s="2133"/>
      <c r="K103" s="1380"/>
      <c r="L103" s="1202"/>
      <c r="M103" s="1380"/>
      <c r="N103" s="1380"/>
      <c r="O103" s="1380"/>
      <c r="P103" s="1380"/>
      <c r="Q103" s="1380"/>
    </row>
    <row r="104" spans="1:20" ht="13.5">
      <c r="A104" s="1380"/>
      <c r="B104" s="2108" t="s">
        <v>477</v>
      </c>
      <c r="C104" s="1380"/>
      <c r="D104" s="1380"/>
      <c r="E104" s="1380"/>
      <c r="F104" s="1380"/>
      <c r="G104" s="1380"/>
      <c r="H104" s="2075"/>
      <c r="I104" s="2133">
        <f>'Part III-A-Uses of Funds'!$G$146</f>
        <v>22230470</v>
      </c>
      <c r="J104" s="2133"/>
      <c r="K104" s="1380"/>
      <c r="L104" s="1202"/>
      <c r="M104" s="1380"/>
      <c r="N104" s="1380"/>
      <c r="O104" s="1380"/>
      <c r="P104" s="1380"/>
      <c r="Q104" s="1380"/>
    </row>
    <row r="105" spans="1:20" ht="13.5">
      <c r="A105" s="1380"/>
      <c r="B105" s="2108" t="s">
        <v>478</v>
      </c>
      <c r="C105" s="1380"/>
      <c r="D105" s="1380"/>
      <c r="E105" s="1380"/>
      <c r="F105" s="1380"/>
      <c r="G105" s="1380"/>
      <c r="H105" s="2075"/>
      <c r="I105" s="2134">
        <f>I103-I104</f>
        <v>0</v>
      </c>
      <c r="J105" s="2134"/>
      <c r="K105" s="1380"/>
      <c r="L105" s="1202"/>
      <c r="M105" s="1380"/>
      <c r="N105" s="1380"/>
      <c r="O105" s="1380"/>
      <c r="P105" s="1380"/>
      <c r="Q105" s="1380"/>
    </row>
    <row r="106" spans="1:20">
      <c r="A106" s="1380" t="s">
        <v>479</v>
      </c>
      <c r="B106" s="2108"/>
      <c r="C106" s="1380"/>
      <c r="D106" s="1380"/>
      <c r="E106" s="1380"/>
      <c r="F106" s="1380"/>
      <c r="G106" s="1380"/>
      <c r="H106" s="2140"/>
      <c r="I106" s="2140"/>
      <c r="J106" s="272"/>
      <c r="K106" s="1380"/>
      <c r="L106" s="1202"/>
      <c r="M106" s="1380"/>
      <c r="N106" s="1380"/>
      <c r="O106" s="1380"/>
      <c r="P106" s="1380"/>
      <c r="Q106" s="1380"/>
    </row>
    <row r="107" spans="1:20">
      <c r="A107" s="272"/>
      <c r="B107" s="272"/>
      <c r="C107" s="272"/>
      <c r="D107" s="272"/>
      <c r="E107" s="272"/>
      <c r="F107" s="272"/>
      <c r="G107" s="272"/>
      <c r="H107" s="272"/>
      <c r="I107" s="272"/>
      <c r="J107" s="272"/>
      <c r="K107" s="272"/>
      <c r="L107" s="272"/>
      <c r="M107" s="272"/>
      <c r="N107" s="272"/>
      <c r="O107" s="272"/>
      <c r="P107" s="272"/>
      <c r="Q107" s="272"/>
    </row>
    <row r="108" spans="1:20" ht="13.5">
      <c r="A108" s="2101" t="s">
        <v>51</v>
      </c>
      <c r="B108" s="2101" t="s">
        <v>78</v>
      </c>
      <c r="C108" s="272"/>
      <c r="D108" s="272"/>
      <c r="E108" s="272"/>
      <c r="F108" s="272"/>
      <c r="G108" s="272"/>
      <c r="H108" s="272"/>
      <c r="I108" s="272"/>
      <c r="J108" s="272"/>
      <c r="K108" s="2074"/>
      <c r="L108" s="2074"/>
      <c r="M108" s="2101" t="s">
        <v>51</v>
      </c>
      <c r="N108" s="2101" t="s">
        <v>80</v>
      </c>
      <c r="O108" s="272"/>
      <c r="P108" s="272"/>
      <c r="Q108" s="272"/>
    </row>
    <row r="109" spans="1:20" ht="13.5">
      <c r="A109" s="2127" t="str">
        <f>'Part II-Sources of Funds'!A66</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There is no extreme surplus of funds for the development.  The percentage of unrestricted funding ($3,110,008 (First Mortgage) + $6,582 (DDF))/$22,230,471 = 14.02% and is greater than the percentage of unrestricted units in the community 1 - 89.66% (Affordable Units) = 10.34%. Therefore, only unrestricted funds are used to pay for unrestricted units.</v>
      </c>
      <c r="B109" s="2127"/>
      <c r="C109" s="2127"/>
      <c r="D109" s="2127"/>
      <c r="E109" s="2127"/>
      <c r="F109" s="2127"/>
      <c r="G109" s="2127"/>
      <c r="H109" s="2127"/>
      <c r="I109" s="2127"/>
      <c r="J109" s="2127"/>
      <c r="K109" s="2127"/>
      <c r="L109" s="2127"/>
      <c r="M109" s="2127"/>
      <c r="N109" s="2127"/>
      <c r="O109" s="2127"/>
      <c r="P109" s="2127"/>
      <c r="Q109" s="2127"/>
    </row>
    <row r="112" spans="1:20">
      <c r="A112" s="2101" t="str">
        <f>CONCATENATE("PART THREE (A):  USES OF FUNDS","  -  ",'Part I-Project Identification'!$O$7," ",'Part I-Project Identification'!$F$26,", ",'Part I-Project Identification'!F137,", ",'Part I-Project Identification'!J137," County")</f>
        <v>PART THREE (A):  USES OF FUNDS  -  2024-0 Finley Place, ,  County</v>
      </c>
      <c r="B112" s="2101"/>
      <c r="C112" s="2101"/>
      <c r="D112" s="2101"/>
      <c r="E112" s="2101"/>
      <c r="F112" s="2101"/>
      <c r="G112" s="2101"/>
      <c r="H112" s="2101"/>
      <c r="I112" s="2101"/>
      <c r="J112" s="2101"/>
      <c r="K112" s="2101"/>
      <c r="L112" s="2101"/>
      <c r="M112" s="2101"/>
      <c r="N112" s="2101"/>
      <c r="O112" s="2101"/>
      <c r="P112" s="2101"/>
      <c r="Q112" s="2101"/>
      <c r="R112" s="2101"/>
      <c r="S112" s="2101"/>
      <c r="T112" s="2101"/>
    </row>
    <row r="113" spans="1:20">
      <c r="A113" s="272"/>
      <c r="B113" s="272"/>
      <c r="C113" s="272"/>
      <c r="D113" s="272"/>
      <c r="E113" s="272"/>
      <c r="F113" s="272"/>
      <c r="G113" s="272"/>
      <c r="H113" s="272"/>
      <c r="I113" s="272"/>
      <c r="J113" s="272"/>
      <c r="K113" s="272"/>
      <c r="L113" s="272"/>
      <c r="M113" s="272"/>
      <c r="N113" s="272"/>
      <c r="O113" s="272"/>
      <c r="P113" s="272"/>
      <c r="Q113" s="272"/>
      <c r="R113" s="272"/>
      <c r="S113" s="272"/>
      <c r="T113" s="272"/>
    </row>
    <row r="114" spans="1:20">
      <c r="A114" s="2101"/>
      <c r="B114" s="2101"/>
      <c r="C114" s="2101"/>
      <c r="D114" s="2101"/>
      <c r="E114" s="2101"/>
      <c r="F114" s="2101"/>
      <c r="G114" s="2101"/>
      <c r="H114" s="2101"/>
      <c r="I114" s="2101"/>
      <c r="J114" s="2101"/>
      <c r="K114" s="2101"/>
      <c r="L114" s="2101"/>
      <c r="M114" s="2101"/>
      <c r="N114" s="2101"/>
      <c r="O114" s="2101"/>
      <c r="P114" s="2101"/>
      <c r="Q114" s="2101"/>
      <c r="R114" s="2101"/>
      <c r="S114" s="2101"/>
      <c r="T114" s="2101"/>
    </row>
    <row r="115" spans="1:20" ht="16.5">
      <c r="A115" s="2102"/>
      <c r="B115" s="2102"/>
      <c r="C115" s="2102"/>
      <c r="D115" s="2151"/>
      <c r="E115" s="2151"/>
      <c r="F115" s="2151"/>
      <c r="G115" s="2151"/>
      <c r="H115" s="2151"/>
      <c r="I115" s="2101"/>
      <c r="J115" s="2102"/>
      <c r="K115" s="2102"/>
      <c r="L115" s="2102"/>
      <c r="M115" s="2102"/>
      <c r="N115" s="2102"/>
      <c r="O115" s="2102"/>
      <c r="P115" s="2102"/>
      <c r="Q115" s="2102"/>
      <c r="R115" s="2102"/>
      <c r="S115" s="2102"/>
      <c r="T115" s="2102"/>
    </row>
    <row r="116" spans="1:20" ht="14.45" customHeight="1">
      <c r="A116" s="2151" t="s">
        <v>21</v>
      </c>
      <c r="B116" s="2151" t="s">
        <v>527</v>
      </c>
      <c r="C116" s="1380"/>
      <c r="D116" s="2103" t="str">
        <f>'Part I-Project Identification'!$A$6</f>
        <v>2024 May 7</v>
      </c>
      <c r="E116" s="2103"/>
      <c r="F116" s="2103"/>
      <c r="G116" s="2103"/>
      <c r="H116" s="2103"/>
      <c r="I116" s="2151"/>
      <c r="J116" s="2101" t="s">
        <v>528</v>
      </c>
      <c r="K116" s="2101"/>
      <c r="L116" s="2130"/>
      <c r="M116" s="2152" t="s">
        <v>529</v>
      </c>
      <c r="N116" s="2152"/>
      <c r="O116" s="1380"/>
      <c r="P116" s="2101" t="s">
        <v>530</v>
      </c>
      <c r="Q116" s="2101"/>
      <c r="R116" s="1380"/>
      <c r="S116" s="2101" t="s">
        <v>531</v>
      </c>
      <c r="T116" s="2101"/>
    </row>
    <row r="117" spans="1:20" ht="15">
      <c r="A117" s="1380"/>
      <c r="B117" s="1380"/>
      <c r="C117" s="1380"/>
      <c r="D117" s="2103"/>
      <c r="E117" s="2103"/>
      <c r="F117" s="2103"/>
      <c r="G117" s="2101" t="s">
        <v>532</v>
      </c>
      <c r="H117" s="2101"/>
      <c r="I117" s="1380"/>
      <c r="J117" s="2101"/>
      <c r="K117" s="2101"/>
      <c r="L117" s="2130"/>
      <c r="M117" s="2152"/>
      <c r="N117" s="2152"/>
      <c r="O117" s="1380"/>
      <c r="P117" s="2101"/>
      <c r="Q117" s="2101"/>
      <c r="R117" s="1380"/>
      <c r="S117" s="2101"/>
      <c r="T117" s="2101"/>
    </row>
    <row r="118" spans="1:20">
      <c r="A118" s="1380"/>
      <c r="B118" s="2101" t="s">
        <v>533</v>
      </c>
      <c r="C118" s="1380"/>
      <c r="D118" s="1380"/>
      <c r="E118" s="1380"/>
      <c r="F118" s="1380"/>
      <c r="G118" s="1380"/>
      <c r="H118" s="1380"/>
      <c r="I118" s="1380"/>
      <c r="J118" s="1380"/>
      <c r="K118" s="1380"/>
      <c r="L118" s="1380"/>
      <c r="M118" s="1380"/>
      <c r="N118" s="1380"/>
      <c r="O118" s="2102" t="str">
        <f>B118</f>
        <v>PRE-DEVELOPMENT COSTS</v>
      </c>
      <c r="P118" s="1380"/>
      <c r="Q118" s="1380"/>
      <c r="R118" s="1380"/>
      <c r="S118" s="1380"/>
      <c r="T118" s="1380"/>
    </row>
    <row r="119" spans="1:20">
      <c r="A119" s="1380"/>
      <c r="B119" s="1380" t="s">
        <v>534</v>
      </c>
      <c r="C119" s="1380"/>
      <c r="D119" s="1380"/>
      <c r="E119" s="1380"/>
      <c r="F119" s="1380"/>
      <c r="G119" s="2130">
        <f>'Part III-A-Uses of Funds'!G9</f>
        <v>22000</v>
      </c>
      <c r="H119" s="2130"/>
      <c r="I119" s="1380"/>
      <c r="J119" s="2130">
        <f>'Part III-A-Uses of Funds'!J9</f>
        <v>22000</v>
      </c>
      <c r="K119" s="2130"/>
      <c r="L119" s="2119"/>
      <c r="M119" s="2130">
        <f>'Part III-A-Uses of Funds'!M9</f>
        <v>0</v>
      </c>
      <c r="N119" s="2130"/>
      <c r="O119" s="1380"/>
      <c r="P119" s="2130">
        <f>'Part III-A-Uses of Funds'!P9</f>
        <v>0</v>
      </c>
      <c r="Q119" s="2130"/>
      <c r="R119" s="1380"/>
      <c r="S119" s="2130">
        <f>'Part III-A-Uses of Funds'!S9</f>
        <v>0</v>
      </c>
      <c r="T119" s="2130"/>
    </row>
    <row r="120" spans="1:20">
      <c r="A120" s="1380"/>
      <c r="B120" s="1380" t="s">
        <v>535</v>
      </c>
      <c r="C120" s="1380"/>
      <c r="D120" s="1380"/>
      <c r="E120" s="1380"/>
      <c r="F120" s="1380"/>
      <c r="G120" s="2130">
        <f>'Part III-A-Uses of Funds'!G10</f>
        <v>10000</v>
      </c>
      <c r="H120" s="2130"/>
      <c r="I120" s="1380"/>
      <c r="J120" s="2130">
        <f>'Part III-A-Uses of Funds'!J10</f>
        <v>10000</v>
      </c>
      <c r="K120" s="2130"/>
      <c r="L120" s="2119"/>
      <c r="M120" s="2130">
        <f>'Part III-A-Uses of Funds'!M10</f>
        <v>0</v>
      </c>
      <c r="N120" s="2130"/>
      <c r="O120" s="1380"/>
      <c r="P120" s="2130">
        <f>'Part III-A-Uses of Funds'!P10</f>
        <v>0</v>
      </c>
      <c r="Q120" s="2130"/>
      <c r="R120" s="1380"/>
      <c r="S120" s="2130">
        <f>'Part III-A-Uses of Funds'!S10</f>
        <v>0</v>
      </c>
      <c r="T120" s="2130"/>
    </row>
    <row r="121" spans="1:20">
      <c r="A121" s="1380"/>
      <c r="B121" s="1380" t="s">
        <v>536</v>
      </c>
      <c r="C121" s="1380"/>
      <c r="D121" s="1380"/>
      <c r="E121" s="1380"/>
      <c r="F121" s="1380"/>
      <c r="G121" s="2130">
        <f>'Part III-A-Uses of Funds'!G11</f>
        <v>43000</v>
      </c>
      <c r="H121" s="2130"/>
      <c r="I121" s="1380"/>
      <c r="J121" s="2130">
        <f>'Part III-A-Uses of Funds'!J11</f>
        <v>43000</v>
      </c>
      <c r="K121" s="2130"/>
      <c r="L121" s="2119"/>
      <c r="M121" s="2130">
        <f>'Part III-A-Uses of Funds'!M11</f>
        <v>0</v>
      </c>
      <c r="N121" s="2130"/>
      <c r="O121" s="1380"/>
      <c r="P121" s="2130">
        <f>'Part III-A-Uses of Funds'!P11</f>
        <v>0</v>
      </c>
      <c r="Q121" s="2130"/>
      <c r="R121" s="1380"/>
      <c r="S121" s="2130">
        <f>'Part III-A-Uses of Funds'!S11</f>
        <v>0</v>
      </c>
      <c r="T121" s="2130"/>
    </row>
    <row r="122" spans="1:20">
      <c r="A122" s="1380"/>
      <c r="B122" s="1380" t="s">
        <v>537</v>
      </c>
      <c r="C122" s="1380"/>
      <c r="D122" s="1380"/>
      <c r="E122" s="1380"/>
      <c r="F122" s="1380"/>
      <c r="G122" s="2130">
        <f>'Part III-A-Uses of Funds'!G12</f>
        <v>16200</v>
      </c>
      <c r="H122" s="2130"/>
      <c r="I122" s="1380"/>
      <c r="J122" s="2130">
        <f>'Part III-A-Uses of Funds'!J12</f>
        <v>16200</v>
      </c>
      <c r="K122" s="2130"/>
      <c r="L122" s="2119"/>
      <c r="M122" s="2130">
        <f>'Part III-A-Uses of Funds'!M12</f>
        <v>0</v>
      </c>
      <c r="N122" s="2130"/>
      <c r="O122" s="1380"/>
      <c r="P122" s="2130">
        <f>'Part III-A-Uses of Funds'!P12</f>
        <v>0</v>
      </c>
      <c r="Q122" s="2130"/>
      <c r="R122" s="1380"/>
      <c r="S122" s="2130">
        <f>'Part III-A-Uses of Funds'!S12</f>
        <v>0</v>
      </c>
      <c r="T122" s="2130"/>
    </row>
    <row r="123" spans="1:20">
      <c r="A123" s="1380"/>
      <c r="B123" s="1380" t="s">
        <v>538</v>
      </c>
      <c r="C123" s="1380"/>
      <c r="D123" s="1380"/>
      <c r="E123" s="1380"/>
      <c r="F123" s="1380"/>
      <c r="G123" s="2130">
        <f>'Part III-A-Uses of Funds'!G13</f>
        <v>10000</v>
      </c>
      <c r="H123" s="2130"/>
      <c r="I123" s="1380"/>
      <c r="J123" s="2130">
        <f>'Part III-A-Uses of Funds'!J13</f>
        <v>10000</v>
      </c>
      <c r="K123" s="2130"/>
      <c r="L123" s="2119"/>
      <c r="M123" s="2130">
        <f>'Part III-A-Uses of Funds'!M13</f>
        <v>0</v>
      </c>
      <c r="N123" s="2130"/>
      <c r="O123" s="1380"/>
      <c r="P123" s="2130">
        <f>'Part III-A-Uses of Funds'!P13</f>
        <v>0</v>
      </c>
      <c r="Q123" s="2130"/>
      <c r="R123" s="1380"/>
      <c r="S123" s="2130">
        <f>'Part III-A-Uses of Funds'!S13</f>
        <v>0</v>
      </c>
      <c r="T123" s="2130"/>
    </row>
    <row r="124" spans="1:20">
      <c r="A124" s="1380"/>
      <c r="B124" s="1380" t="s">
        <v>539</v>
      </c>
      <c r="C124" s="1380"/>
      <c r="D124" s="1380"/>
      <c r="E124" s="1380"/>
      <c r="F124" s="1380"/>
      <c r="G124" s="2130">
        <f>'Part III-A-Uses of Funds'!G14</f>
        <v>0</v>
      </c>
      <c r="H124" s="2130"/>
      <c r="I124" s="1380"/>
      <c r="J124" s="2130">
        <f>'Part III-A-Uses of Funds'!J14</f>
        <v>0</v>
      </c>
      <c r="K124" s="2130"/>
      <c r="L124" s="2119"/>
      <c r="M124" s="2130">
        <f>'Part III-A-Uses of Funds'!M14</f>
        <v>0</v>
      </c>
      <c r="N124" s="2130"/>
      <c r="O124" s="1380"/>
      <c r="P124" s="2130">
        <f>'Part III-A-Uses of Funds'!P14</f>
        <v>0</v>
      </c>
      <c r="Q124" s="2130"/>
      <c r="R124" s="1380"/>
      <c r="S124" s="2130">
        <f>'Part III-A-Uses of Funds'!S14</f>
        <v>0</v>
      </c>
      <c r="T124" s="2130"/>
    </row>
    <row r="125" spans="1:20" ht="15.6" customHeight="1">
      <c r="A125" s="2153" t="str">
        <f>IF(AND(G125&gt;0,OR(C125="",C125="&lt;Enter detailed description here; use Comments section if needed&gt;")),"X","")</f>
        <v/>
      </c>
      <c r="B125" s="2107" t="s">
        <v>540</v>
      </c>
      <c r="C125" s="2075" t="str">
        <f>'Part III-A-Uses of Funds'!C15</f>
        <v>Noise Study</v>
      </c>
      <c r="D125" s="2075"/>
      <c r="E125" s="2075"/>
      <c r="F125" s="2075"/>
      <c r="G125" s="2130">
        <f>'Part III-A-Uses of Funds'!G15</f>
        <v>6000</v>
      </c>
      <c r="H125" s="2130"/>
      <c r="I125" s="1380"/>
      <c r="J125" s="2130">
        <f>'Part III-A-Uses of Funds'!J15</f>
        <v>6000</v>
      </c>
      <c r="K125" s="2130"/>
      <c r="L125" s="2119"/>
      <c r="M125" s="2130">
        <f>'Part III-A-Uses of Funds'!M15</f>
        <v>0</v>
      </c>
      <c r="N125" s="2130"/>
      <c r="O125" s="1380"/>
      <c r="P125" s="2130">
        <f>'Part III-A-Uses of Funds'!P15</f>
        <v>0</v>
      </c>
      <c r="Q125" s="2130"/>
      <c r="R125" s="1380"/>
      <c r="S125" s="2130">
        <f>'Part III-A-Uses of Funds'!S15</f>
        <v>0</v>
      </c>
      <c r="T125" s="2130"/>
    </row>
    <row r="126" spans="1:20" ht="15.6" customHeight="1">
      <c r="A126" s="2153" t="str">
        <f>IF(AND(G126&gt;0,OR(C126="",C126="&lt;Enter detailed description here; use Comments section if needed&gt;")),"X","")</f>
        <v/>
      </c>
      <c r="B126" s="2107" t="s">
        <v>543</v>
      </c>
      <c r="C126" s="2075" t="str">
        <f>'Part III-A-Uses of Funds'!C16</f>
        <v>&lt;&lt; Enter description here; provide detail &amp; justification in tab Part III-b &gt;&gt;</v>
      </c>
      <c r="D126" s="2075"/>
      <c r="E126" s="2075"/>
      <c r="F126" s="2075"/>
      <c r="G126" s="2130">
        <f>'Part III-A-Uses of Funds'!G16</f>
        <v>0</v>
      </c>
      <c r="H126" s="2130"/>
      <c r="I126" s="1380"/>
      <c r="J126" s="2130">
        <f>'Part III-A-Uses of Funds'!J16</f>
        <v>0</v>
      </c>
      <c r="K126" s="2130"/>
      <c r="L126" s="2119"/>
      <c r="M126" s="2130">
        <f>'Part III-A-Uses of Funds'!M16</f>
        <v>0</v>
      </c>
      <c r="N126" s="2130"/>
      <c r="O126" s="1380"/>
      <c r="P126" s="2130">
        <f>'Part III-A-Uses of Funds'!P16</f>
        <v>0</v>
      </c>
      <c r="Q126" s="2130"/>
      <c r="R126" s="1380"/>
      <c r="S126" s="2130">
        <f>'Part III-A-Uses of Funds'!S16</f>
        <v>0</v>
      </c>
      <c r="T126" s="2130"/>
    </row>
    <row r="127" spans="1:20" ht="15.95" customHeight="1">
      <c r="A127" s="2153" t="str">
        <f>IF(AND(G127&gt;0,OR(C127="",C127="&lt;Enter detailed description here; use Comments section if needed&gt;")),"X","")</f>
        <v/>
      </c>
      <c r="B127" s="2107" t="s">
        <v>546</v>
      </c>
      <c r="C127" s="2075" t="str">
        <f>'Part III-A-Uses of Funds'!C17</f>
        <v>&lt;&lt; Enter description here; provide detail &amp; justification in tab Part III-b &gt;&gt;</v>
      </c>
      <c r="D127" s="2075"/>
      <c r="E127" s="2075"/>
      <c r="F127" s="2075"/>
      <c r="G127" s="2130">
        <f>'Part III-A-Uses of Funds'!G17</f>
        <v>0</v>
      </c>
      <c r="H127" s="2130"/>
      <c r="I127" s="1380"/>
      <c r="J127" s="2130">
        <f>'Part III-A-Uses of Funds'!J17</f>
        <v>0</v>
      </c>
      <c r="K127" s="2130"/>
      <c r="L127" s="2119"/>
      <c r="M127" s="2130">
        <f>'Part III-A-Uses of Funds'!M17</f>
        <v>0</v>
      </c>
      <c r="N127" s="2130"/>
      <c r="O127" s="1380"/>
      <c r="P127" s="2130">
        <f>'Part III-A-Uses of Funds'!P17</f>
        <v>0</v>
      </c>
      <c r="Q127" s="2130"/>
      <c r="R127" s="1380"/>
      <c r="S127" s="2130">
        <f>'Part III-A-Uses of Funds'!S17</f>
        <v>0</v>
      </c>
      <c r="T127" s="2130"/>
    </row>
    <row r="128" spans="1:20">
      <c r="A128" s="1380"/>
      <c r="B128" s="1380"/>
      <c r="C128" s="1380"/>
      <c r="D128" s="1380"/>
      <c r="E128" s="1380"/>
      <c r="F128" s="2154" t="s">
        <v>548</v>
      </c>
      <c r="G128" s="2130">
        <f>SUM(G119:G127)</f>
        <v>107200</v>
      </c>
      <c r="H128" s="2130"/>
      <c r="I128" s="1380"/>
      <c r="J128" s="2130">
        <f>SUM(J119:J127)</f>
        <v>107200</v>
      </c>
      <c r="K128" s="2130"/>
      <c r="L128" s="2119"/>
      <c r="M128" s="2130">
        <f>SUM(M119:M127)</f>
        <v>0</v>
      </c>
      <c r="N128" s="2130"/>
      <c r="O128" s="1380"/>
      <c r="P128" s="2130">
        <f>SUM(P119:P127)</f>
        <v>0</v>
      </c>
      <c r="Q128" s="2130"/>
      <c r="R128" s="1380"/>
      <c r="S128" s="2130">
        <f>SUM(S119:S127)</f>
        <v>0</v>
      </c>
      <c r="T128" s="2130"/>
    </row>
    <row r="129" spans="1:20">
      <c r="A129" s="1380"/>
      <c r="B129" s="2101" t="s">
        <v>550</v>
      </c>
      <c r="C129" s="1380"/>
      <c r="D129" s="1380"/>
      <c r="E129" s="1380"/>
      <c r="F129" s="1380"/>
      <c r="G129" s="1380"/>
      <c r="H129" s="1380"/>
      <c r="I129" s="1380"/>
      <c r="J129" s="2130"/>
      <c r="K129" s="2130"/>
      <c r="L129" s="1380"/>
      <c r="M129" s="2130"/>
      <c r="N129" s="2130"/>
      <c r="O129" s="2155" t="str">
        <f>B129</f>
        <v>ACQUISITION</v>
      </c>
      <c r="P129" s="2130"/>
      <c r="Q129" s="2130"/>
      <c r="R129" s="1380"/>
      <c r="S129" s="2130"/>
      <c r="T129" s="2130"/>
    </row>
    <row r="130" spans="1:20">
      <c r="A130" s="1380"/>
      <c r="B130" s="1380" t="s">
        <v>551</v>
      </c>
      <c r="C130" s="1380"/>
      <c r="D130" s="1380"/>
      <c r="E130" s="2156" t="s">
        <v>552</v>
      </c>
      <c r="F130" s="2157">
        <f>IF('Part I-Project Identification'!$O$28="","",G130/'Part I-Project Identification'!$O$28)</f>
        <v>239398.08481532149</v>
      </c>
      <c r="G130" s="2130">
        <f>'Part III-A-Uses of Funds'!G20</f>
        <v>1400000</v>
      </c>
      <c r="H130" s="2130"/>
      <c r="I130" s="1380"/>
      <c r="J130" s="2119"/>
      <c r="K130" s="2130"/>
      <c r="L130" s="2119"/>
      <c r="M130" s="2119"/>
      <c r="N130" s="2130"/>
      <c r="O130" s="1380"/>
      <c r="P130" s="2119"/>
      <c r="Q130" s="2130"/>
      <c r="R130" s="1380"/>
      <c r="S130" s="2130">
        <f>'Part III-A-Uses of Funds'!S20</f>
        <v>1400000</v>
      </c>
      <c r="T130" s="2130"/>
    </row>
    <row r="131" spans="1:20">
      <c r="A131" s="1380"/>
      <c r="B131" s="1380" t="s">
        <v>553</v>
      </c>
      <c r="C131" s="1380"/>
      <c r="D131" s="1380"/>
      <c r="E131" s="1380"/>
      <c r="F131" s="1380"/>
      <c r="G131" s="2130">
        <f>'Part III-A-Uses of Funds'!G21</f>
        <v>50000</v>
      </c>
      <c r="H131" s="2130"/>
      <c r="I131" s="1380"/>
      <c r="J131" s="2119"/>
      <c r="K131" s="2130"/>
      <c r="L131" s="2119"/>
      <c r="M131" s="2119"/>
      <c r="N131" s="2130"/>
      <c r="O131" s="1380"/>
      <c r="P131" s="2119"/>
      <c r="Q131" s="2130"/>
      <c r="R131" s="1380"/>
      <c r="S131" s="2130">
        <f>'Part III-A-Uses of Funds'!S21</f>
        <v>50000</v>
      </c>
      <c r="T131" s="2130"/>
    </row>
    <row r="132" spans="1:20">
      <c r="A132" s="1380"/>
      <c r="B132" s="1380" t="s">
        <v>554</v>
      </c>
      <c r="C132" s="1380"/>
      <c r="D132" s="1380"/>
      <c r="E132" s="1380"/>
      <c r="F132" s="1380"/>
      <c r="G132" s="2130">
        <f>'Part III-A-Uses of Funds'!G22</f>
        <v>0</v>
      </c>
      <c r="H132" s="2130"/>
      <c r="I132" s="1380"/>
      <c r="J132" s="2119"/>
      <c r="K132" s="2130"/>
      <c r="L132" s="2119"/>
      <c r="M132" s="2130">
        <f>'Part III-A-Uses of Funds'!M22</f>
        <v>0</v>
      </c>
      <c r="N132" s="2130"/>
      <c r="O132" s="1380"/>
      <c r="P132" s="2119"/>
      <c r="Q132" s="2130"/>
      <c r="R132" s="1380"/>
      <c r="S132" s="2130">
        <f>'Part III-A-Uses of Funds'!S22</f>
        <v>0</v>
      </c>
      <c r="T132" s="2130"/>
    </row>
    <row r="133" spans="1:20">
      <c r="A133" s="1380"/>
      <c r="B133" s="1380" t="s">
        <v>555</v>
      </c>
      <c r="C133" s="1380"/>
      <c r="D133" s="1380"/>
      <c r="E133" s="1380"/>
      <c r="F133" s="1380"/>
      <c r="G133" s="2130">
        <f>'Part III-A-Uses of Funds'!G23</f>
        <v>0</v>
      </c>
      <c r="H133" s="2130"/>
      <c r="I133" s="1380"/>
      <c r="J133" s="2119"/>
      <c r="K133" s="2130"/>
      <c r="L133" s="2119"/>
      <c r="M133" s="2130">
        <f>'Part III-A-Uses of Funds'!M23</f>
        <v>0</v>
      </c>
      <c r="N133" s="2130"/>
      <c r="O133" s="1380"/>
      <c r="P133" s="2119"/>
      <c r="Q133" s="2130"/>
      <c r="R133" s="1380"/>
      <c r="S133" s="2130">
        <f>'Part III-A-Uses of Funds'!S23</f>
        <v>0</v>
      </c>
      <c r="T133" s="2130"/>
    </row>
    <row r="134" spans="1:20">
      <c r="A134" s="1380"/>
      <c r="B134" s="1380"/>
      <c r="C134" s="1380"/>
      <c r="D134" s="1380"/>
      <c r="E134" s="1380"/>
      <c r="F134" s="2154" t="s">
        <v>548</v>
      </c>
      <c r="G134" s="2130">
        <f>SUM(G130:G133)</f>
        <v>1450000</v>
      </c>
      <c r="H134" s="2130"/>
      <c r="I134" s="1380"/>
      <c r="J134" s="2119"/>
      <c r="K134" s="2130"/>
      <c r="L134" s="2119"/>
      <c r="M134" s="2130">
        <f>SUM(M132:M133)</f>
        <v>0</v>
      </c>
      <c r="N134" s="2130"/>
      <c r="O134" s="1380"/>
      <c r="P134" s="2119"/>
      <c r="Q134" s="2130"/>
      <c r="R134" s="1380"/>
      <c r="S134" s="2130">
        <f>SUM(S130:S133)</f>
        <v>1450000</v>
      </c>
      <c r="T134" s="2130"/>
    </row>
    <row r="135" spans="1:20">
      <c r="A135" s="1380"/>
      <c r="B135" s="2101" t="s">
        <v>557</v>
      </c>
      <c r="C135" s="1380"/>
      <c r="D135" s="1380"/>
      <c r="E135" s="1380"/>
      <c r="F135" s="1380"/>
      <c r="G135" s="1380"/>
      <c r="H135" s="1380"/>
      <c r="I135" s="1380"/>
      <c r="J135" s="2119"/>
      <c r="K135" s="2130"/>
      <c r="L135" s="1380"/>
      <c r="M135" s="2119"/>
      <c r="N135" s="2130"/>
      <c r="O135" s="2155" t="str">
        <f>B135</f>
        <v>LAND IMPROVEMENTS</v>
      </c>
      <c r="P135" s="2119"/>
      <c r="Q135" s="2130"/>
      <c r="R135" s="1380"/>
      <c r="S135" s="2119"/>
      <c r="T135" s="2130"/>
    </row>
    <row r="136" spans="1:20">
      <c r="A136" s="1380"/>
      <c r="B136" s="1380" t="s">
        <v>558</v>
      </c>
      <c r="C136" s="1380"/>
      <c r="D136" s="1380"/>
      <c r="E136" s="2156" t="s">
        <v>552</v>
      </c>
      <c r="F136" s="2157">
        <f>IF('Part I-Project Identification'!$O$28="","",G136/'Part I-Project Identification'!$O$28)</f>
        <v>34199.726402188782</v>
      </c>
      <c r="G136" s="2130">
        <f>'Part III-A-Uses of Funds'!G26</f>
        <v>200000</v>
      </c>
      <c r="H136" s="2130"/>
      <c r="I136" s="1380"/>
      <c r="J136" s="2130">
        <f>'Part III-A-Uses of Funds'!J26</f>
        <v>100000</v>
      </c>
      <c r="K136" s="2130"/>
      <c r="L136" s="2119"/>
      <c r="M136" s="2130">
        <f>'Part III-A-Uses of Funds'!M26</f>
        <v>0</v>
      </c>
      <c r="N136" s="2130"/>
      <c r="O136" s="1380"/>
      <c r="P136" s="2130">
        <f>'Part III-A-Uses of Funds'!P26</f>
        <v>0</v>
      </c>
      <c r="Q136" s="2130"/>
      <c r="R136" s="1380"/>
      <c r="S136" s="2130">
        <f>'Part III-A-Uses of Funds'!S26</f>
        <v>100000</v>
      </c>
      <c r="T136" s="2130"/>
    </row>
    <row r="137" spans="1:20">
      <c r="A137" s="1380"/>
      <c r="B137" s="1380" t="s">
        <v>559</v>
      </c>
      <c r="C137" s="1380"/>
      <c r="D137" s="1380"/>
      <c r="E137" s="1380"/>
      <c r="F137" s="1380"/>
      <c r="G137" s="2130">
        <f>'Part III-A-Uses of Funds'!G27</f>
        <v>20000</v>
      </c>
      <c r="H137" s="2130"/>
      <c r="I137" s="1380"/>
      <c r="J137" s="2130">
        <f>'Part III-A-Uses of Funds'!J27</f>
        <v>0</v>
      </c>
      <c r="K137" s="2130"/>
      <c r="L137" s="2158"/>
      <c r="M137" s="2130"/>
      <c r="N137" s="2130"/>
      <c r="O137" s="1380"/>
      <c r="P137" s="2130"/>
      <c r="Q137" s="2130"/>
      <c r="R137" s="1380"/>
      <c r="S137" s="2130">
        <f>'Part III-A-Uses of Funds'!S27</f>
        <v>20000</v>
      </c>
      <c r="T137" s="2130"/>
    </row>
    <row r="138" spans="1:20">
      <c r="A138" s="1380"/>
      <c r="B138" s="1380"/>
      <c r="C138" s="1380"/>
      <c r="D138" s="1380"/>
      <c r="E138" s="1380"/>
      <c r="F138" s="2154" t="s">
        <v>548</v>
      </c>
      <c r="G138" s="2130">
        <f>SUM(G136:G137)</f>
        <v>220000</v>
      </c>
      <c r="H138" s="2130"/>
      <c r="I138" s="1380"/>
      <c r="J138" s="2130">
        <f>SUM(J136:J137)</f>
        <v>100000</v>
      </c>
      <c r="K138" s="2130"/>
      <c r="L138" s="2119"/>
      <c r="M138" s="2130">
        <f>M136</f>
        <v>0</v>
      </c>
      <c r="N138" s="2130"/>
      <c r="O138" s="1380"/>
      <c r="P138" s="2130">
        <f>P136</f>
        <v>0</v>
      </c>
      <c r="Q138" s="2130"/>
      <c r="R138" s="1380"/>
      <c r="S138" s="2130">
        <f>SUM(S136:S137)</f>
        <v>120000</v>
      </c>
      <c r="T138" s="2130"/>
    </row>
    <row r="139" spans="1:20">
      <c r="A139" s="1380"/>
      <c r="B139" s="2101" t="s">
        <v>561</v>
      </c>
      <c r="C139" s="1380"/>
      <c r="D139" s="1380"/>
      <c r="E139" s="1380"/>
      <c r="F139" s="1380"/>
      <c r="G139" s="1380"/>
      <c r="H139" s="1380"/>
      <c r="I139" s="1380"/>
      <c r="J139" s="2119"/>
      <c r="K139" s="2130"/>
      <c r="L139" s="1380"/>
      <c r="M139" s="2119"/>
      <c r="N139" s="2130"/>
      <c r="O139" s="2155" t="str">
        <f>B139</f>
        <v>STRUCTURES</v>
      </c>
      <c r="P139" s="2119"/>
      <c r="Q139" s="2130"/>
      <c r="R139" s="1380"/>
      <c r="S139" s="2119"/>
      <c r="T139" s="2130"/>
    </row>
    <row r="140" spans="1:20">
      <c r="A140" s="1380"/>
      <c r="B140" s="1380" t="s">
        <v>562</v>
      </c>
      <c r="C140" s="1380"/>
      <c r="D140" s="1380"/>
      <c r="E140" s="1380"/>
      <c r="F140" s="1380"/>
      <c r="G140" s="2130">
        <f>'Part III-A-Uses of Funds'!G30</f>
        <v>12384288</v>
      </c>
      <c r="H140" s="2130"/>
      <c r="I140" s="1380"/>
      <c r="J140" s="2130">
        <f>'Part III-A-Uses of Funds'!J30</f>
        <v>12384288</v>
      </c>
      <c r="K140" s="2130"/>
      <c r="L140" s="2119"/>
      <c r="M140" s="2130">
        <f>'Part III-A-Uses of Funds'!M30</f>
        <v>0</v>
      </c>
      <c r="N140" s="2130"/>
      <c r="O140" s="1380"/>
      <c r="P140" s="2130">
        <f>'Part III-A-Uses of Funds'!P30</f>
        <v>0</v>
      </c>
      <c r="Q140" s="2130"/>
      <c r="R140" s="1380"/>
      <c r="S140" s="2130">
        <f>'Part III-A-Uses of Funds'!S30</f>
        <v>0</v>
      </c>
      <c r="T140" s="2130"/>
    </row>
    <row r="141" spans="1:20">
      <c r="A141" s="1380"/>
      <c r="B141" s="1380" t="s">
        <v>563</v>
      </c>
      <c r="C141" s="1380"/>
      <c r="D141" s="1380"/>
      <c r="E141" s="1380"/>
      <c r="F141" s="1380"/>
      <c r="G141" s="2130">
        <f>'Part III-A-Uses of Funds'!G31</f>
        <v>0</v>
      </c>
      <c r="H141" s="2130"/>
      <c r="I141" s="1380"/>
      <c r="J141" s="2130">
        <f>'Part III-A-Uses of Funds'!J31</f>
        <v>0</v>
      </c>
      <c r="K141" s="2130"/>
      <c r="L141" s="2119"/>
      <c r="M141" s="2130">
        <f>'Part III-A-Uses of Funds'!M31</f>
        <v>0</v>
      </c>
      <c r="N141" s="2130"/>
      <c r="O141" s="1380"/>
      <c r="P141" s="2130">
        <f>'Part III-A-Uses of Funds'!P31</f>
        <v>0</v>
      </c>
      <c r="Q141" s="2130"/>
      <c r="R141" s="1380"/>
      <c r="S141" s="2130">
        <f>'Part III-A-Uses of Funds'!S31</f>
        <v>0</v>
      </c>
      <c r="T141" s="2130"/>
    </row>
    <row r="142" spans="1:20">
      <c r="A142" s="1380"/>
      <c r="B142" s="1380" t="s">
        <v>564</v>
      </c>
      <c r="C142" s="1380"/>
      <c r="D142" s="1380"/>
      <c r="E142" s="1380"/>
      <c r="F142" s="1380"/>
      <c r="G142" s="2130">
        <f>'Part III-A-Uses of Funds'!G32</f>
        <v>0</v>
      </c>
      <c r="H142" s="2130"/>
      <c r="I142" s="1380"/>
      <c r="J142" s="2130">
        <f>'Part III-A-Uses of Funds'!J32</f>
        <v>0</v>
      </c>
      <c r="K142" s="2130"/>
      <c r="L142" s="2119"/>
      <c r="M142" s="2130">
        <f>'Part III-A-Uses of Funds'!M32</f>
        <v>0</v>
      </c>
      <c r="N142" s="2130"/>
      <c r="O142" s="1380"/>
      <c r="P142" s="2130">
        <f>'Part III-A-Uses of Funds'!P32</f>
        <v>0</v>
      </c>
      <c r="Q142" s="2130"/>
      <c r="R142" s="1380"/>
      <c r="S142" s="2130">
        <f>'Part III-A-Uses of Funds'!S32</f>
        <v>0</v>
      </c>
      <c r="T142" s="2130"/>
    </row>
    <row r="143" spans="1:20">
      <c r="A143" s="1380"/>
      <c r="B143" s="1380" t="s">
        <v>565</v>
      </c>
      <c r="C143" s="1380"/>
      <c r="D143" s="1380"/>
      <c r="E143" s="1380"/>
      <c r="F143" s="1380"/>
      <c r="G143" s="2130">
        <f>'Part III-A-Uses of Funds'!G33</f>
        <v>0</v>
      </c>
      <c r="H143" s="2130"/>
      <c r="I143" s="1380"/>
      <c r="J143" s="2130">
        <f>'Part III-A-Uses of Funds'!J33</f>
        <v>0</v>
      </c>
      <c r="K143" s="2130"/>
      <c r="L143" s="2119"/>
      <c r="M143" s="2130">
        <f>'Part III-A-Uses of Funds'!M33</f>
        <v>0</v>
      </c>
      <c r="N143" s="2130"/>
      <c r="O143" s="1380"/>
      <c r="P143" s="2130">
        <f>'Part III-A-Uses of Funds'!P33</f>
        <v>0</v>
      </c>
      <c r="Q143" s="2130"/>
      <c r="R143" s="1380"/>
      <c r="S143" s="2130">
        <f>'Part III-A-Uses of Funds'!S33</f>
        <v>0</v>
      </c>
      <c r="T143" s="2130"/>
    </row>
    <row r="144" spans="1:20">
      <c r="A144" s="272"/>
      <c r="B144" s="1380" t="s">
        <v>566</v>
      </c>
      <c r="C144" s="272"/>
      <c r="D144" s="272"/>
      <c r="E144" s="272"/>
      <c r="F144" s="272"/>
      <c r="G144" s="2130">
        <f>'Part III-A-Uses of Funds'!G34</f>
        <v>0</v>
      </c>
      <c r="H144" s="2130"/>
      <c r="I144" s="1380"/>
      <c r="J144" s="2130">
        <f>'Part III-A-Uses of Funds'!J34</f>
        <v>0</v>
      </c>
      <c r="K144" s="2130"/>
      <c r="L144" s="2119"/>
      <c r="M144" s="2130">
        <f>'Part III-A-Uses of Funds'!M34</f>
        <v>0</v>
      </c>
      <c r="N144" s="2130"/>
      <c r="O144" s="1380"/>
      <c r="P144" s="2130">
        <f>'Part III-A-Uses of Funds'!P34</f>
        <v>0</v>
      </c>
      <c r="Q144" s="2130"/>
      <c r="R144" s="1380"/>
      <c r="S144" s="2130">
        <f>'Part III-A-Uses of Funds'!S34</f>
        <v>0</v>
      </c>
      <c r="T144" s="2130"/>
    </row>
    <row r="145" spans="1:20">
      <c r="A145" s="272"/>
      <c r="B145" s="1380" t="s">
        <v>567</v>
      </c>
      <c r="C145" s="272"/>
      <c r="D145" s="272"/>
      <c r="E145" s="272"/>
      <c r="F145" s="272"/>
      <c r="G145" s="2130">
        <f>'Part III-A-Uses of Funds'!G35</f>
        <v>0</v>
      </c>
      <c r="H145" s="2130"/>
      <c r="I145" s="1380"/>
      <c r="J145" s="2130">
        <f>'Part III-A-Uses of Funds'!J35</f>
        <v>0</v>
      </c>
      <c r="K145" s="2130"/>
      <c r="L145" s="2119"/>
      <c r="M145" s="2130">
        <f>'Part III-A-Uses of Funds'!M35</f>
        <v>0</v>
      </c>
      <c r="N145" s="2130"/>
      <c r="O145" s="1380"/>
      <c r="P145" s="2130">
        <f>'Part III-A-Uses of Funds'!P35</f>
        <v>0</v>
      </c>
      <c r="Q145" s="2130"/>
      <c r="R145" s="1380"/>
      <c r="S145" s="2130">
        <f>'Part III-A-Uses of Funds'!S35</f>
        <v>0</v>
      </c>
      <c r="T145" s="2130"/>
    </row>
    <row r="146" spans="1:20">
      <c r="A146" s="1380"/>
      <c r="B146" s="1380"/>
      <c r="C146" s="2159"/>
      <c r="D146" s="2159"/>
      <c r="E146" s="2160"/>
      <c r="F146" s="2154" t="s">
        <v>548</v>
      </c>
      <c r="G146" s="2130">
        <f>SUM(G140:G145)</f>
        <v>12384288</v>
      </c>
      <c r="H146" s="2130"/>
      <c r="I146" s="1380"/>
      <c r="J146" s="2130">
        <f>SUM(J140:J145)</f>
        <v>12384288</v>
      </c>
      <c r="K146" s="2130"/>
      <c r="L146" s="2119"/>
      <c r="M146" s="2130">
        <f>SUM(M140:M145)</f>
        <v>0</v>
      </c>
      <c r="N146" s="2130"/>
      <c r="O146" s="1380"/>
      <c r="P146" s="2130">
        <f>SUM(P140:P145)</f>
        <v>0</v>
      </c>
      <c r="Q146" s="2130"/>
      <c r="R146" s="1380"/>
      <c r="S146" s="2130">
        <f>SUM(S140:S145)</f>
        <v>0</v>
      </c>
      <c r="T146" s="2130"/>
    </row>
    <row r="147" spans="1:20" ht="13.5">
      <c r="A147" s="1380"/>
      <c r="B147" s="2101" t="s">
        <v>569</v>
      </c>
      <c r="C147" s="1380"/>
      <c r="D147" s="2076" t="s">
        <v>570</v>
      </c>
      <c r="E147" s="2076"/>
      <c r="F147" s="2161">
        <f>SUM(F148:F150)</f>
        <v>0</v>
      </c>
      <c r="G147" s="2162" t="str">
        <f>IF(G148&gt;E148,"Proposed Builder Profit exceeds DCA Maximum!!!",IF(G149&gt;E149,"Proposed Builder Overhead exceeds DCA Maximum!!!",IF(G150&gt;E150,"Proposed General Requirements exceeds DCA Maximum!!!",IF(G151&gt;E151,"Proposed Contractor Services amount exceeds DCA Maximum!!!",""))))</f>
        <v/>
      </c>
      <c r="H147" s="272"/>
      <c r="I147" s="272"/>
      <c r="J147" s="2119"/>
      <c r="K147" s="2130"/>
      <c r="L147" s="1380"/>
      <c r="M147" s="2119"/>
      <c r="N147" s="2130"/>
      <c r="O147" s="2155" t="str">
        <f>B147</f>
        <v>CONTRACTOR SERVICES</v>
      </c>
      <c r="P147" s="2119"/>
      <c r="Q147" s="2130"/>
      <c r="R147" s="1380"/>
      <c r="S147" s="2119"/>
      <c r="T147" s="2130"/>
    </row>
    <row r="148" spans="1:20" ht="13.5">
      <c r="A148" s="1380"/>
      <c r="B148" s="1380" t="s">
        <v>571</v>
      </c>
      <c r="C148" s="1380"/>
      <c r="D148" s="2163">
        <f>'DCA Underwriting Assumptions'!$R$52</f>
        <v>0.06</v>
      </c>
      <c r="E148" s="2164">
        <f>ROUNDDOWN(D148*(G138+G146),0)</f>
        <v>756257</v>
      </c>
      <c r="F148" s="2163">
        <f>IF(($G$28+$G$36)=0,0,G148/($G$28+$G$36))</f>
        <v>0</v>
      </c>
      <c r="G148" s="2130">
        <f>'Part III-A-Uses of Funds'!G38</f>
        <v>756257</v>
      </c>
      <c r="H148" s="2130"/>
      <c r="I148" s="272"/>
      <c r="J148" s="2130">
        <f>'Part III-A-Uses of Funds'!J38</f>
        <v>749057</v>
      </c>
      <c r="K148" s="2130"/>
      <c r="L148" s="2119"/>
      <c r="M148" s="2130">
        <f>'Part III-A-Uses of Funds'!M38</f>
        <v>0</v>
      </c>
      <c r="N148" s="2130"/>
      <c r="O148" s="1380"/>
      <c r="P148" s="2130">
        <f>'Part III-A-Uses of Funds'!P38</f>
        <v>0</v>
      </c>
      <c r="Q148" s="2130"/>
      <c r="R148" s="1380"/>
      <c r="S148" s="2130">
        <f>'Part III-A-Uses of Funds'!S38</f>
        <v>7200</v>
      </c>
      <c r="T148" s="2130"/>
    </row>
    <row r="149" spans="1:20" ht="13.5">
      <c r="A149" s="1380"/>
      <c r="B149" s="1380" t="s">
        <v>572</v>
      </c>
      <c r="C149" s="1380"/>
      <c r="D149" s="2163">
        <f>'DCA Underwriting Assumptions'!$R$53</f>
        <v>0.02</v>
      </c>
      <c r="E149" s="2164">
        <f>ROUNDDOWN(D149*(G138+G146),0)</f>
        <v>252085</v>
      </c>
      <c r="F149" s="2163">
        <f>IF(($G$28+$G$36)=0,0,G149/($G$28+$G$36))</f>
        <v>0</v>
      </c>
      <c r="G149" s="2130">
        <f>'Part III-A-Uses of Funds'!G39</f>
        <v>252085</v>
      </c>
      <c r="H149" s="2130"/>
      <c r="I149" s="272"/>
      <c r="J149" s="2130">
        <f>'Part III-A-Uses of Funds'!J39</f>
        <v>249685</v>
      </c>
      <c r="K149" s="2130"/>
      <c r="L149" s="2119"/>
      <c r="M149" s="2130">
        <f>'Part III-A-Uses of Funds'!M39</f>
        <v>0</v>
      </c>
      <c r="N149" s="2130"/>
      <c r="O149" s="1380"/>
      <c r="P149" s="2130">
        <f>'Part III-A-Uses of Funds'!P39</f>
        <v>0</v>
      </c>
      <c r="Q149" s="2130"/>
      <c r="R149" s="1380"/>
      <c r="S149" s="2130">
        <f>'Part III-A-Uses of Funds'!S39</f>
        <v>2400</v>
      </c>
      <c r="T149" s="2130"/>
    </row>
    <row r="150" spans="1:20" ht="13.5">
      <c r="A150" s="1380"/>
      <c r="B150" s="1380" t="s">
        <v>573</v>
      </c>
      <c r="C150" s="1380"/>
      <c r="D150" s="2163">
        <f>'DCA Underwriting Assumptions'!$R$54</f>
        <v>0.06</v>
      </c>
      <c r="E150" s="2164">
        <f>ROUNDDOWN(D150*(G138+G146),0)</f>
        <v>756257</v>
      </c>
      <c r="F150" s="2163">
        <f>IF(($G$28+$G$36)=0,0,G150/($G$28+$G$36))</f>
        <v>0</v>
      </c>
      <c r="G150" s="2130">
        <f>'Part III-A-Uses of Funds'!G40</f>
        <v>756257</v>
      </c>
      <c r="H150" s="2130"/>
      <c r="I150" s="272"/>
      <c r="J150" s="2130">
        <f>'Part III-A-Uses of Funds'!J40</f>
        <v>749057</v>
      </c>
      <c r="K150" s="2130"/>
      <c r="L150" s="2119"/>
      <c r="M150" s="2130">
        <f>'Part III-A-Uses of Funds'!M40</f>
        <v>0</v>
      </c>
      <c r="N150" s="2130"/>
      <c r="O150" s="1380"/>
      <c r="P150" s="2130">
        <f>'Part III-A-Uses of Funds'!P40</f>
        <v>0</v>
      </c>
      <c r="Q150" s="2130"/>
      <c r="R150" s="1380"/>
      <c r="S150" s="2130">
        <f>'Part III-A-Uses of Funds'!S40</f>
        <v>7200</v>
      </c>
      <c r="T150" s="2130"/>
    </row>
    <row r="151" spans="1:20" ht="13.5">
      <c r="A151" s="1380"/>
      <c r="B151" s="2107" t="s">
        <v>574</v>
      </c>
      <c r="C151" s="1380"/>
      <c r="D151" s="2161">
        <f>SUM(D148:D150)</f>
        <v>0.14000000000000001</v>
      </c>
      <c r="E151" s="2165">
        <f>SUM(E148:E150)</f>
        <v>1764599</v>
      </c>
      <c r="F151" s="2154" t="s">
        <v>548</v>
      </c>
      <c r="G151" s="2130">
        <f>SUM(G148:G150)</f>
        <v>1764599</v>
      </c>
      <c r="H151" s="2130"/>
      <c r="I151" s="1380"/>
      <c r="J151" s="2130">
        <f>SUM(J148:J150)</f>
        <v>1747799</v>
      </c>
      <c r="K151" s="2130"/>
      <c r="L151" s="2119"/>
      <c r="M151" s="2130">
        <f>SUM(M148:M150)</f>
        <v>0</v>
      </c>
      <c r="N151" s="2130"/>
      <c r="O151" s="1380"/>
      <c r="P151" s="2130">
        <f>SUM(P148:P150)</f>
        <v>0</v>
      </c>
      <c r="Q151" s="2130"/>
      <c r="R151" s="1380"/>
      <c r="S151" s="2130">
        <f>SUM(S148:S150)</f>
        <v>16800</v>
      </c>
      <c r="T151" s="2130"/>
    </row>
    <row r="152" spans="1:20">
      <c r="A152" s="2102"/>
      <c r="B152" s="2102"/>
      <c r="C152" s="2102"/>
      <c r="D152" s="2102"/>
      <c r="E152" s="2102"/>
      <c r="F152" s="2102"/>
      <c r="G152" s="2102"/>
      <c r="H152" s="2102"/>
      <c r="I152" s="2102"/>
      <c r="J152" s="2102"/>
      <c r="K152" s="2102"/>
      <c r="L152" s="2102"/>
      <c r="M152" s="2102"/>
      <c r="N152" s="2102"/>
      <c r="O152" s="2102"/>
      <c r="P152" s="2102"/>
      <c r="Q152" s="2102"/>
      <c r="R152" s="2102"/>
      <c r="S152" s="2102"/>
      <c r="T152" s="2102"/>
    </row>
    <row r="153" spans="1:20">
      <c r="A153" s="2102"/>
      <c r="B153" s="1380"/>
      <c r="C153" s="2166" t="s">
        <v>576</v>
      </c>
      <c r="D153" s="1380"/>
      <c r="E153" s="2102"/>
      <c r="F153" s="2102"/>
      <c r="G153" s="2167">
        <f>G138+G146+G151</f>
        <v>14368887</v>
      </c>
      <c r="H153" s="2167"/>
      <c r="I153" s="2102"/>
      <c r="J153" s="2102"/>
      <c r="K153" s="2102"/>
      <c r="L153" s="2102"/>
      <c r="M153" s="2102"/>
      <c r="N153" s="2102"/>
      <c r="O153" s="2102"/>
      <c r="P153" s="2102"/>
      <c r="Q153" s="2102"/>
      <c r="R153" s="2102"/>
      <c r="S153" s="2102"/>
      <c r="T153" s="2102"/>
    </row>
    <row r="154" spans="1:20">
      <c r="A154" s="2101"/>
      <c r="B154" s="2101"/>
      <c r="C154" s="2101"/>
      <c r="D154" s="2101"/>
      <c r="E154" s="2101"/>
      <c r="F154" s="2101"/>
      <c r="G154" s="2101"/>
      <c r="H154" s="2101"/>
      <c r="I154" s="2101"/>
      <c r="J154" s="2101"/>
      <c r="K154" s="2101"/>
      <c r="L154" s="2101"/>
      <c r="M154" s="2101"/>
      <c r="N154" s="2101"/>
      <c r="O154" s="2101"/>
      <c r="P154" s="2101"/>
      <c r="Q154" s="2101"/>
      <c r="R154" s="2101"/>
      <c r="S154" s="2101"/>
      <c r="T154" s="2101"/>
    </row>
    <row r="155" spans="1:20">
      <c r="A155" s="1380"/>
      <c r="B155" s="2101" t="s">
        <v>2228</v>
      </c>
      <c r="C155" s="1380"/>
      <c r="D155" s="1380"/>
      <c r="E155" s="1380"/>
      <c r="F155" s="1380"/>
      <c r="G155" s="1380"/>
      <c r="H155" s="1380"/>
      <c r="I155" s="1380"/>
      <c r="J155" s="2119"/>
      <c r="K155" s="2130"/>
      <c r="L155" s="1380"/>
      <c r="M155" s="2119"/>
      <c r="N155" s="2130"/>
      <c r="O155" s="2155" t="str">
        <f>B155</f>
        <v>OTHER CONSTRUCTION HARD COSTS (Non-GC work scope items done by Owner)</v>
      </c>
      <c r="P155" s="2119"/>
      <c r="Q155" s="2130"/>
      <c r="R155" s="1380"/>
      <c r="S155" s="2119"/>
      <c r="T155" s="2130"/>
    </row>
    <row r="156" spans="1:20" ht="12.95" customHeight="1">
      <c r="A156" s="272"/>
      <c r="B156" s="2107" t="s">
        <v>579</v>
      </c>
      <c r="C156" s="2075">
        <f>'Part III-A-Uses of Funds'!C46</f>
        <v>0</v>
      </c>
      <c r="D156" s="2075"/>
      <c r="E156" s="2075"/>
      <c r="F156" s="2075"/>
      <c r="G156" s="2130">
        <f>'Part III-A-Uses of Funds'!G46</f>
        <v>0</v>
      </c>
      <c r="H156" s="2130"/>
      <c r="I156" s="1380"/>
      <c r="J156" s="2130">
        <f>'Part III-A-Uses of Funds'!J46</f>
        <v>0</v>
      </c>
      <c r="K156" s="2130"/>
      <c r="L156" s="2119"/>
      <c r="M156" s="2130">
        <f>'Part III-A-Uses of Funds'!M46</f>
        <v>0</v>
      </c>
      <c r="N156" s="2130"/>
      <c r="O156" s="1380"/>
      <c r="P156" s="2130">
        <f>'Part III-A-Uses of Funds'!P46</f>
        <v>0</v>
      </c>
      <c r="Q156" s="2130"/>
      <c r="R156" s="1380"/>
      <c r="S156" s="2130">
        <f>'Part III-A-Uses of Funds'!S46</f>
        <v>0</v>
      </c>
      <c r="T156" s="2130"/>
    </row>
    <row r="157" spans="1:20">
      <c r="A157" s="2102"/>
      <c r="B157" s="2102"/>
      <c r="C157" s="2102"/>
      <c r="D157" s="2102"/>
      <c r="E157" s="2102"/>
      <c r="F157" s="2102"/>
      <c r="G157" s="2102"/>
      <c r="H157" s="2102"/>
      <c r="I157" s="2102"/>
      <c r="J157" s="2102"/>
      <c r="K157" s="2102"/>
      <c r="L157" s="2102"/>
      <c r="M157" s="2102"/>
      <c r="N157" s="2102"/>
      <c r="O157" s="2102"/>
      <c r="P157" s="2102"/>
      <c r="Q157" s="2102"/>
      <c r="R157" s="2102"/>
      <c r="S157" s="2102"/>
      <c r="T157" s="2102"/>
    </row>
    <row r="158" spans="1:20" ht="12.95" customHeight="1">
      <c r="A158" s="1380"/>
      <c r="B158" s="2168" t="s">
        <v>2229</v>
      </c>
      <c r="C158" s="2169"/>
      <c r="D158" s="1380"/>
      <c r="E158" s="2101" t="s">
        <v>582</v>
      </c>
      <c r="F158" s="2170">
        <f>C159/'Part V-Revenues &amp; Expenses'!$P$65</f>
        <v>247739.43103448275</v>
      </c>
      <c r="G158" s="2171" t="s">
        <v>2230</v>
      </c>
      <c r="H158" s="1380"/>
      <c r="I158" s="1380"/>
      <c r="J158" s="2172">
        <f>C159/'Part V-Revenues &amp; Expenses'!$P$67</f>
        <v>247739.43103448275</v>
      </c>
      <c r="K158" s="2172"/>
      <c r="L158" s="1380"/>
      <c r="M158" s="2173" t="s">
        <v>584</v>
      </c>
      <c r="N158" s="2173"/>
      <c r="O158" s="1380"/>
      <c r="P158" s="2172">
        <f>C159/'Part V-Revenues &amp; Expenses'!$K$179</f>
        <v>292.38334282923654</v>
      </c>
      <c r="Q158" s="2172"/>
      <c r="R158" s="1380"/>
      <c r="S158" s="2174" t="s">
        <v>585</v>
      </c>
      <c r="T158" s="2174"/>
    </row>
    <row r="159" spans="1:20" ht="13.5">
      <c r="A159" s="1380"/>
      <c r="B159" s="2175" t="s">
        <v>586</v>
      </c>
      <c r="C159" s="2176">
        <f>G138+G146+G151+G156</f>
        <v>14368887</v>
      </c>
      <c r="D159" s="1380"/>
      <c r="E159" s="2101"/>
      <c r="F159" s="2170">
        <f>C159/'Part V-Revenues &amp; Expenses'!$P$170</f>
        <v>333.04484980530316</v>
      </c>
      <c r="G159" s="2174" t="s">
        <v>2231</v>
      </c>
      <c r="H159" s="1380"/>
      <c r="I159" s="1380"/>
      <c r="J159" s="2172">
        <f>C159/'Part V-Revenues &amp; Expenses'!$P$172</f>
        <v>333.04484980530316</v>
      </c>
      <c r="K159" s="2172"/>
      <c r="L159" s="1380"/>
      <c r="M159" s="2174" t="s">
        <v>588</v>
      </c>
      <c r="N159" s="2174"/>
      <c r="O159" s="1380"/>
      <c r="P159" s="1380"/>
      <c r="Q159" s="1380"/>
      <c r="R159" s="1380"/>
      <c r="S159" s="1380"/>
      <c r="T159" s="1380"/>
    </row>
    <row r="160" spans="1:20">
      <c r="A160" s="2102"/>
      <c r="B160" s="2102"/>
      <c r="C160" s="2102"/>
      <c r="D160" s="2102"/>
      <c r="E160" s="2102"/>
      <c r="F160" s="2102"/>
      <c r="G160" s="2102"/>
      <c r="H160" s="2102"/>
      <c r="I160" s="2102"/>
      <c r="J160" s="2102"/>
      <c r="K160" s="2102"/>
      <c r="L160" s="2102"/>
      <c r="M160" s="2102"/>
      <c r="N160" s="2102"/>
      <c r="O160" s="2102"/>
      <c r="P160" s="2102"/>
      <c r="Q160" s="2102"/>
      <c r="R160" s="2102"/>
      <c r="S160" s="2102"/>
      <c r="T160" s="2102"/>
    </row>
    <row r="161" spans="1:20" ht="14.45" customHeight="1">
      <c r="A161" s="2151" t="s">
        <v>21</v>
      </c>
      <c r="B161" s="2151" t="s">
        <v>2232</v>
      </c>
      <c r="C161" s="1380"/>
      <c r="D161" s="1380"/>
      <c r="E161" s="1380"/>
      <c r="F161" s="1380"/>
      <c r="G161" s="1380"/>
      <c r="H161" s="1380"/>
      <c r="I161" s="1380"/>
      <c r="J161" s="2101" t="s">
        <v>528</v>
      </c>
      <c r="K161" s="2101"/>
      <c r="L161" s="2130"/>
      <c r="M161" s="2152" t="s">
        <v>529</v>
      </c>
      <c r="N161" s="2152"/>
      <c r="O161" s="1380"/>
      <c r="P161" s="2101" t="s">
        <v>530</v>
      </c>
      <c r="Q161" s="2101"/>
      <c r="R161" s="1380"/>
      <c r="S161" s="2101" t="s">
        <v>531</v>
      </c>
      <c r="T161" s="2101"/>
    </row>
    <row r="162" spans="1:20">
      <c r="A162" s="1380"/>
      <c r="B162" s="1380"/>
      <c r="C162" s="1380"/>
      <c r="D162" s="1380"/>
      <c r="E162" s="1380"/>
      <c r="F162" s="1380"/>
      <c r="G162" s="2101" t="s">
        <v>532</v>
      </c>
      <c r="H162" s="2101"/>
      <c r="I162" s="1380"/>
      <c r="J162" s="2101"/>
      <c r="K162" s="2101"/>
      <c r="L162" s="2130"/>
      <c r="M162" s="2152"/>
      <c r="N162" s="2152"/>
      <c r="O162" s="1380"/>
      <c r="P162" s="2101"/>
      <c r="Q162" s="2101"/>
      <c r="R162" s="1380"/>
      <c r="S162" s="2101"/>
      <c r="T162" s="2101"/>
    </row>
    <row r="163" spans="1:20">
      <c r="A163" s="2102"/>
      <c r="B163" s="2102"/>
      <c r="C163" s="2102"/>
      <c r="D163" s="2102"/>
      <c r="E163" s="2102"/>
      <c r="F163" s="2102"/>
      <c r="G163" s="2102"/>
      <c r="H163" s="2102"/>
      <c r="I163" s="2102"/>
      <c r="J163" s="2102"/>
      <c r="K163" s="2102"/>
      <c r="L163" s="2102"/>
      <c r="M163" s="2102"/>
      <c r="N163" s="2102"/>
      <c r="O163" s="2102"/>
      <c r="P163" s="2102"/>
      <c r="Q163" s="2102"/>
      <c r="R163" s="2102"/>
      <c r="S163" s="2102"/>
      <c r="T163" s="2102"/>
    </row>
    <row r="164" spans="1:20">
      <c r="A164" s="1380"/>
      <c r="B164" s="2101" t="s">
        <v>590</v>
      </c>
      <c r="C164" s="1380"/>
      <c r="D164" s="1380"/>
      <c r="E164" s="1380"/>
      <c r="F164" s="963" t="s">
        <v>591</v>
      </c>
      <c r="G164" s="2101" t="str">
        <f>IF(G165&gt;E165,"Check Contingency Amount!!!!","")</f>
        <v/>
      </c>
      <c r="H164" s="1380"/>
      <c r="I164" s="1380"/>
      <c r="J164" s="2119"/>
      <c r="K164" s="2130"/>
      <c r="L164" s="1380"/>
      <c r="M164" s="2119"/>
      <c r="N164" s="2130"/>
      <c r="O164" s="2155" t="str">
        <f>B164</f>
        <v>CONSTRUCTION CONTINGENCY (CC)</v>
      </c>
      <c r="P164" s="2119"/>
      <c r="Q164" s="2130"/>
      <c r="R164" s="1380"/>
      <c r="S164" s="2119"/>
      <c r="T164" s="2130"/>
    </row>
    <row r="165" spans="1:20">
      <c r="A165" s="272"/>
      <c r="B165" s="1380" t="s">
        <v>592</v>
      </c>
      <c r="C165" s="272"/>
      <c r="D165" s="2156" t="s">
        <v>593</v>
      </c>
      <c r="E165" s="2177">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718444.35000000009</v>
      </c>
      <c r="F165" s="2138">
        <f>G165/C159</f>
        <v>4.999997564181554E-2</v>
      </c>
      <c r="G165" s="2130">
        <f>'Part III-A-Uses of Funds'!G55</f>
        <v>718444</v>
      </c>
      <c r="H165" s="2130"/>
      <c r="I165" s="1380"/>
      <c r="J165" s="2130">
        <f>'Part III-A-Uses of Funds'!J55</f>
        <v>718444</v>
      </c>
      <c r="K165" s="2130"/>
      <c r="L165" s="2119"/>
      <c r="M165" s="2130">
        <f>'Part III-A-Uses of Funds'!M55</f>
        <v>0</v>
      </c>
      <c r="N165" s="2130"/>
      <c r="O165" s="1380"/>
      <c r="P165" s="2130">
        <f>'Part III-A-Uses of Funds'!P55</f>
        <v>0</v>
      </c>
      <c r="Q165" s="2130"/>
      <c r="R165" s="1380"/>
      <c r="S165" s="2130">
        <f>'Part III-A-Uses of Funds'!S55</f>
        <v>0</v>
      </c>
      <c r="T165" s="2130"/>
    </row>
    <row r="166" spans="1:20">
      <c r="A166" s="2102"/>
      <c r="B166" s="2102"/>
      <c r="C166" s="2102"/>
      <c r="D166" s="2102"/>
      <c r="E166" s="2102"/>
      <c r="F166" s="2102"/>
      <c r="G166" s="2102"/>
      <c r="H166" s="2102"/>
      <c r="I166" s="2102"/>
      <c r="J166" s="2102"/>
      <c r="K166" s="2102"/>
      <c r="L166" s="2102"/>
      <c r="M166" s="2102"/>
      <c r="N166" s="2102"/>
      <c r="O166" s="2102"/>
      <c r="P166" s="2102"/>
      <c r="Q166" s="2102"/>
      <c r="R166" s="2102"/>
      <c r="S166" s="2102"/>
      <c r="T166" s="2102"/>
    </row>
    <row r="167" spans="1:20" ht="12.95" customHeight="1">
      <c r="A167" s="1380"/>
      <c r="B167" s="2178" t="s">
        <v>594</v>
      </c>
      <c r="C167" s="2169"/>
      <c r="D167" s="1380"/>
      <c r="E167" s="2101" t="s">
        <v>595</v>
      </c>
      <c r="F167" s="2170">
        <f>B168/'Part V-Revenues &amp; Expenses'!$P$65</f>
        <v>260126.39655172414</v>
      </c>
      <c r="G167" s="2171" t="s">
        <v>2230</v>
      </c>
      <c r="H167" s="1380"/>
      <c r="I167" s="1380"/>
      <c r="J167" s="2172">
        <f>B168/'Part V-Revenues &amp; Expenses'!$P$67</f>
        <v>260126.39655172414</v>
      </c>
      <c r="K167" s="2172"/>
      <c r="L167" s="1380"/>
      <c r="M167" s="2173" t="s">
        <v>584</v>
      </c>
      <c r="N167" s="2173"/>
      <c r="O167" s="1380"/>
      <c r="P167" s="2172">
        <f>B168/'Part V-Revenues &amp; Expenses'!$K$179</f>
        <v>307.00250284877097</v>
      </c>
      <c r="Q167" s="2172"/>
      <c r="R167" s="1380"/>
      <c r="S167" s="2174" t="s">
        <v>585</v>
      </c>
      <c r="T167" s="2174"/>
    </row>
    <row r="168" spans="1:20">
      <c r="A168" s="1380"/>
      <c r="B168" s="2176">
        <f>C159+G165</f>
        <v>15087331</v>
      </c>
      <c r="C168" s="2176"/>
      <c r="D168" s="1380"/>
      <c r="E168" s="2101"/>
      <c r="F168" s="2170">
        <f>B168/'Part V-Revenues &amp; Expenses'!$P$170</f>
        <v>349.69708418320045</v>
      </c>
      <c r="G168" s="2174" t="s">
        <v>2231</v>
      </c>
      <c r="H168" s="1380"/>
      <c r="I168" s="1380"/>
      <c r="J168" s="2172">
        <f>B168/'Part V-Revenues &amp; Expenses'!$P$172</f>
        <v>349.69708418320045</v>
      </c>
      <c r="K168" s="2172"/>
      <c r="L168" s="1380"/>
      <c r="M168" s="2174" t="s">
        <v>588</v>
      </c>
      <c r="N168" s="2174"/>
      <c r="O168" s="1380"/>
      <c r="P168" s="1380"/>
      <c r="Q168" s="1380"/>
      <c r="R168" s="1380"/>
      <c r="S168" s="1380"/>
      <c r="T168" s="1380"/>
    </row>
    <row r="169" spans="1:20">
      <c r="A169" s="2102"/>
      <c r="B169" s="2102"/>
      <c r="C169" s="2102"/>
      <c r="D169" s="2102"/>
      <c r="E169" s="2102"/>
      <c r="F169" s="2102"/>
      <c r="G169" s="2102"/>
      <c r="H169" s="2102"/>
      <c r="I169" s="2102"/>
      <c r="J169" s="2102"/>
      <c r="K169" s="2102"/>
      <c r="L169" s="2102"/>
      <c r="M169" s="2102"/>
      <c r="N169" s="2102"/>
      <c r="O169" s="2102"/>
      <c r="P169" s="2102"/>
      <c r="Q169" s="2102"/>
      <c r="R169" s="2102"/>
      <c r="S169" s="2102"/>
      <c r="T169" s="2102"/>
    </row>
    <row r="170" spans="1:20">
      <c r="A170" s="1380"/>
      <c r="B170" s="2101" t="s">
        <v>596</v>
      </c>
      <c r="C170" s="1380"/>
      <c r="D170" s="1380"/>
      <c r="E170" s="1380"/>
      <c r="F170" s="1380"/>
      <c r="G170" s="1380"/>
      <c r="H170" s="1380"/>
      <c r="I170" s="1380"/>
      <c r="J170" s="2119"/>
      <c r="K170" s="2130"/>
      <c r="L170" s="1380"/>
      <c r="M170" s="2119"/>
      <c r="N170" s="2130"/>
      <c r="O170" s="2155" t="str">
        <f>B170</f>
        <v>CONSTRUCTION PERIOD FINANCING</v>
      </c>
      <c r="P170" s="2119"/>
      <c r="Q170" s="2130"/>
      <c r="R170" s="1380"/>
      <c r="S170" s="2119"/>
      <c r="T170" s="2130"/>
    </row>
    <row r="171" spans="1:20">
      <c r="A171" s="1380"/>
      <c r="B171" s="1380" t="s">
        <v>597</v>
      </c>
      <c r="C171" s="1380"/>
      <c r="D171" s="1380"/>
      <c r="E171" s="1380"/>
      <c r="F171" s="1380"/>
      <c r="G171" s="2130">
        <f>'Part III-A-Uses of Funds'!G61</f>
        <v>0</v>
      </c>
      <c r="H171" s="2130"/>
      <c r="I171" s="1380"/>
      <c r="J171" s="2130">
        <f>'Part III-A-Uses of Funds'!J61</f>
        <v>0</v>
      </c>
      <c r="K171" s="2130"/>
      <c r="L171" s="2119"/>
      <c r="M171" s="2130">
        <f>'Part III-A-Uses of Funds'!M61</f>
        <v>0</v>
      </c>
      <c r="N171" s="2130"/>
      <c r="O171" s="1380"/>
      <c r="P171" s="2130">
        <f>'Part III-A-Uses of Funds'!P61</f>
        <v>0</v>
      </c>
      <c r="Q171" s="2130"/>
      <c r="R171" s="1380"/>
      <c r="S171" s="2130">
        <f>'Part III-A-Uses of Funds'!S61</f>
        <v>0</v>
      </c>
      <c r="T171" s="2130"/>
    </row>
    <row r="172" spans="1:20">
      <c r="A172" s="1380"/>
      <c r="B172" s="1380" t="s">
        <v>598</v>
      </c>
      <c r="C172" s="1380"/>
      <c r="D172" s="1380"/>
      <c r="E172" s="1380"/>
      <c r="F172" s="1380"/>
      <c r="G172" s="2130">
        <f>'Part III-A-Uses of Funds'!G62</f>
        <v>0</v>
      </c>
      <c r="H172" s="2130"/>
      <c r="I172" s="1380"/>
      <c r="J172" s="2130">
        <f>'Part III-A-Uses of Funds'!J62</f>
        <v>0</v>
      </c>
      <c r="K172" s="2130"/>
      <c r="L172" s="2119"/>
      <c r="M172" s="2130">
        <f>'Part III-A-Uses of Funds'!M62</f>
        <v>0</v>
      </c>
      <c r="N172" s="2130"/>
      <c r="O172" s="1380"/>
      <c r="P172" s="2130">
        <f>'Part III-A-Uses of Funds'!P62</f>
        <v>0</v>
      </c>
      <c r="Q172" s="2130"/>
      <c r="R172" s="1380"/>
      <c r="S172" s="2130">
        <f>'Part III-A-Uses of Funds'!S62</f>
        <v>0</v>
      </c>
      <c r="T172" s="2130"/>
    </row>
    <row r="173" spans="1:20">
      <c r="A173" s="1380"/>
      <c r="B173" s="1380" t="s">
        <v>599</v>
      </c>
      <c r="C173" s="1380"/>
      <c r="D173" s="1380"/>
      <c r="E173" s="1380"/>
      <c r="F173" s="1380"/>
      <c r="G173" s="2130">
        <f>'Part III-A-Uses of Funds'!G63</f>
        <v>131489</v>
      </c>
      <c r="H173" s="2130"/>
      <c r="I173" s="1380"/>
      <c r="J173" s="2130">
        <f>'Part III-A-Uses of Funds'!J63</f>
        <v>85468</v>
      </c>
      <c r="K173" s="2130"/>
      <c r="L173" s="2119"/>
      <c r="M173" s="2130">
        <f>'Part III-A-Uses of Funds'!M63</f>
        <v>0</v>
      </c>
      <c r="N173" s="2130"/>
      <c r="O173" s="1380"/>
      <c r="P173" s="2130">
        <f>'Part III-A-Uses of Funds'!P63</f>
        <v>0</v>
      </c>
      <c r="Q173" s="2130"/>
      <c r="R173" s="1380"/>
      <c r="S173" s="2130">
        <f>'Part III-A-Uses of Funds'!S63</f>
        <v>46021</v>
      </c>
      <c r="T173" s="2130"/>
    </row>
    <row r="174" spans="1:20">
      <c r="A174" s="1380"/>
      <c r="B174" s="1380" t="s">
        <v>600</v>
      </c>
      <c r="C174" s="1380"/>
      <c r="D174" s="1380"/>
      <c r="E174" s="1380"/>
      <c r="F174" s="1380"/>
      <c r="G174" s="2130">
        <f>'Part III-A-Uses of Funds'!G64</f>
        <v>942439</v>
      </c>
      <c r="H174" s="2130"/>
      <c r="I174" s="1380"/>
      <c r="J174" s="2130">
        <f>'Part III-A-Uses of Funds'!J64</f>
        <v>612586</v>
      </c>
      <c r="K174" s="2130"/>
      <c r="L174" s="2119"/>
      <c r="M174" s="2130">
        <f>'Part III-A-Uses of Funds'!M64</f>
        <v>0</v>
      </c>
      <c r="N174" s="2130"/>
      <c r="O174" s="1380"/>
      <c r="P174" s="2130">
        <f>'Part III-A-Uses of Funds'!P64</f>
        <v>0</v>
      </c>
      <c r="Q174" s="2130"/>
      <c r="R174" s="1380"/>
      <c r="S174" s="2130">
        <f>'Part III-A-Uses of Funds'!S64</f>
        <v>329854</v>
      </c>
      <c r="T174" s="2130"/>
    </row>
    <row r="175" spans="1:20">
      <c r="A175" s="1380"/>
      <c r="B175" s="1380" t="s">
        <v>601</v>
      </c>
      <c r="C175" s="1380"/>
      <c r="D175" s="1380"/>
      <c r="E175" s="1380"/>
      <c r="F175" s="1380"/>
      <c r="G175" s="2130">
        <f>'Part III-A-Uses of Funds'!G65</f>
        <v>50000</v>
      </c>
      <c r="H175" s="2130"/>
      <c r="I175" s="1380"/>
      <c r="J175" s="2130">
        <f>'Part III-A-Uses of Funds'!J65</f>
        <v>32500</v>
      </c>
      <c r="K175" s="2130"/>
      <c r="L175" s="2119"/>
      <c r="M175" s="2130">
        <f>'Part III-A-Uses of Funds'!M65</f>
        <v>0</v>
      </c>
      <c r="N175" s="2130"/>
      <c r="O175" s="1380"/>
      <c r="P175" s="2130">
        <f>'Part III-A-Uses of Funds'!P65</f>
        <v>0</v>
      </c>
      <c r="Q175" s="2130"/>
      <c r="R175" s="1380"/>
      <c r="S175" s="2130">
        <f>'Part III-A-Uses of Funds'!S65</f>
        <v>17500</v>
      </c>
      <c r="T175" s="2130"/>
    </row>
    <row r="176" spans="1:20">
      <c r="A176" s="1380"/>
      <c r="B176" s="1380" t="s">
        <v>603</v>
      </c>
      <c r="C176" s="1380"/>
      <c r="D176" s="1380"/>
      <c r="E176" s="1380"/>
      <c r="F176" s="1380"/>
      <c r="G176" s="2130">
        <f>'Part III-A-Uses of Funds'!G66</f>
        <v>33000</v>
      </c>
      <c r="H176" s="2130"/>
      <c r="I176" s="1380"/>
      <c r="J176" s="2130">
        <f>'Part III-A-Uses of Funds'!J66</f>
        <v>33000</v>
      </c>
      <c r="K176" s="2130"/>
      <c r="L176" s="2119"/>
      <c r="M176" s="2130">
        <f>'Part III-A-Uses of Funds'!M66</f>
        <v>0</v>
      </c>
      <c r="N176" s="2130"/>
      <c r="O176" s="1380"/>
      <c r="P176" s="2130">
        <f>'Part III-A-Uses of Funds'!P66</f>
        <v>0</v>
      </c>
      <c r="Q176" s="2130"/>
      <c r="R176" s="1380"/>
      <c r="S176" s="2130">
        <f>'Part III-A-Uses of Funds'!S66</f>
        <v>0</v>
      </c>
      <c r="T176" s="2130"/>
    </row>
    <row r="177" spans="1:20">
      <c r="A177" s="1380"/>
      <c r="B177" s="1380" t="s">
        <v>605</v>
      </c>
      <c r="C177" s="1380"/>
      <c r="D177" s="1380"/>
      <c r="E177" s="1380"/>
      <c r="F177" s="1380"/>
      <c r="G177" s="2130">
        <f>'Part III-A-Uses of Funds'!G67</f>
        <v>20000</v>
      </c>
      <c r="H177" s="2130"/>
      <c r="I177" s="1380"/>
      <c r="J177" s="2130">
        <f>'Part III-A-Uses of Funds'!J67</f>
        <v>20000</v>
      </c>
      <c r="K177" s="2130"/>
      <c r="L177" s="2119"/>
      <c r="M177" s="2130">
        <f>'Part III-A-Uses of Funds'!M67</f>
        <v>0</v>
      </c>
      <c r="N177" s="2130"/>
      <c r="O177" s="1380"/>
      <c r="P177" s="2130">
        <f>'Part III-A-Uses of Funds'!P67</f>
        <v>0</v>
      </c>
      <c r="Q177" s="2130"/>
      <c r="R177" s="1380"/>
      <c r="S177" s="2130">
        <f>'Part III-A-Uses of Funds'!S67</f>
        <v>0</v>
      </c>
      <c r="T177" s="2130"/>
    </row>
    <row r="178" spans="1:20">
      <c r="A178" s="1380"/>
      <c r="B178" s="1380" t="s">
        <v>607</v>
      </c>
      <c r="C178" s="1380"/>
      <c r="D178" s="1380"/>
      <c r="E178" s="1380"/>
      <c r="F178" s="1380"/>
      <c r="G178" s="2130">
        <f>'Part III-A-Uses of Funds'!G68</f>
        <v>125000</v>
      </c>
      <c r="H178" s="2130"/>
      <c r="I178" s="1380"/>
      <c r="J178" s="2130">
        <f>'Part III-A-Uses of Funds'!J68</f>
        <v>125000</v>
      </c>
      <c r="K178" s="2130"/>
      <c r="L178" s="2119"/>
      <c r="M178" s="2130">
        <f>'Part III-A-Uses of Funds'!M68</f>
        <v>0</v>
      </c>
      <c r="N178" s="2130"/>
      <c r="O178" s="1380"/>
      <c r="P178" s="2130">
        <f>'Part III-A-Uses of Funds'!P68</f>
        <v>0</v>
      </c>
      <c r="Q178" s="2130"/>
      <c r="R178" s="1380"/>
      <c r="S178" s="2130">
        <f>'Part III-A-Uses of Funds'!S68</f>
        <v>0</v>
      </c>
      <c r="T178" s="2130"/>
    </row>
    <row r="179" spans="1:20">
      <c r="A179" s="1380"/>
      <c r="B179" s="1380" t="s">
        <v>608</v>
      </c>
      <c r="C179" s="1380"/>
      <c r="D179" s="1380"/>
      <c r="E179" s="1380"/>
      <c r="F179" s="1380"/>
      <c r="G179" s="2130">
        <f>'Part III-A-Uses of Funds'!G69</f>
        <v>0</v>
      </c>
      <c r="H179" s="2130"/>
      <c r="I179" s="1380"/>
      <c r="J179" s="2130">
        <f>'Part III-A-Uses of Funds'!J69</f>
        <v>0</v>
      </c>
      <c r="K179" s="2130"/>
      <c r="L179" s="2119"/>
      <c r="M179" s="2130">
        <f>'Part III-A-Uses of Funds'!M69</f>
        <v>0</v>
      </c>
      <c r="N179" s="2130"/>
      <c r="O179" s="1380"/>
      <c r="P179" s="2130">
        <f>'Part III-A-Uses of Funds'!P69</f>
        <v>0</v>
      </c>
      <c r="Q179" s="2130"/>
      <c r="R179" s="1380"/>
      <c r="S179" s="2130">
        <f>'Part III-A-Uses of Funds'!S69</f>
        <v>0</v>
      </c>
      <c r="T179" s="2130"/>
    </row>
    <row r="180" spans="1:20">
      <c r="A180" s="1380"/>
      <c r="B180" s="2179" t="s">
        <v>609</v>
      </c>
      <c r="C180" s="1380"/>
      <c r="D180" s="2180"/>
      <c r="E180" s="2180"/>
      <c r="F180" s="2181"/>
      <c r="G180" s="2130">
        <f>'Part III-A-Uses of Funds'!G70</f>
        <v>93398</v>
      </c>
      <c r="H180" s="2130"/>
      <c r="I180" s="272"/>
      <c r="J180" s="2130">
        <f>'Part III-A-Uses of Funds'!J70</f>
        <v>93398</v>
      </c>
      <c r="K180" s="2130"/>
      <c r="L180" s="2119"/>
      <c r="M180" s="2130">
        <f>'Part III-A-Uses of Funds'!M70</f>
        <v>0</v>
      </c>
      <c r="N180" s="2130"/>
      <c r="O180" s="1380"/>
      <c r="P180" s="2130">
        <f>'Part III-A-Uses of Funds'!P70</f>
        <v>0</v>
      </c>
      <c r="Q180" s="2130"/>
      <c r="R180" s="1380"/>
      <c r="S180" s="2130">
        <f>'Part III-A-Uses of Funds'!S70</f>
        <v>0</v>
      </c>
      <c r="T180" s="2130"/>
    </row>
    <row r="181" spans="1:20" ht="15.6" customHeight="1">
      <c r="A181" s="2153" t="str">
        <f>IF(AND(G181&gt;0,OR(C181="",C181="&lt;Enter detailed description here; use Comments section if needed&gt;")),"X","")</f>
        <v/>
      </c>
      <c r="B181" s="2107" t="s">
        <v>610</v>
      </c>
      <c r="C181" s="2075" t="str">
        <f>'Part III-A-Uses of Funds'!C71</f>
        <v>Construction Loan Due Diligence</v>
      </c>
      <c r="D181" s="2075"/>
      <c r="E181" s="2075"/>
      <c r="F181" s="2075"/>
      <c r="G181" s="2130">
        <f>'Part III-A-Uses of Funds'!G71</f>
        <v>25000</v>
      </c>
      <c r="H181" s="2130"/>
      <c r="I181" s="1380"/>
      <c r="J181" s="2130">
        <f>'Part III-A-Uses of Funds'!J71</f>
        <v>25000</v>
      </c>
      <c r="K181" s="2130"/>
      <c r="L181" s="2119"/>
      <c r="M181" s="2130">
        <f>'Part III-A-Uses of Funds'!M71</f>
        <v>0</v>
      </c>
      <c r="N181" s="2130"/>
      <c r="O181" s="1380"/>
      <c r="P181" s="2130">
        <f>'Part III-A-Uses of Funds'!P71</f>
        <v>0</v>
      </c>
      <c r="Q181" s="2130"/>
      <c r="R181" s="1380"/>
      <c r="S181" s="2130">
        <f>'Part III-A-Uses of Funds'!S71</f>
        <v>0</v>
      </c>
      <c r="T181" s="2130"/>
    </row>
    <row r="182" spans="1:20" ht="15.95" customHeight="1">
      <c r="A182" s="2153" t="str">
        <f>IF(AND(G182&gt;0,OR(C182="",C182="&lt;Enter detailed description here; use Comments section if needed&gt;")),"X","")</f>
        <v/>
      </c>
      <c r="B182" s="2107" t="s">
        <v>612</v>
      </c>
      <c r="C182" s="2075" t="str">
        <f>'Part III-A-Uses of Funds'!C72</f>
        <v>&lt;&lt; Enter description here; provide detail &amp; justification in tab Part III-b &gt;&gt;</v>
      </c>
      <c r="D182" s="2075"/>
      <c r="E182" s="2075"/>
      <c r="F182" s="2075"/>
      <c r="G182" s="2130">
        <f>'Part III-A-Uses of Funds'!G72</f>
        <v>0</v>
      </c>
      <c r="H182" s="2130"/>
      <c r="I182" s="1380"/>
      <c r="J182" s="2130">
        <f>'Part III-A-Uses of Funds'!J72</f>
        <v>0</v>
      </c>
      <c r="K182" s="2130"/>
      <c r="L182" s="2119"/>
      <c r="M182" s="2130">
        <f>'Part III-A-Uses of Funds'!M72</f>
        <v>0</v>
      </c>
      <c r="N182" s="2130"/>
      <c r="O182" s="1380"/>
      <c r="P182" s="2130">
        <f>'Part III-A-Uses of Funds'!P72</f>
        <v>0</v>
      </c>
      <c r="Q182" s="2130"/>
      <c r="R182" s="1380"/>
      <c r="S182" s="2130">
        <f>'Part III-A-Uses of Funds'!S72</f>
        <v>0</v>
      </c>
      <c r="T182" s="2130"/>
    </row>
    <row r="183" spans="1:20">
      <c r="A183" s="1380"/>
      <c r="B183" s="1380"/>
      <c r="C183" s="1380"/>
      <c r="D183" s="1380"/>
      <c r="E183" s="1380"/>
      <c r="F183" s="2154" t="s">
        <v>548</v>
      </c>
      <c r="G183" s="2130">
        <f>SUM(G171:G182)</f>
        <v>1420326</v>
      </c>
      <c r="H183" s="2130"/>
      <c r="I183" s="1380"/>
      <c r="J183" s="2130">
        <f>SUM(J171:J182)</f>
        <v>1026952</v>
      </c>
      <c r="K183" s="2130"/>
      <c r="L183" s="2119"/>
      <c r="M183" s="2130">
        <f>SUM(M171:M182)</f>
        <v>0</v>
      </c>
      <c r="N183" s="2130"/>
      <c r="O183" s="1380"/>
      <c r="P183" s="2130">
        <f>SUM(P171:P182)</f>
        <v>0</v>
      </c>
      <c r="Q183" s="2130"/>
      <c r="R183" s="1380"/>
      <c r="S183" s="2130">
        <f>SUM(S171:S182)</f>
        <v>393375</v>
      </c>
      <c r="T183" s="2130"/>
    </row>
    <row r="184" spans="1:20">
      <c r="A184" s="1380"/>
      <c r="B184" s="2101" t="s">
        <v>613</v>
      </c>
      <c r="C184" s="1380"/>
      <c r="D184" s="1380"/>
      <c r="E184" s="1380"/>
      <c r="F184" s="1380"/>
      <c r="G184" s="2130"/>
      <c r="H184" s="2130"/>
      <c r="I184" s="1380"/>
      <c r="J184" s="2130"/>
      <c r="K184" s="2130"/>
      <c r="L184" s="1380"/>
      <c r="M184" s="2130"/>
      <c r="N184" s="2130"/>
      <c r="O184" s="2155" t="str">
        <f>B184</f>
        <v>PROFESSIONAL SERVICES</v>
      </c>
      <c r="P184" s="2130"/>
      <c r="Q184" s="2130"/>
      <c r="R184" s="1380"/>
      <c r="S184" s="2130"/>
      <c r="T184" s="2130"/>
    </row>
    <row r="185" spans="1:20">
      <c r="A185" s="1380"/>
      <c r="B185" s="1380" t="s">
        <v>614</v>
      </c>
      <c r="C185" s="1380"/>
      <c r="D185" s="1380"/>
      <c r="E185" s="1380"/>
      <c r="F185" s="1380"/>
      <c r="G185" s="2130">
        <f>'Part III-A-Uses of Funds'!G75</f>
        <v>350000</v>
      </c>
      <c r="H185" s="2130"/>
      <c r="I185" s="1380"/>
      <c r="J185" s="2130">
        <f>'Part III-A-Uses of Funds'!J75</f>
        <v>350000</v>
      </c>
      <c r="K185" s="2130"/>
      <c r="L185" s="2119"/>
      <c r="M185" s="2130">
        <f>'Part III-A-Uses of Funds'!M75</f>
        <v>0</v>
      </c>
      <c r="N185" s="2130"/>
      <c r="O185" s="1380"/>
      <c r="P185" s="2130">
        <f>'Part III-A-Uses of Funds'!P75</f>
        <v>0</v>
      </c>
      <c r="Q185" s="2130"/>
      <c r="R185" s="1380"/>
      <c r="S185" s="2130">
        <f>'Part III-A-Uses of Funds'!S75</f>
        <v>0</v>
      </c>
      <c r="T185" s="2130"/>
    </row>
    <row r="186" spans="1:20">
      <c r="A186" s="1380"/>
      <c r="B186" s="1380" t="s">
        <v>615</v>
      </c>
      <c r="C186" s="1380"/>
      <c r="D186" s="1380"/>
      <c r="E186" s="1380"/>
      <c r="F186" s="1380"/>
      <c r="G186" s="2130">
        <f>'Part III-A-Uses of Funds'!G76</f>
        <v>50000</v>
      </c>
      <c r="H186" s="2130"/>
      <c r="I186" s="1380"/>
      <c r="J186" s="2130">
        <f>'Part III-A-Uses of Funds'!J76</f>
        <v>50000</v>
      </c>
      <c r="K186" s="2130"/>
      <c r="L186" s="2119"/>
      <c r="M186" s="2130">
        <f>'Part III-A-Uses of Funds'!M76</f>
        <v>0</v>
      </c>
      <c r="N186" s="2130"/>
      <c r="O186" s="1380"/>
      <c r="P186" s="2130">
        <f>'Part III-A-Uses of Funds'!P76</f>
        <v>0</v>
      </c>
      <c r="Q186" s="2130"/>
      <c r="R186" s="1380"/>
      <c r="S186" s="2130">
        <f>'Part III-A-Uses of Funds'!S76</f>
        <v>0</v>
      </c>
      <c r="T186" s="2130"/>
    </row>
    <row r="187" spans="1:20">
      <c r="A187" s="1380"/>
      <c r="B187" s="1380" t="s">
        <v>616</v>
      </c>
      <c r="C187" s="1380"/>
      <c r="D187" s="2112"/>
      <c r="E187" s="2182"/>
      <c r="F187" s="2101"/>
      <c r="G187" s="2130">
        <f>'Part III-A-Uses of Funds'!G77</f>
        <v>35000</v>
      </c>
      <c r="H187" s="2130"/>
      <c r="I187" s="1380"/>
      <c r="J187" s="2130">
        <f>'Part III-A-Uses of Funds'!J77</f>
        <v>35000</v>
      </c>
      <c r="K187" s="2130"/>
      <c r="L187" s="2119"/>
      <c r="M187" s="2130">
        <f>'Part III-A-Uses of Funds'!M77</f>
        <v>0</v>
      </c>
      <c r="N187" s="2130"/>
      <c r="O187" s="1380"/>
      <c r="P187" s="2130">
        <f>'Part III-A-Uses of Funds'!P77</f>
        <v>0</v>
      </c>
      <c r="Q187" s="2130"/>
      <c r="R187" s="1380"/>
      <c r="S187" s="2130">
        <f>'Part III-A-Uses of Funds'!S77</f>
        <v>0</v>
      </c>
      <c r="T187" s="2130"/>
    </row>
    <row r="188" spans="1:20">
      <c r="A188" s="1380"/>
      <c r="B188" s="1380" t="s">
        <v>617</v>
      </c>
      <c r="C188" s="1380"/>
      <c r="D188" s="1380"/>
      <c r="E188" s="1380"/>
      <c r="F188" s="1380"/>
      <c r="G188" s="2130">
        <f>'Part III-A-Uses of Funds'!G78</f>
        <v>0</v>
      </c>
      <c r="H188" s="2130"/>
      <c r="I188" s="1380"/>
      <c r="J188" s="2130">
        <f>'Part III-A-Uses of Funds'!J78</f>
        <v>0</v>
      </c>
      <c r="K188" s="2130"/>
      <c r="L188" s="2119"/>
      <c r="M188" s="2130">
        <f>'Part III-A-Uses of Funds'!M78</f>
        <v>0</v>
      </c>
      <c r="N188" s="2130"/>
      <c r="O188" s="1380"/>
      <c r="P188" s="2130">
        <f>'Part III-A-Uses of Funds'!P78</f>
        <v>0</v>
      </c>
      <c r="Q188" s="2130"/>
      <c r="R188" s="1380"/>
      <c r="S188" s="2130">
        <f>'Part III-A-Uses of Funds'!S78</f>
        <v>0</v>
      </c>
      <c r="T188" s="2130"/>
    </row>
    <row r="189" spans="1:20">
      <c r="A189" s="1380"/>
      <c r="B189" s="1380" t="s">
        <v>618</v>
      </c>
      <c r="C189" s="1380"/>
      <c r="D189" s="1380"/>
      <c r="E189" s="1380"/>
      <c r="F189" s="1380"/>
      <c r="G189" s="2130">
        <f>'Part III-A-Uses of Funds'!G79</f>
        <v>18600</v>
      </c>
      <c r="H189" s="2130"/>
      <c r="I189" s="1380"/>
      <c r="J189" s="2130">
        <f>'Part III-A-Uses of Funds'!J79</f>
        <v>18600</v>
      </c>
      <c r="K189" s="2130"/>
      <c r="L189" s="2119"/>
      <c r="M189" s="2130">
        <f>'Part III-A-Uses of Funds'!M79</f>
        <v>0</v>
      </c>
      <c r="N189" s="2130"/>
      <c r="O189" s="1380"/>
      <c r="P189" s="2130">
        <f>'Part III-A-Uses of Funds'!P79</f>
        <v>0</v>
      </c>
      <c r="Q189" s="2130"/>
      <c r="R189" s="1380"/>
      <c r="S189" s="2130">
        <f>'Part III-A-Uses of Funds'!S79</f>
        <v>0</v>
      </c>
      <c r="T189" s="2130"/>
    </row>
    <row r="190" spans="1:20">
      <c r="A190" s="1380"/>
      <c r="B190" s="1380" t="s">
        <v>620</v>
      </c>
      <c r="C190" s="1380"/>
      <c r="D190" s="1380"/>
      <c r="E190" s="1380"/>
      <c r="F190" s="1380"/>
      <c r="G190" s="2130">
        <f>'Part III-A-Uses of Funds'!G80</f>
        <v>75000</v>
      </c>
      <c r="H190" s="2130"/>
      <c r="I190" s="1380"/>
      <c r="J190" s="2130">
        <f>'Part III-A-Uses of Funds'!J80</f>
        <v>75000</v>
      </c>
      <c r="K190" s="2130"/>
      <c r="L190" s="2119"/>
      <c r="M190" s="2130">
        <f>'Part III-A-Uses of Funds'!M80</f>
        <v>0</v>
      </c>
      <c r="N190" s="2130"/>
      <c r="O190" s="1380"/>
      <c r="P190" s="2130">
        <f>'Part III-A-Uses of Funds'!P80</f>
        <v>0</v>
      </c>
      <c r="Q190" s="2130"/>
      <c r="R190" s="1380"/>
      <c r="S190" s="2130">
        <f>'Part III-A-Uses of Funds'!S80</f>
        <v>0</v>
      </c>
      <c r="T190" s="2130"/>
    </row>
    <row r="191" spans="1:20">
      <c r="A191" s="1380"/>
      <c r="B191" s="1380" t="s">
        <v>622</v>
      </c>
      <c r="C191" s="1380"/>
      <c r="D191" s="1380"/>
      <c r="E191" s="1380"/>
      <c r="F191" s="1380"/>
      <c r="G191" s="2130">
        <f>'Part III-A-Uses of Funds'!G81</f>
        <v>150000</v>
      </c>
      <c r="H191" s="2130"/>
      <c r="I191" s="1380"/>
      <c r="J191" s="2130">
        <f>'Part III-A-Uses of Funds'!J81</f>
        <v>150000</v>
      </c>
      <c r="K191" s="2130"/>
      <c r="L191" s="2119"/>
      <c r="M191" s="2130">
        <f>'Part III-A-Uses of Funds'!M81</f>
        <v>0</v>
      </c>
      <c r="N191" s="2130"/>
      <c r="O191" s="1380"/>
      <c r="P191" s="2130">
        <f>'Part III-A-Uses of Funds'!P81</f>
        <v>0</v>
      </c>
      <c r="Q191" s="2130"/>
      <c r="R191" s="1380"/>
      <c r="S191" s="2130">
        <f>'Part III-A-Uses of Funds'!S81</f>
        <v>0</v>
      </c>
      <c r="T191" s="2130"/>
    </row>
    <row r="192" spans="1:20">
      <c r="A192" s="1380"/>
      <c r="B192" s="1380" t="s">
        <v>623</v>
      </c>
      <c r="C192" s="1380"/>
      <c r="D192" s="1380"/>
      <c r="E192" s="1380"/>
      <c r="F192" s="1380"/>
      <c r="G192" s="2130">
        <f>'Part III-A-Uses of Funds'!G82</f>
        <v>150000</v>
      </c>
      <c r="H192" s="2130"/>
      <c r="I192" s="1380"/>
      <c r="J192" s="2130">
        <f>'Part III-A-Uses of Funds'!J82</f>
        <v>100000</v>
      </c>
      <c r="K192" s="2130"/>
      <c r="L192" s="2119"/>
      <c r="M192" s="2130">
        <f>'Part III-A-Uses of Funds'!M82</f>
        <v>0</v>
      </c>
      <c r="N192" s="2130"/>
      <c r="O192" s="1380"/>
      <c r="P192" s="2130">
        <f>'Part III-A-Uses of Funds'!P82</f>
        <v>0</v>
      </c>
      <c r="Q192" s="2130"/>
      <c r="R192" s="1380"/>
      <c r="S192" s="2130">
        <f>'Part III-A-Uses of Funds'!S82</f>
        <v>50000</v>
      </c>
      <c r="T192" s="2130"/>
    </row>
    <row r="193" spans="1:20">
      <c r="A193" s="1380"/>
      <c r="B193" s="1380" t="s">
        <v>624</v>
      </c>
      <c r="C193" s="1380"/>
      <c r="D193" s="1380"/>
      <c r="E193" s="1380"/>
      <c r="F193" s="1380"/>
      <c r="G193" s="2130">
        <f>'Part III-A-Uses of Funds'!G83</f>
        <v>40000</v>
      </c>
      <c r="H193" s="2130"/>
      <c r="I193" s="1380"/>
      <c r="J193" s="2130">
        <f>'Part III-A-Uses of Funds'!J83</f>
        <v>40000</v>
      </c>
      <c r="K193" s="2130"/>
      <c r="L193" s="2119"/>
      <c r="M193" s="2130">
        <f>'Part III-A-Uses of Funds'!M83</f>
        <v>0</v>
      </c>
      <c r="N193" s="2130"/>
      <c r="O193" s="1380"/>
      <c r="P193" s="2130">
        <f>'Part III-A-Uses of Funds'!P83</f>
        <v>0</v>
      </c>
      <c r="Q193" s="2130"/>
      <c r="R193" s="1380"/>
      <c r="S193" s="2130">
        <f>'Part III-A-Uses of Funds'!S83</f>
        <v>0</v>
      </c>
      <c r="T193" s="2130"/>
    </row>
    <row r="194" spans="1:20">
      <c r="A194" s="1380"/>
      <c r="B194" s="1380" t="s">
        <v>625</v>
      </c>
      <c r="C194" s="1380"/>
      <c r="D194" s="1380"/>
      <c r="E194" s="1380"/>
      <c r="F194" s="1380"/>
      <c r="G194" s="2130">
        <f>'Part III-A-Uses of Funds'!G84</f>
        <v>10000</v>
      </c>
      <c r="H194" s="2130"/>
      <c r="I194" s="1380"/>
      <c r="J194" s="2130">
        <f>'Part III-A-Uses of Funds'!J84</f>
        <v>10000</v>
      </c>
      <c r="K194" s="2130"/>
      <c r="L194" s="2119"/>
      <c r="M194" s="2130">
        <f>'Part III-A-Uses of Funds'!M84</f>
        <v>0</v>
      </c>
      <c r="N194" s="2130"/>
      <c r="O194" s="1380"/>
      <c r="P194" s="2130">
        <f>'Part III-A-Uses of Funds'!P84</f>
        <v>0</v>
      </c>
      <c r="Q194" s="2130"/>
      <c r="R194" s="1380"/>
      <c r="S194" s="2130">
        <f>'Part III-A-Uses of Funds'!S84</f>
        <v>0</v>
      </c>
      <c r="T194" s="2130"/>
    </row>
    <row r="195" spans="1:20" ht="15.95" customHeight="1">
      <c r="A195" s="2153" t="str">
        <f>IF(AND(G195&gt;0,OR(C195="",C195="&lt;Enter detailed description here; use Comments section if needed&gt;")),"X","")</f>
        <v/>
      </c>
      <c r="B195" s="2107" t="s">
        <v>626</v>
      </c>
      <c r="C195" s="2075" t="str">
        <f>'Part III-A-Uses of Funds'!C85</f>
        <v>Radon Testing</v>
      </c>
      <c r="D195" s="2075"/>
      <c r="E195" s="2075"/>
      <c r="F195" s="2075"/>
      <c r="G195" s="2130">
        <f>'Part III-A-Uses of Funds'!G85</f>
        <v>6500</v>
      </c>
      <c r="H195" s="2130"/>
      <c r="I195" s="1380"/>
      <c r="J195" s="2130">
        <f>'Part III-A-Uses of Funds'!J85</f>
        <v>6500</v>
      </c>
      <c r="K195" s="2130"/>
      <c r="L195" s="2119"/>
      <c r="M195" s="2130">
        <f>'Part III-A-Uses of Funds'!M85</f>
        <v>0</v>
      </c>
      <c r="N195" s="2130"/>
      <c r="O195" s="1380"/>
      <c r="P195" s="2130">
        <f>'Part III-A-Uses of Funds'!P85</f>
        <v>0</v>
      </c>
      <c r="Q195" s="2130"/>
      <c r="R195" s="1380"/>
      <c r="S195" s="2130">
        <f>'Part III-A-Uses of Funds'!S85</f>
        <v>0</v>
      </c>
      <c r="T195" s="2130"/>
    </row>
    <row r="196" spans="1:20">
      <c r="A196" s="1380"/>
      <c r="B196" s="1380"/>
      <c r="C196" s="1380"/>
      <c r="D196" s="1380"/>
      <c r="E196" s="1380"/>
      <c r="F196" s="2154" t="s">
        <v>548</v>
      </c>
      <c r="G196" s="2130">
        <f>SUM(G185:G195)</f>
        <v>885100</v>
      </c>
      <c r="H196" s="2130"/>
      <c r="I196" s="1380"/>
      <c r="J196" s="2130">
        <f>SUM(J185:J195)</f>
        <v>835100</v>
      </c>
      <c r="K196" s="2130"/>
      <c r="L196" s="2119"/>
      <c r="M196" s="2130">
        <f>SUM(M185:M195)</f>
        <v>0</v>
      </c>
      <c r="N196" s="2130"/>
      <c r="O196" s="1380"/>
      <c r="P196" s="2130">
        <f>SUM(P185:P195)</f>
        <v>0</v>
      </c>
      <c r="Q196" s="2130"/>
      <c r="R196" s="1380"/>
      <c r="S196" s="2130">
        <f>SUM(S185:S195)</f>
        <v>50000</v>
      </c>
      <c r="T196" s="2130"/>
    </row>
    <row r="197" spans="1:20">
      <c r="A197" s="1380"/>
      <c r="B197" s="2101" t="s">
        <v>629</v>
      </c>
      <c r="C197" s="1380"/>
      <c r="D197" s="2183" t="s">
        <v>630</v>
      </c>
      <c r="E197" s="2184">
        <f>G202/'Part V-Revenues &amp; Expenses'!$P$67</f>
        <v>5089.0689655172409</v>
      </c>
      <c r="F197" s="1380"/>
      <c r="G197" s="1380"/>
      <c r="H197" s="1380"/>
      <c r="I197" s="1380"/>
      <c r="J197" s="2119"/>
      <c r="K197" s="2119"/>
      <c r="L197" s="272"/>
      <c r="M197" s="2119"/>
      <c r="N197" s="2119"/>
      <c r="O197" s="2155" t="str">
        <f>B197</f>
        <v>LOCAL GOVERNMENT FEES</v>
      </c>
      <c r="P197" s="2119"/>
      <c r="Q197" s="2119"/>
      <c r="R197" s="272"/>
      <c r="S197" s="2119"/>
      <c r="T197" s="2119"/>
    </row>
    <row r="198" spans="1:20">
      <c r="A198" s="1380"/>
      <c r="B198" s="1380" t="s">
        <v>631</v>
      </c>
      <c r="C198" s="1380"/>
      <c r="D198" s="1380"/>
      <c r="E198" s="1380"/>
      <c r="F198" s="1380"/>
      <c r="G198" s="2130">
        <f>'Part III-A-Uses of Funds'!G88</f>
        <v>144271</v>
      </c>
      <c r="H198" s="2130"/>
      <c r="I198" s="1380"/>
      <c r="J198" s="2130">
        <f>'Part III-A-Uses of Funds'!J88</f>
        <v>144271</v>
      </c>
      <c r="K198" s="2130"/>
      <c r="L198" s="2119"/>
      <c r="M198" s="2130">
        <f>'Part III-A-Uses of Funds'!M88</f>
        <v>0</v>
      </c>
      <c r="N198" s="2130"/>
      <c r="O198" s="1380"/>
      <c r="P198" s="2130">
        <f>'Part III-A-Uses of Funds'!P88</f>
        <v>0</v>
      </c>
      <c r="Q198" s="2130"/>
      <c r="R198" s="1380"/>
      <c r="S198" s="2130">
        <f>'Part III-A-Uses of Funds'!S88</f>
        <v>0</v>
      </c>
      <c r="T198" s="2130"/>
    </row>
    <row r="199" spans="1:20">
      <c r="A199" s="1380"/>
      <c r="B199" s="1380" t="s">
        <v>632</v>
      </c>
      <c r="C199" s="1380"/>
      <c r="D199" s="1380"/>
      <c r="E199" s="1380"/>
      <c r="F199" s="1380"/>
      <c r="G199" s="2130">
        <f>'Part III-A-Uses of Funds'!G89</f>
        <v>0</v>
      </c>
      <c r="H199" s="2130"/>
      <c r="I199" s="1380"/>
      <c r="J199" s="2130">
        <f>'Part III-A-Uses of Funds'!J89</f>
        <v>0</v>
      </c>
      <c r="K199" s="2130"/>
      <c r="L199" s="2119"/>
      <c r="M199" s="2130">
        <f>'Part III-A-Uses of Funds'!M89</f>
        <v>0</v>
      </c>
      <c r="N199" s="2130"/>
      <c r="O199" s="1380"/>
      <c r="P199" s="2130">
        <f>'Part III-A-Uses of Funds'!P89</f>
        <v>0</v>
      </c>
      <c r="Q199" s="2130"/>
      <c r="R199" s="1380"/>
      <c r="S199" s="2130">
        <f>'Part III-A-Uses of Funds'!S89</f>
        <v>0</v>
      </c>
      <c r="T199" s="2130"/>
    </row>
    <row r="200" spans="1:20">
      <c r="A200" s="1380"/>
      <c r="B200" s="1380" t="s">
        <v>633</v>
      </c>
      <c r="C200" s="1380"/>
      <c r="D200" s="2185" t="s">
        <v>634</v>
      </c>
      <c r="E200" s="2186" t="str">
        <f>'Part III-A-Uses of Funds'!E90</f>
        <v>No</v>
      </c>
      <c r="F200" s="1380"/>
      <c r="G200" s="2130">
        <f>'Part III-A-Uses of Funds'!G90</f>
        <v>21120</v>
      </c>
      <c r="H200" s="2130"/>
      <c r="I200" s="272"/>
      <c r="J200" s="2130">
        <f>'Part III-A-Uses of Funds'!J90</f>
        <v>21120</v>
      </c>
      <c r="K200" s="2130"/>
      <c r="L200" s="2119"/>
      <c r="M200" s="2130">
        <f>'Part III-A-Uses of Funds'!M90</f>
        <v>0</v>
      </c>
      <c r="N200" s="2130"/>
      <c r="O200" s="1380"/>
      <c r="P200" s="2130">
        <f>'Part III-A-Uses of Funds'!P90</f>
        <v>0</v>
      </c>
      <c r="Q200" s="2130"/>
      <c r="R200" s="1380"/>
      <c r="S200" s="2130">
        <f>'Part III-A-Uses of Funds'!S90</f>
        <v>0</v>
      </c>
      <c r="T200" s="2130"/>
    </row>
    <row r="201" spans="1:20">
      <c r="A201" s="1380"/>
      <c r="B201" s="1380" t="s">
        <v>635</v>
      </c>
      <c r="C201" s="1380"/>
      <c r="D201" s="2185" t="s">
        <v>634</v>
      </c>
      <c r="E201" s="2186" t="str">
        <f>'Part III-A-Uses of Funds'!E91</f>
        <v>No</v>
      </c>
      <c r="F201" s="1380"/>
      <c r="G201" s="2130">
        <f>'Part III-A-Uses of Funds'!G91</f>
        <v>129775</v>
      </c>
      <c r="H201" s="2130"/>
      <c r="I201" s="272"/>
      <c r="J201" s="2130">
        <f>'Part III-A-Uses of Funds'!J91</f>
        <v>129775</v>
      </c>
      <c r="K201" s="2130"/>
      <c r="L201" s="2119"/>
      <c r="M201" s="2130">
        <f>'Part III-A-Uses of Funds'!M91</f>
        <v>0</v>
      </c>
      <c r="N201" s="2130"/>
      <c r="O201" s="1380"/>
      <c r="P201" s="2130">
        <f>'Part III-A-Uses of Funds'!P91</f>
        <v>0</v>
      </c>
      <c r="Q201" s="2130"/>
      <c r="R201" s="1380"/>
      <c r="S201" s="2130">
        <f>'Part III-A-Uses of Funds'!S91</f>
        <v>0</v>
      </c>
      <c r="T201" s="2130"/>
    </row>
    <row r="202" spans="1:20">
      <c r="A202" s="1380"/>
      <c r="B202" s="1380"/>
      <c r="C202" s="1380"/>
      <c r="D202" s="1380"/>
      <c r="E202" s="1380"/>
      <c r="F202" s="2154" t="s">
        <v>548</v>
      </c>
      <c r="G202" s="2130">
        <f>SUM(G198:G201)</f>
        <v>295166</v>
      </c>
      <c r="H202" s="2130"/>
      <c r="I202" s="1380"/>
      <c r="J202" s="2130">
        <f>SUM(J198:J201)</f>
        <v>295166</v>
      </c>
      <c r="K202" s="2130"/>
      <c r="L202" s="2119"/>
      <c r="M202" s="2130">
        <f>SUM(M198:M201)</f>
        <v>0</v>
      </c>
      <c r="N202" s="2130"/>
      <c r="O202" s="1380"/>
      <c r="P202" s="2130">
        <f>SUM(P198:P201)</f>
        <v>0</v>
      </c>
      <c r="Q202" s="2130"/>
      <c r="R202" s="1380"/>
      <c r="S202" s="2130">
        <f>SUM(S198:S201)</f>
        <v>0</v>
      </c>
      <c r="T202" s="2130"/>
    </row>
    <row r="203" spans="1:20">
      <c r="A203" s="2102"/>
      <c r="B203" s="2102"/>
      <c r="C203" s="2102"/>
      <c r="D203" s="2102"/>
      <c r="E203" s="2102"/>
      <c r="F203" s="2102"/>
      <c r="G203" s="2102"/>
      <c r="H203" s="2102"/>
      <c r="I203" s="2102"/>
      <c r="J203" s="2102"/>
      <c r="K203" s="2102"/>
      <c r="L203" s="2102"/>
      <c r="M203" s="2102"/>
      <c r="N203" s="2102"/>
      <c r="O203" s="2102"/>
      <c r="P203" s="2102"/>
      <c r="Q203" s="2102"/>
      <c r="R203" s="2102"/>
      <c r="S203" s="2102"/>
      <c r="T203" s="2102"/>
    </row>
    <row r="204" spans="1:20" ht="14.45" customHeight="1">
      <c r="A204" s="2151" t="s">
        <v>21</v>
      </c>
      <c r="B204" s="2151" t="s">
        <v>2233</v>
      </c>
      <c r="C204" s="1380"/>
      <c r="D204" s="1380"/>
      <c r="E204" s="1380"/>
      <c r="F204" s="1380"/>
      <c r="G204" s="1380"/>
      <c r="H204" s="1380"/>
      <c r="I204" s="1380"/>
      <c r="J204" s="2101" t="s">
        <v>528</v>
      </c>
      <c r="K204" s="2101"/>
      <c r="L204" s="2130"/>
      <c r="M204" s="2152" t="s">
        <v>529</v>
      </c>
      <c r="N204" s="2152"/>
      <c r="O204" s="1380"/>
      <c r="P204" s="2101" t="s">
        <v>530</v>
      </c>
      <c r="Q204" s="2101"/>
      <c r="R204" s="1380"/>
      <c r="S204" s="2101" t="s">
        <v>531</v>
      </c>
      <c r="T204" s="2101"/>
    </row>
    <row r="205" spans="1:20">
      <c r="A205" s="1380"/>
      <c r="B205" s="1380"/>
      <c r="C205" s="1380"/>
      <c r="D205" s="1380"/>
      <c r="E205" s="1380"/>
      <c r="F205" s="1380"/>
      <c r="G205" s="2101" t="s">
        <v>532</v>
      </c>
      <c r="H205" s="2101"/>
      <c r="I205" s="1380"/>
      <c r="J205" s="2101"/>
      <c r="K205" s="2101"/>
      <c r="L205" s="2130"/>
      <c r="M205" s="2152"/>
      <c r="N205" s="2152"/>
      <c r="O205" s="1380"/>
      <c r="P205" s="2101"/>
      <c r="Q205" s="2101"/>
      <c r="R205" s="1380"/>
      <c r="S205" s="2101"/>
      <c r="T205" s="2101"/>
    </row>
    <row r="206" spans="1:20">
      <c r="A206" s="1380"/>
      <c r="B206" s="2101" t="s">
        <v>637</v>
      </c>
      <c r="C206" s="1380"/>
      <c r="D206" s="1380"/>
      <c r="E206" s="1380"/>
      <c r="F206" s="1380"/>
      <c r="G206" s="1380"/>
      <c r="H206" s="1380"/>
      <c r="I206" s="1380"/>
      <c r="J206" s="2119"/>
      <c r="K206" s="2119"/>
      <c r="L206" s="1380"/>
      <c r="M206" s="2119"/>
      <c r="N206" s="2119"/>
      <c r="O206" s="2155" t="str">
        <f>B206</f>
        <v>PERMANENT FINANCING FEES</v>
      </c>
      <c r="P206" s="2119"/>
      <c r="Q206" s="2119"/>
      <c r="R206" s="1380"/>
      <c r="S206" s="2119"/>
      <c r="T206" s="2119"/>
    </row>
    <row r="207" spans="1:20">
      <c r="A207" s="1380"/>
      <c r="B207" s="1380" t="s">
        <v>639</v>
      </c>
      <c r="C207" s="1380"/>
      <c r="D207" s="1380"/>
      <c r="E207" s="1380"/>
      <c r="F207" s="1380"/>
      <c r="G207" s="2130">
        <f>'Part III-A-Uses of Funds'!G97</f>
        <v>56100</v>
      </c>
      <c r="H207" s="2130"/>
      <c r="I207" s="1380"/>
      <c r="J207" s="2130"/>
      <c r="K207" s="2130"/>
      <c r="L207" s="2119"/>
      <c r="M207" s="2130"/>
      <c r="N207" s="2130"/>
      <c r="O207" s="1380"/>
      <c r="P207" s="2130"/>
      <c r="Q207" s="2130"/>
      <c r="R207" s="1380"/>
      <c r="S207" s="2130">
        <f>'Part III-A-Uses of Funds'!S97</f>
        <v>56100</v>
      </c>
      <c r="T207" s="2130"/>
    </row>
    <row r="208" spans="1:20">
      <c r="A208" s="1380"/>
      <c r="B208" s="1380" t="s">
        <v>641</v>
      </c>
      <c r="C208" s="1380"/>
      <c r="D208" s="1380"/>
      <c r="E208" s="1380"/>
      <c r="F208" s="1380"/>
      <c r="G208" s="2130">
        <f>'Part III-A-Uses of Funds'!G98</f>
        <v>50000</v>
      </c>
      <c r="H208" s="2130"/>
      <c r="I208" s="1380"/>
      <c r="J208" s="2130"/>
      <c r="K208" s="2130"/>
      <c r="L208" s="2119"/>
      <c r="M208" s="2130"/>
      <c r="N208" s="2130"/>
      <c r="O208" s="1380"/>
      <c r="P208" s="2130"/>
      <c r="Q208" s="2130"/>
      <c r="R208" s="1380"/>
      <c r="S208" s="2130">
        <f>'Part III-A-Uses of Funds'!S98</f>
        <v>50000</v>
      </c>
      <c r="T208" s="2130"/>
    </row>
    <row r="209" spans="1:20">
      <c r="A209" s="1380"/>
      <c r="B209" s="1380" t="s">
        <v>608</v>
      </c>
      <c r="C209" s="1380"/>
      <c r="D209" s="1380"/>
      <c r="E209" s="1380"/>
      <c r="F209" s="1380"/>
      <c r="G209" s="2130">
        <f>'Part III-A-Uses of Funds'!G99</f>
        <v>75000</v>
      </c>
      <c r="H209" s="2130"/>
      <c r="I209" s="1380"/>
      <c r="J209" s="2130"/>
      <c r="K209" s="2130"/>
      <c r="L209" s="2119"/>
      <c r="M209" s="2130"/>
      <c r="N209" s="2130"/>
      <c r="O209" s="1380"/>
      <c r="P209" s="2130"/>
      <c r="Q209" s="2130"/>
      <c r="R209" s="1380"/>
      <c r="S209" s="2130">
        <f>'Part III-A-Uses of Funds'!S99</f>
        <v>75000</v>
      </c>
      <c r="T209" s="2130"/>
    </row>
    <row r="210" spans="1:20">
      <c r="A210" s="1380"/>
      <c r="B210" s="1380" t="s">
        <v>642</v>
      </c>
      <c r="C210" s="1380"/>
      <c r="D210" s="1380"/>
      <c r="E210" s="1380"/>
      <c r="F210" s="1380"/>
      <c r="G210" s="2130">
        <f>'Part III-A-Uses of Funds'!G100</f>
        <v>0</v>
      </c>
      <c r="H210" s="2130"/>
      <c r="I210" s="1380"/>
      <c r="J210" s="2130"/>
      <c r="K210" s="2130"/>
      <c r="L210" s="2119"/>
      <c r="M210" s="2130"/>
      <c r="N210" s="2130"/>
      <c r="O210" s="1380"/>
      <c r="P210" s="2130"/>
      <c r="Q210" s="2130"/>
      <c r="R210" s="1380"/>
      <c r="S210" s="2130">
        <f>'Part III-A-Uses of Funds'!S100</f>
        <v>0</v>
      </c>
      <c r="T210" s="2130"/>
    </row>
    <row r="211" spans="1:20">
      <c r="A211" s="1380"/>
      <c r="B211" s="1380" t="s">
        <v>643</v>
      </c>
      <c r="C211" s="1380"/>
      <c r="D211" s="1380"/>
      <c r="E211" s="1380"/>
      <c r="F211" s="1380"/>
      <c r="G211" s="2130">
        <f>'Part III-A-Uses of Funds'!G101</f>
        <v>0</v>
      </c>
      <c r="H211" s="2130"/>
      <c r="I211" s="1380"/>
      <c r="J211" s="2130"/>
      <c r="K211" s="2130"/>
      <c r="L211" s="2119"/>
      <c r="M211" s="2130"/>
      <c r="N211" s="2130"/>
      <c r="O211" s="1380"/>
      <c r="P211" s="2130"/>
      <c r="Q211" s="2130"/>
      <c r="R211" s="1380"/>
      <c r="S211" s="2130">
        <f>'Part III-A-Uses of Funds'!S101</f>
        <v>0</v>
      </c>
      <c r="T211" s="2130"/>
    </row>
    <row r="212" spans="1:20" ht="15.95" customHeight="1">
      <c r="A212" s="2153" t="str">
        <f>IF(AND(G212&gt;0,OR(C212="",C212="&lt;Enter detailed description here; use Comments section if needed&gt;")),"X","")</f>
        <v/>
      </c>
      <c r="B212" s="2107" t="s">
        <v>644</v>
      </c>
      <c r="C212" s="2075" t="str">
        <f>'Part III-A-Uses of Funds'!C102</f>
        <v>&lt;&lt; Enter description here; provide detail &amp; justification in tab Part III-b &gt;&gt;</v>
      </c>
      <c r="D212" s="2075"/>
      <c r="E212" s="2075"/>
      <c r="F212" s="2075"/>
      <c r="G212" s="2130">
        <f>'Part III-A-Uses of Funds'!G102</f>
        <v>0</v>
      </c>
      <c r="H212" s="2130"/>
      <c r="I212" s="1380"/>
      <c r="J212" s="2130"/>
      <c r="K212" s="2130"/>
      <c r="L212" s="2119"/>
      <c r="M212" s="2130"/>
      <c r="N212" s="2130"/>
      <c r="O212" s="1380"/>
      <c r="P212" s="2130"/>
      <c r="Q212" s="2130"/>
      <c r="R212" s="1380"/>
      <c r="S212" s="2130">
        <f>'Part III-A-Uses of Funds'!S102</f>
        <v>0</v>
      </c>
      <c r="T212" s="2130"/>
    </row>
    <row r="213" spans="1:20">
      <c r="A213" s="1380"/>
      <c r="B213" s="1380"/>
      <c r="C213" s="1380"/>
      <c r="D213" s="1380"/>
      <c r="E213" s="1380"/>
      <c r="F213" s="2154" t="s">
        <v>548</v>
      </c>
      <c r="G213" s="2130">
        <f>SUM(G207:G212)</f>
        <v>181100</v>
      </c>
      <c r="H213" s="2130"/>
      <c r="I213" s="1380"/>
      <c r="J213" s="2130"/>
      <c r="K213" s="2130"/>
      <c r="L213" s="2119"/>
      <c r="M213" s="2130"/>
      <c r="N213" s="2130"/>
      <c r="O213" s="1380"/>
      <c r="P213" s="2130"/>
      <c r="Q213" s="2130"/>
      <c r="R213" s="1380"/>
      <c r="S213" s="2130">
        <f>SUM(S207:S212)</f>
        <v>181100</v>
      </c>
      <c r="T213" s="2130"/>
    </row>
    <row r="214" spans="1:20">
      <c r="A214" s="1380"/>
      <c r="B214" s="2101" t="s">
        <v>645</v>
      </c>
      <c r="C214" s="1380"/>
      <c r="D214" s="1380"/>
      <c r="E214" s="1380"/>
      <c r="F214" s="1380"/>
      <c r="G214" s="1380"/>
      <c r="H214" s="1380"/>
      <c r="I214" s="1380"/>
      <c r="J214" s="2119"/>
      <c r="K214" s="2119"/>
      <c r="L214" s="1380"/>
      <c r="M214" s="2119"/>
      <c r="N214" s="2119"/>
      <c r="O214" s="2155" t="str">
        <f>B214</f>
        <v>DCA-RELATED COSTS</v>
      </c>
      <c r="P214" s="2119"/>
      <c r="Q214" s="2119"/>
      <c r="R214" s="1380"/>
      <c r="S214" s="2119"/>
      <c r="T214" s="2119"/>
    </row>
    <row r="215" spans="1:20">
      <c r="A215" s="1380"/>
      <c r="B215" s="1380" t="s">
        <v>647</v>
      </c>
      <c r="C215" s="1380"/>
      <c r="D215" s="1380"/>
      <c r="E215" s="1380"/>
      <c r="F215" s="1380"/>
      <c r="G215" s="2130">
        <f>'Part III-A-Uses of Funds'!G105</f>
        <v>0</v>
      </c>
      <c r="H215" s="2130"/>
      <c r="I215" s="1380"/>
      <c r="J215" s="2119"/>
      <c r="K215" s="2119"/>
      <c r="L215" s="2119"/>
      <c r="M215" s="2119"/>
      <c r="N215" s="2119"/>
      <c r="O215" s="1380"/>
      <c r="P215" s="2119"/>
      <c r="Q215" s="2119"/>
      <c r="R215" s="1380"/>
      <c r="S215" s="2130">
        <f>'Part III-A-Uses of Funds'!S105</f>
        <v>0</v>
      </c>
      <c r="T215" s="2130"/>
    </row>
    <row r="216" spans="1:20">
      <c r="A216" s="1380"/>
      <c r="B216" s="1380" t="str">
        <f>CONCATENATE("Tax Credit Application Fee ($",'DCA Underwriting Assumptions'!$Q$58, " ForProf/JntVent, $",'DCA Underwriting Assumptions'!$Q$59, " NonProf)")</f>
        <v>Tax Credit Application Fee ($10000 ForProf/JntVent, $8000 NonProf)</v>
      </c>
      <c r="C216" s="1380"/>
      <c r="D216" s="1380"/>
      <c r="E216" s="1380"/>
      <c r="F216" s="1380"/>
      <c r="G216" s="2130">
        <f>'Part III-A-Uses of Funds'!G106</f>
        <v>10000</v>
      </c>
      <c r="H216" s="2130"/>
      <c r="I216" s="1380"/>
      <c r="J216" s="2119"/>
      <c r="K216" s="2119"/>
      <c r="L216" s="2187"/>
      <c r="M216" s="2119"/>
      <c r="N216" s="2119"/>
      <c r="O216" s="1380"/>
      <c r="P216" s="2119"/>
      <c r="Q216" s="2119"/>
      <c r="R216" s="1380"/>
      <c r="S216" s="2130">
        <f>'Part III-A-Uses of Funds'!S106</f>
        <v>10000</v>
      </c>
      <c r="T216" s="2130"/>
    </row>
    <row r="217" spans="1:20">
      <c r="A217" s="1380"/>
      <c r="B217" s="1380" t="s">
        <v>652</v>
      </c>
      <c r="C217" s="1380"/>
      <c r="D217" s="1380"/>
      <c r="E217" s="1380"/>
      <c r="F217" s="1380"/>
      <c r="G217" s="2130">
        <f>'Part III-A-Uses of Funds'!G107</f>
        <v>2000</v>
      </c>
      <c r="H217" s="2130"/>
      <c r="I217" s="1380"/>
      <c r="J217" s="2119"/>
      <c r="K217" s="2119"/>
      <c r="L217" s="2187"/>
      <c r="M217" s="2119"/>
      <c r="N217" s="2119"/>
      <c r="O217" s="1380"/>
      <c r="P217" s="2119"/>
      <c r="Q217" s="2119"/>
      <c r="R217" s="1380"/>
      <c r="S217" s="2130">
        <f>'Part III-A-Uses of Funds'!S107</f>
        <v>2000</v>
      </c>
      <c r="T217" s="2130"/>
    </row>
    <row r="218" spans="1:20">
      <c r="A218" s="1380"/>
      <c r="B218" s="1380" t="s">
        <v>656</v>
      </c>
      <c r="C218" s="1380"/>
      <c r="D218" s="1380"/>
      <c r="E218" s="2188">
        <f>ROUNDUP('DCA Underwriting Assumptions'!$Q$70*J301,0)</f>
        <v>103600</v>
      </c>
      <c r="F218" s="2188"/>
      <c r="G218" s="2130">
        <f>'Part III-A-Uses of Funds'!G108</f>
        <v>103600</v>
      </c>
      <c r="H218" s="2130"/>
      <c r="I218" s="1380"/>
      <c r="J218" s="2189" t="str">
        <f>IF(E218&gt;G218,"WARNING!  LIHTC Allocation Fee proposed is below minimum required.","")</f>
        <v/>
      </c>
      <c r="K218" s="2119"/>
      <c r="L218" s="2119"/>
      <c r="M218" s="2119"/>
      <c r="N218" s="2119"/>
      <c r="O218" s="1380"/>
      <c r="P218" s="2119"/>
      <c r="Q218" s="2119"/>
      <c r="R218" s="1380"/>
      <c r="S218" s="2130">
        <f>'Part III-A-Uses of Funds'!S108</f>
        <v>103600</v>
      </c>
      <c r="T218" s="2130"/>
    </row>
    <row r="219" spans="1:20">
      <c r="A219" s="1380"/>
      <c r="B219" s="1380" t="s">
        <v>659</v>
      </c>
      <c r="C219" s="1380"/>
      <c r="D219" s="1380"/>
      <c r="E219" s="2188">
        <f>AF221+AF225</f>
        <v>0</v>
      </c>
      <c r="F219" s="2188"/>
      <c r="G219" s="2130">
        <f>'Part III-A-Uses of Funds'!G109</f>
        <v>46400</v>
      </c>
      <c r="H219" s="2130"/>
      <c r="I219" s="2190" t="str">
        <f>IF(E219&gt;G219,"WARNING!  LIHTC Compliance Fee proposed is below minimum required.","")</f>
        <v/>
      </c>
      <c r="J219" s="2190"/>
      <c r="K219" s="2190"/>
      <c r="L219" s="2190"/>
      <c r="M219" s="2190"/>
      <c r="N219" s="2190"/>
      <c r="O219" s="2190"/>
      <c r="P219" s="2190"/>
      <c r="Q219" s="2190"/>
      <c r="R219" s="2190"/>
      <c r="S219" s="2130">
        <f>'Part III-A-Uses of Funds'!S109</f>
        <v>46400</v>
      </c>
      <c r="T219" s="2130"/>
    </row>
    <row r="220" spans="1:20">
      <c r="A220" s="1380"/>
      <c r="B220" s="1380" t="s">
        <v>661</v>
      </c>
      <c r="C220" s="1380"/>
      <c r="D220" s="1380"/>
      <c r="E220" s="1380"/>
      <c r="F220" s="2191"/>
      <c r="G220" s="2130">
        <f>'Part III-A-Uses of Funds'!G110</f>
        <v>3000</v>
      </c>
      <c r="H220" s="2130"/>
      <c r="I220" s="2190"/>
      <c r="J220" s="2190"/>
      <c r="K220" s="2190"/>
      <c r="L220" s="2190"/>
      <c r="M220" s="2190"/>
      <c r="N220" s="2190"/>
      <c r="O220" s="2190"/>
      <c r="P220" s="2190"/>
      <c r="Q220" s="2190"/>
      <c r="R220" s="2190"/>
      <c r="S220" s="2130">
        <f>'Part III-A-Uses of Funds'!S110</f>
        <v>3000</v>
      </c>
      <c r="T220" s="2130"/>
    </row>
    <row r="221" spans="1:20">
      <c r="A221" s="1380"/>
      <c r="B221" s="1380" t="s">
        <v>663</v>
      </c>
      <c r="C221" s="1380"/>
      <c r="D221" s="1380"/>
      <c r="E221" s="1380"/>
      <c r="F221" s="2191">
        <f>ROUNDUP('DCA Underwriting Assumptions'!$Q$73,0)</f>
        <v>8000</v>
      </c>
      <c r="G221" s="2130">
        <f>'Part III-A-Uses of Funds'!G111</f>
        <v>8000</v>
      </c>
      <c r="H221" s="2130"/>
      <c r="I221" s="1380"/>
      <c r="J221" s="272"/>
      <c r="K221" s="272"/>
      <c r="L221" s="272"/>
      <c r="M221" s="272"/>
      <c r="N221" s="272"/>
      <c r="O221" s="272"/>
      <c r="P221" s="272"/>
      <c r="Q221" s="272"/>
      <c r="R221" s="1380"/>
      <c r="S221" s="2130">
        <f>'Part III-A-Uses of Funds'!S111</f>
        <v>8000</v>
      </c>
      <c r="T221" s="2130"/>
    </row>
    <row r="222" spans="1:20" ht="15.6" customHeight="1">
      <c r="A222" s="2153" t="str">
        <f>IF(AND(G222&gt;0,OR(C222="",C222="&lt;Enter detailed description here; use Comments section if needed&gt;")),"X","")</f>
        <v/>
      </c>
      <c r="B222" s="2107" t="s">
        <v>665</v>
      </c>
      <c r="C222" s="2075" t="str">
        <f>'Part III-A-Uses of Funds'!C112</f>
        <v>&lt;&lt; Enter description here; provide detail &amp; justification in tab Part III-b &gt;&gt;</v>
      </c>
      <c r="D222" s="2075"/>
      <c r="E222" s="2075"/>
      <c r="F222" s="2075"/>
      <c r="G222" s="2130">
        <f>'Part III-A-Uses of Funds'!G112</f>
        <v>0</v>
      </c>
      <c r="H222" s="2130"/>
      <c r="I222" s="1380"/>
      <c r="J222" s="272"/>
      <c r="K222" s="272"/>
      <c r="L222" s="272"/>
      <c r="M222" s="272"/>
      <c r="N222" s="272"/>
      <c r="O222" s="272"/>
      <c r="P222" s="272"/>
      <c r="Q222" s="272"/>
      <c r="R222" s="1380"/>
      <c r="S222" s="2130">
        <f>'Part III-A-Uses of Funds'!S112</f>
        <v>0</v>
      </c>
      <c r="T222" s="2130"/>
    </row>
    <row r="223" spans="1:20" ht="15.95" customHeight="1">
      <c r="A223" s="2153" t="str">
        <f>IF(AND(G223&gt;0,OR(C223="",C223="&lt;Enter detailed description here; use Comments section if needed&gt;")),"X","")</f>
        <v/>
      </c>
      <c r="B223" s="2107" t="s">
        <v>665</v>
      </c>
      <c r="C223" s="2075" t="str">
        <f>'Part III-A-Uses of Funds'!C113</f>
        <v>&lt;&lt; Enter description here; provide detail &amp; justification in tab Part III-b &gt;&gt;</v>
      </c>
      <c r="D223" s="2075"/>
      <c r="E223" s="2075"/>
      <c r="F223" s="2075"/>
      <c r="G223" s="2130">
        <f>'Part III-A-Uses of Funds'!G113</f>
        <v>0</v>
      </c>
      <c r="H223" s="2130"/>
      <c r="I223" s="1380"/>
      <c r="J223" s="272"/>
      <c r="K223" s="272"/>
      <c r="L223" s="272"/>
      <c r="M223" s="272"/>
      <c r="N223" s="272"/>
      <c r="O223" s="272"/>
      <c r="P223" s="272"/>
      <c r="Q223" s="272"/>
      <c r="R223" s="1380"/>
      <c r="S223" s="2130">
        <f>'Part III-A-Uses of Funds'!S113</f>
        <v>0</v>
      </c>
      <c r="T223" s="2130"/>
    </row>
    <row r="224" spans="1:20">
      <c r="A224" s="1380"/>
      <c r="B224" s="1380"/>
      <c r="C224" s="1380"/>
      <c r="D224" s="1380"/>
      <c r="E224" s="1380"/>
      <c r="F224" s="2154" t="s">
        <v>548</v>
      </c>
      <c r="G224" s="2130">
        <f>SUM(G215:G223)</f>
        <v>173000</v>
      </c>
      <c r="H224" s="2130"/>
      <c r="I224" s="1380"/>
      <c r="J224" s="2119"/>
      <c r="K224" s="2119"/>
      <c r="L224" s="2119"/>
      <c r="M224" s="2119"/>
      <c r="N224" s="2119"/>
      <c r="O224" s="1380"/>
      <c r="P224" s="2119"/>
      <c r="Q224" s="2119"/>
      <c r="R224" s="1380"/>
      <c r="S224" s="2130">
        <f>SUM(S215:S223)</f>
        <v>173000</v>
      </c>
      <c r="T224" s="2130"/>
    </row>
    <row r="225" spans="1:20">
      <c r="A225" s="1380"/>
      <c r="B225" s="2101" t="s">
        <v>671</v>
      </c>
      <c r="C225" s="1380"/>
      <c r="D225" s="1380"/>
      <c r="E225" s="1380"/>
      <c r="F225" s="1380"/>
      <c r="G225" s="1380"/>
      <c r="H225" s="1380"/>
      <c r="I225" s="1380"/>
      <c r="J225" s="2119"/>
      <c r="K225" s="2119"/>
      <c r="L225" s="1380"/>
      <c r="M225" s="2119"/>
      <c r="N225" s="2119"/>
      <c r="O225" s="2155" t="str">
        <f>B225</f>
        <v>EQUITY COSTS</v>
      </c>
      <c r="P225" s="2119"/>
      <c r="Q225" s="2119"/>
      <c r="R225" s="1380"/>
      <c r="S225" s="2119"/>
      <c r="T225" s="2119"/>
    </row>
    <row r="226" spans="1:20">
      <c r="A226" s="1380"/>
      <c r="B226" s="1380" t="s">
        <v>672</v>
      </c>
      <c r="C226" s="1380"/>
      <c r="D226" s="1380"/>
      <c r="E226" s="1380"/>
      <c r="F226" s="1380"/>
      <c r="G226" s="2130">
        <f>'Part III-A-Uses of Funds'!G116</f>
        <v>12500</v>
      </c>
      <c r="H226" s="2130"/>
      <c r="I226" s="1380"/>
      <c r="J226" s="2130"/>
      <c r="K226" s="2130"/>
      <c r="L226" s="2119"/>
      <c r="M226" s="2130"/>
      <c r="N226" s="2130"/>
      <c r="O226" s="1380"/>
      <c r="P226" s="2130"/>
      <c r="Q226" s="2130"/>
      <c r="R226" s="1380"/>
      <c r="S226" s="2130">
        <f>'Part III-A-Uses of Funds'!S116</f>
        <v>12500</v>
      </c>
      <c r="T226" s="2130"/>
    </row>
    <row r="227" spans="1:20">
      <c r="A227" s="1380"/>
      <c r="B227" s="1380" t="s">
        <v>673</v>
      </c>
      <c r="C227" s="1380"/>
      <c r="D227" s="1380"/>
      <c r="E227" s="1380"/>
      <c r="F227" s="1380"/>
      <c r="G227" s="2130">
        <f>'Part III-A-Uses of Funds'!G117</f>
        <v>0</v>
      </c>
      <c r="H227" s="2130"/>
      <c r="I227" s="1380"/>
      <c r="J227" s="2130"/>
      <c r="K227" s="2130"/>
      <c r="L227" s="2119"/>
      <c r="M227" s="2130"/>
      <c r="N227" s="2130"/>
      <c r="O227" s="1380"/>
      <c r="P227" s="2130"/>
      <c r="Q227" s="2130"/>
      <c r="R227" s="1380"/>
      <c r="S227" s="2130">
        <f>'Part III-A-Uses of Funds'!S117</f>
        <v>0</v>
      </c>
      <c r="T227" s="2130"/>
    </row>
    <row r="228" spans="1:20">
      <c r="A228" s="1380"/>
      <c r="B228" s="1380" t="s">
        <v>674</v>
      </c>
      <c r="C228" s="1380"/>
      <c r="D228" s="1380"/>
      <c r="E228" s="1380"/>
      <c r="F228" s="1380"/>
      <c r="G228" s="2130">
        <f>'Part III-A-Uses of Funds'!G118</f>
        <v>12500</v>
      </c>
      <c r="H228" s="2130"/>
      <c r="I228" s="1380"/>
      <c r="J228" s="2130"/>
      <c r="K228" s="2130"/>
      <c r="L228" s="2119"/>
      <c r="M228" s="2130"/>
      <c r="N228" s="2130"/>
      <c r="O228" s="1380"/>
      <c r="P228" s="2130"/>
      <c r="Q228" s="2130"/>
      <c r="R228" s="1380"/>
      <c r="S228" s="2130">
        <f>'Part III-A-Uses of Funds'!S118</f>
        <v>12500</v>
      </c>
      <c r="T228" s="2130"/>
    </row>
    <row r="229" spans="1:20" ht="15.95" customHeight="1">
      <c r="A229" s="2153" t="str">
        <f>IF(AND(G229&gt;0,OR(C229="",C229="&lt;Enter detailed description here; use Comments section if needed&gt;")),"X","")</f>
        <v/>
      </c>
      <c r="B229" s="2107" t="s">
        <v>665</v>
      </c>
      <c r="C229" s="2075" t="str">
        <f>'Part III-A-Uses of Funds'!C119</f>
        <v>&lt;&lt; Enter description here; provide detail &amp; justification in tab Part III-b &gt;&gt;</v>
      </c>
      <c r="D229" s="2075"/>
      <c r="E229" s="2075"/>
      <c r="F229" s="2075"/>
      <c r="G229" s="2130">
        <f>'Part III-A-Uses of Funds'!G119</f>
        <v>0</v>
      </c>
      <c r="H229" s="2130"/>
      <c r="I229" s="1380"/>
      <c r="J229" s="2130"/>
      <c r="K229" s="2130"/>
      <c r="L229" s="2119"/>
      <c r="M229" s="2130"/>
      <c r="N229" s="2130"/>
      <c r="O229" s="1380"/>
      <c r="P229" s="2130"/>
      <c r="Q229" s="2130"/>
      <c r="R229" s="1380"/>
      <c r="S229" s="2130">
        <f>'Part III-A-Uses of Funds'!S119</f>
        <v>0</v>
      </c>
      <c r="T229" s="2130"/>
    </row>
    <row r="230" spans="1:20">
      <c r="A230" s="1380"/>
      <c r="B230" s="1380"/>
      <c r="C230" s="1380"/>
      <c r="D230" s="1380"/>
      <c r="E230" s="1380"/>
      <c r="F230" s="2154" t="s">
        <v>548</v>
      </c>
      <c r="G230" s="2130">
        <f>SUM(G226:G229)</f>
        <v>25000</v>
      </c>
      <c r="H230" s="2130"/>
      <c r="I230" s="1380"/>
      <c r="J230" s="2130"/>
      <c r="K230" s="2130"/>
      <c r="L230" s="2119"/>
      <c r="M230" s="2130"/>
      <c r="N230" s="2130"/>
      <c r="O230" s="1380"/>
      <c r="P230" s="2130"/>
      <c r="Q230" s="2130"/>
      <c r="R230" s="1380"/>
      <c r="S230" s="2130">
        <f>SUM(S226:S229)</f>
        <v>25000</v>
      </c>
      <c r="T230" s="2130"/>
    </row>
    <row r="231" spans="1:20" ht="13.5">
      <c r="A231" s="1380"/>
      <c r="B231" s="2101" t="s">
        <v>681</v>
      </c>
      <c r="C231" s="1380"/>
      <c r="D231" s="1380"/>
      <c r="E231" s="2143" t="s">
        <v>646</v>
      </c>
      <c r="F231" s="2105"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380"/>
      <c r="H231" s="1380"/>
      <c r="I231" s="1380"/>
      <c r="J231" s="2119"/>
      <c r="K231" s="2130"/>
      <c r="L231" s="1380"/>
      <c r="M231" s="2119"/>
      <c r="N231" s="2130"/>
      <c r="O231" s="2155" t="str">
        <f>B231</f>
        <v>DEVELOPER'S FEE</v>
      </c>
      <c r="P231" s="2119"/>
      <c r="Q231" s="2130"/>
      <c r="R231" s="1380"/>
      <c r="S231" s="2119"/>
      <c r="T231" s="2130"/>
    </row>
    <row r="232" spans="1:20">
      <c r="A232" s="1380"/>
      <c r="B232" s="1380" t="s">
        <v>686</v>
      </c>
      <c r="C232" s="1380"/>
      <c r="D232" s="1380"/>
      <c r="E232" s="1380"/>
      <c r="F232" s="2136">
        <f>IF($G$127=0,0,G232/$G$127)</f>
        <v>0</v>
      </c>
      <c r="G232" s="2130">
        <f>'Part III-A-Uses of Funds'!G122</f>
        <v>775500</v>
      </c>
      <c r="H232" s="2130"/>
      <c r="I232" s="1380"/>
      <c r="J232" s="2130">
        <f>'Part III-A-Uses of Funds'!J122</f>
        <v>775500</v>
      </c>
      <c r="K232" s="2130"/>
      <c r="L232" s="2155"/>
      <c r="M232" s="2130">
        <f>'Part III-A-Uses of Funds'!M122</f>
        <v>0</v>
      </c>
      <c r="N232" s="2130"/>
      <c r="O232" s="1380"/>
      <c r="P232" s="2130">
        <f>'Part III-A-Uses of Funds'!P122</f>
        <v>0</v>
      </c>
      <c r="Q232" s="2130"/>
      <c r="R232" s="1380"/>
      <c r="S232" s="2130">
        <f>'Part III-A-Uses of Funds'!S122</f>
        <v>0</v>
      </c>
      <c r="T232" s="2130"/>
    </row>
    <row r="233" spans="1:20">
      <c r="A233" s="1380"/>
      <c r="B233" s="1380" t="s">
        <v>687</v>
      </c>
      <c r="C233" s="1380"/>
      <c r="D233" s="1380"/>
      <c r="E233" s="1380"/>
      <c r="F233" s="2192">
        <f>'Part III-A-Uses of Funds'!F123</f>
        <v>465300</v>
      </c>
      <c r="G233" s="2193" t="s">
        <v>688</v>
      </c>
      <c r="H233" s="1380"/>
      <c r="I233" s="1380"/>
      <c r="J233" s="1380"/>
      <c r="K233" s="1380"/>
      <c r="L233" s="1380"/>
      <c r="M233" s="1380"/>
      <c r="N233" s="1380"/>
      <c r="O233" s="1380"/>
      <c r="P233" s="1380"/>
      <c r="Q233" s="1380"/>
      <c r="R233" s="1380"/>
      <c r="S233" s="1380"/>
      <c r="T233" s="1380"/>
    </row>
    <row r="234" spans="1:20">
      <c r="A234" s="1380"/>
      <c r="B234" s="1380" t="s">
        <v>689</v>
      </c>
      <c r="C234" s="1380"/>
      <c r="D234" s="1380"/>
      <c r="E234" s="1380"/>
      <c r="F234" s="2136">
        <f>IF($G$127=0,0,G234/$G$127)</f>
        <v>0</v>
      </c>
      <c r="G234" s="2130">
        <f>'Part III-A-Uses of Funds'!G124</f>
        <v>0</v>
      </c>
      <c r="H234" s="2130"/>
      <c r="I234" s="1380"/>
      <c r="J234" s="2130">
        <f>'Part III-A-Uses of Funds'!J124</f>
        <v>0</v>
      </c>
      <c r="K234" s="2130"/>
      <c r="L234" s="2119"/>
      <c r="M234" s="2130">
        <f>'Part III-A-Uses of Funds'!M124</f>
        <v>0</v>
      </c>
      <c r="N234" s="2130"/>
      <c r="O234" s="1380"/>
      <c r="P234" s="2130">
        <f>'Part III-A-Uses of Funds'!P124</f>
        <v>0</v>
      </c>
      <c r="Q234" s="2130"/>
      <c r="R234" s="1380"/>
      <c r="S234" s="2130">
        <f>'Part III-A-Uses of Funds'!S124</f>
        <v>0</v>
      </c>
      <c r="T234" s="2130"/>
    </row>
    <row r="235" spans="1:20">
      <c r="A235" s="1380"/>
      <c r="B235" s="1380" t="s">
        <v>690</v>
      </c>
      <c r="C235" s="1380"/>
      <c r="D235" s="1380"/>
      <c r="E235" s="1380"/>
      <c r="F235" s="2136">
        <f>IF($G$127=0,0,G235/$G$127)</f>
        <v>0</v>
      </c>
      <c r="G235" s="2130">
        <f>'Part III-A-Uses of Funds'!G125</f>
        <v>0</v>
      </c>
      <c r="H235" s="2130"/>
      <c r="I235" s="1380"/>
      <c r="J235" s="2130">
        <f>'Part III-A-Uses of Funds'!J125</f>
        <v>0</v>
      </c>
      <c r="K235" s="2130"/>
      <c r="L235" s="2119"/>
      <c r="M235" s="2130">
        <f>'Part III-A-Uses of Funds'!M125</f>
        <v>0</v>
      </c>
      <c r="N235" s="2130"/>
      <c r="O235" s="1380"/>
      <c r="P235" s="2130">
        <f>'Part III-A-Uses of Funds'!P125</f>
        <v>0</v>
      </c>
      <c r="Q235" s="2130"/>
      <c r="R235" s="1380"/>
      <c r="S235" s="2130">
        <f>'Part III-A-Uses of Funds'!S125</f>
        <v>0</v>
      </c>
      <c r="T235" s="2130"/>
    </row>
    <row r="236" spans="1:20">
      <c r="A236" s="1380"/>
      <c r="B236" s="1380" t="s">
        <v>691</v>
      </c>
      <c r="C236" s="1380"/>
      <c r="D236" s="1380"/>
      <c r="E236" s="1380"/>
      <c r="F236" s="2136">
        <f>IF($G$127=0,0,G236/$G$127)</f>
        <v>0</v>
      </c>
      <c r="G236" s="2130">
        <f>'Part III-A-Uses of Funds'!G126</f>
        <v>775500</v>
      </c>
      <c r="H236" s="2130"/>
      <c r="I236" s="1380"/>
      <c r="J236" s="2130">
        <f>'Part III-A-Uses of Funds'!J126</f>
        <v>775500</v>
      </c>
      <c r="K236" s="2130"/>
      <c r="L236" s="2119"/>
      <c r="M236" s="2130">
        <f>'Part III-A-Uses of Funds'!M126</f>
        <v>0</v>
      </c>
      <c r="N236" s="2130"/>
      <c r="O236" s="1380"/>
      <c r="P236" s="2130">
        <f>'Part III-A-Uses of Funds'!P126</f>
        <v>0</v>
      </c>
      <c r="Q236" s="2130"/>
      <c r="R236" s="1380"/>
      <c r="S236" s="2130">
        <f>'Part III-A-Uses of Funds'!S126</f>
        <v>0</v>
      </c>
      <c r="T236" s="2130"/>
    </row>
    <row r="237" spans="1:20" ht="13.5">
      <c r="A237" s="2194" t="str">
        <f>IF(G237&gt;E237,"DF over limit!  Round down/Enter nbr.","")</f>
        <v/>
      </c>
      <c r="B237" s="2195"/>
      <c r="C237" s="1380"/>
      <c r="D237" s="2143" t="s">
        <v>692</v>
      </c>
      <c r="E237" s="2196" t="str">
        <f>IF(AF232+AF235=0,"Fill in Rent Chart!",IF(F231="9%",AH232,IF(F231="4%",AH235,"Select App Type!")))</f>
        <v>Fill in Rent Chart!</v>
      </c>
      <c r="F237" s="2154" t="s">
        <v>548</v>
      </c>
      <c r="G237" s="2130">
        <f>SUM(G232:G236)</f>
        <v>1551000</v>
      </c>
      <c r="H237" s="2130"/>
      <c r="I237" s="1380"/>
      <c r="J237" s="2130">
        <f>SUM(J232:J236)</f>
        <v>1551000</v>
      </c>
      <c r="K237" s="2130"/>
      <c r="L237" s="2119"/>
      <c r="M237" s="2130">
        <f>SUM(M232:M236)</f>
        <v>0</v>
      </c>
      <c r="N237" s="2130"/>
      <c r="O237" s="1380"/>
      <c r="P237" s="2130">
        <f>SUM(P232:P236)</f>
        <v>0</v>
      </c>
      <c r="Q237" s="2130"/>
      <c r="R237" s="1380"/>
      <c r="S237" s="2130">
        <f>SUM(S232:S236)</f>
        <v>0</v>
      </c>
      <c r="T237" s="2130"/>
    </row>
    <row r="238" spans="1:20">
      <c r="A238" s="1380"/>
      <c r="B238" s="2101" t="s">
        <v>693</v>
      </c>
      <c r="C238" s="1380"/>
      <c r="D238" s="1380"/>
      <c r="E238" s="1380"/>
      <c r="F238" s="1380"/>
      <c r="G238" s="1380"/>
      <c r="H238" s="1380"/>
      <c r="I238" s="1380"/>
      <c r="J238" s="2130"/>
      <c r="K238" s="2130"/>
      <c r="L238" s="1380"/>
      <c r="M238" s="2130"/>
      <c r="N238" s="2130"/>
      <c r="O238" s="2155" t="str">
        <f>B238</f>
        <v>START-UP AND RESERVES</v>
      </c>
      <c r="P238" s="2130"/>
      <c r="Q238" s="2130"/>
      <c r="R238" s="1380"/>
      <c r="S238" s="2130"/>
      <c r="T238" s="2130"/>
    </row>
    <row r="239" spans="1:20">
      <c r="A239" s="1380"/>
      <c r="B239" s="1380" t="s">
        <v>695</v>
      </c>
      <c r="C239" s="1380"/>
      <c r="D239" s="1380"/>
      <c r="E239" s="1380"/>
      <c r="F239" s="1380"/>
      <c r="G239" s="2130">
        <f>'Part III-A-Uses of Funds'!G129</f>
        <v>50000</v>
      </c>
      <c r="H239" s="2130"/>
      <c r="I239" s="1380"/>
      <c r="J239" s="2187"/>
      <c r="K239" s="2187"/>
      <c r="L239" s="2187"/>
      <c r="M239" s="2187"/>
      <c r="N239" s="2187"/>
      <c r="O239" s="1380"/>
      <c r="P239" s="2187"/>
      <c r="Q239" s="2187"/>
      <c r="R239" s="1380"/>
      <c r="S239" s="2130">
        <f>'Part III-A-Uses of Funds'!S129</f>
        <v>50000</v>
      </c>
      <c r="T239" s="2130"/>
    </row>
    <row r="240" spans="1:20">
      <c r="A240" s="1380"/>
      <c r="B240" s="1380" t="s">
        <v>697</v>
      </c>
      <c r="C240" s="1380"/>
      <c r="D240" s="1380"/>
      <c r="E240" s="1380"/>
      <c r="F240" s="2197">
        <f>+'Part V-Revenues &amp; Expenses'!$Q$232*('DCA Underwriting Assumptions'!$Q$104/12)</f>
        <v>113096.75</v>
      </c>
      <c r="G240" s="2130">
        <f>'Part III-A-Uses of Funds'!G130</f>
        <v>113097</v>
      </c>
      <c r="H240" s="2130"/>
      <c r="I240" s="1380"/>
      <c r="J240" s="2198" t="str">
        <f>IF(E240&gt;G240,"WARNING! Rent-Up Reserves proposed is below minimum - add comment.","")</f>
        <v/>
      </c>
      <c r="K240" s="2198"/>
      <c r="L240" s="2119"/>
      <c r="M240" s="2130"/>
      <c r="N240" s="2130"/>
      <c r="O240" s="1380"/>
      <c r="P240" s="2130"/>
      <c r="Q240" s="2130"/>
      <c r="R240" s="1380"/>
      <c r="S240" s="2130">
        <f>'Part III-A-Uses of Funds'!S130</f>
        <v>113097</v>
      </c>
      <c r="T240" s="2130"/>
    </row>
    <row r="241" spans="1:20">
      <c r="A241" s="1380"/>
      <c r="B241" s="1380" t="s">
        <v>698</v>
      </c>
      <c r="C241" s="1380"/>
      <c r="D241" s="1380"/>
      <c r="E241" s="1380"/>
      <c r="F241" s="2197">
        <f>'Part V-Revenues &amp; Expenses'!$Q$232*('DCA Underwriting Assumptions'!$Q$103/12)+('Part VI-Pro Forma'!$B$26+'Part VI-Pro Forma'!$B$27+'Part VI-Pro Forma'!$B$28+'Part VI-Pro Forma'!$B$29)*'DCA Underwriting Assumptions'!$Q$102/(-12)</f>
        <v>342150.11816620338</v>
      </c>
      <c r="G241" s="2130">
        <f>'Part III-A-Uses of Funds'!G131</f>
        <v>342150</v>
      </c>
      <c r="H241" s="2130"/>
      <c r="I241" s="1380"/>
      <c r="J241" s="2198" t="str">
        <f>IF(E241&gt;G241,"WARNING! ODR proposed is below minimum - add comment.","")</f>
        <v/>
      </c>
      <c r="K241" s="2187"/>
      <c r="L241" s="2187"/>
      <c r="M241" s="2187"/>
      <c r="N241" s="2187"/>
      <c r="O241" s="1380"/>
      <c r="P241" s="2187"/>
      <c r="Q241" s="2187"/>
      <c r="R241" s="1380"/>
      <c r="S241" s="2130">
        <f>'Part III-A-Uses of Funds'!S131</f>
        <v>342150</v>
      </c>
      <c r="T241" s="2130"/>
    </row>
    <row r="242" spans="1:20">
      <c r="A242" s="1380"/>
      <c r="B242" s="1380" t="s">
        <v>699</v>
      </c>
      <c r="C242" s="1380"/>
      <c r="D242" s="1380"/>
      <c r="E242" s="1380"/>
      <c r="F242" s="1380"/>
      <c r="G242" s="2130">
        <f>'Part III-A-Uses of Funds'!G132</f>
        <v>0</v>
      </c>
      <c r="H242" s="2130"/>
      <c r="I242" s="1380"/>
      <c r="J242" s="2187"/>
      <c r="K242" s="2187"/>
      <c r="L242" s="2187"/>
      <c r="M242" s="2187"/>
      <c r="N242" s="2187"/>
      <c r="O242" s="1380"/>
      <c r="P242" s="2187"/>
      <c r="Q242" s="2187"/>
      <c r="R242" s="1380"/>
      <c r="S242" s="2130">
        <f>'Part III-A-Uses of Funds'!S132</f>
        <v>0</v>
      </c>
      <c r="T242" s="2130"/>
    </row>
    <row r="243" spans="1:20">
      <c r="A243" s="1380"/>
      <c r="B243" s="1380" t="s">
        <v>701</v>
      </c>
      <c r="C243" s="1380"/>
      <c r="D243" s="1380"/>
      <c r="E243" s="2156" t="s">
        <v>702</v>
      </c>
      <c r="F243" s="2197">
        <f>IF('Part V-Revenues &amp; Expenses'!$P$67=0,0,G243/'Part V-Revenues &amp; Expenses'!$P$67)</f>
        <v>4310.3448275862065</v>
      </c>
      <c r="G243" s="2130">
        <f>'Part III-A-Uses of Funds'!G133</f>
        <v>250000</v>
      </c>
      <c r="H243" s="2130"/>
      <c r="I243" s="1380"/>
      <c r="J243" s="2130">
        <f>'Part III-A-Uses of Funds'!J133</f>
        <v>250000</v>
      </c>
      <c r="K243" s="2130"/>
      <c r="L243" s="2119"/>
      <c r="M243" s="2130">
        <f>'Part III-A-Uses of Funds'!M133</f>
        <v>0</v>
      </c>
      <c r="N243" s="2130"/>
      <c r="O243" s="1380"/>
      <c r="P243" s="2130">
        <f>'Part III-A-Uses of Funds'!P133</f>
        <v>0</v>
      </c>
      <c r="Q243" s="2130"/>
      <c r="R243" s="1380"/>
      <c r="S243" s="2130">
        <f>'Part III-A-Uses of Funds'!S133</f>
        <v>0</v>
      </c>
      <c r="T243" s="2130"/>
    </row>
    <row r="244" spans="1:20" ht="15.95" customHeight="1">
      <c r="A244" s="2153" t="str">
        <f>IF(AND(G244&gt;0,OR(C244="",C244="&lt;Enter detailed description here; use Comments section if needed&gt;")),"X","")</f>
        <v/>
      </c>
      <c r="B244" s="2107" t="s">
        <v>665</v>
      </c>
      <c r="C244" s="2075" t="str">
        <f>'Part III-A-Uses of Funds'!C134</f>
        <v>Signage and Security</v>
      </c>
      <c r="D244" s="2075"/>
      <c r="E244" s="2075"/>
      <c r="F244" s="2075"/>
      <c r="G244" s="2130">
        <f>'Part III-A-Uses of Funds'!G134</f>
        <v>250000</v>
      </c>
      <c r="H244" s="2130"/>
      <c r="I244" s="1380"/>
      <c r="J244" s="2130">
        <f>'Part III-A-Uses of Funds'!J134</f>
        <v>0</v>
      </c>
      <c r="K244" s="2130"/>
      <c r="L244" s="2119"/>
      <c r="M244" s="2130">
        <f>'Part III-A-Uses of Funds'!M134</f>
        <v>0</v>
      </c>
      <c r="N244" s="2130"/>
      <c r="O244" s="1380"/>
      <c r="P244" s="2130">
        <f>'Part III-A-Uses of Funds'!P134</f>
        <v>0</v>
      </c>
      <c r="Q244" s="2130"/>
      <c r="R244" s="1380"/>
      <c r="S244" s="2130">
        <f>'Part III-A-Uses of Funds'!S134</f>
        <v>250000</v>
      </c>
      <c r="T244" s="2130"/>
    </row>
    <row r="245" spans="1:20">
      <c r="A245" s="1380"/>
      <c r="B245" s="2199"/>
      <c r="C245" s="1380"/>
      <c r="D245" s="1380"/>
      <c r="E245" s="1380"/>
      <c r="F245" s="2154" t="s">
        <v>548</v>
      </c>
      <c r="G245" s="2130">
        <f>SUM(G239:G244)</f>
        <v>1005247</v>
      </c>
      <c r="H245" s="2130"/>
      <c r="I245" s="1380"/>
      <c r="J245" s="2130">
        <f>SUM(J243:J244)</f>
        <v>250000</v>
      </c>
      <c r="K245" s="2130"/>
      <c r="L245" s="2119"/>
      <c r="M245" s="2130">
        <f>SUM(M243:M244)</f>
        <v>0</v>
      </c>
      <c r="N245" s="2130"/>
      <c r="O245" s="1380"/>
      <c r="P245" s="2130">
        <f>SUM(P243:P244)</f>
        <v>0</v>
      </c>
      <c r="Q245" s="2130"/>
      <c r="R245" s="1380"/>
      <c r="S245" s="2130">
        <f>SUM(S239:S244)</f>
        <v>755247</v>
      </c>
      <c r="T245" s="2130"/>
    </row>
    <row r="246" spans="1:20">
      <c r="A246" s="1380"/>
      <c r="B246" s="1380"/>
      <c r="C246" s="1380"/>
      <c r="D246" s="1380"/>
      <c r="E246" s="1380"/>
      <c r="F246" s="1380"/>
      <c r="G246" s="1380"/>
      <c r="H246" s="1380"/>
      <c r="I246" s="2200"/>
      <c r="J246" s="1380"/>
      <c r="K246" s="1380"/>
      <c r="L246" s="2200"/>
      <c r="M246" s="1380"/>
      <c r="N246" s="1380"/>
      <c r="O246" s="1380"/>
      <c r="P246" s="1380"/>
      <c r="Q246" s="1380"/>
      <c r="R246" s="1380"/>
      <c r="S246" s="1380"/>
      <c r="T246" s="1380"/>
    </row>
    <row r="247" spans="1:20">
      <c r="A247" s="1380"/>
      <c r="B247" s="1380"/>
      <c r="C247" s="1380"/>
      <c r="D247" s="2108"/>
      <c r="E247" s="2108"/>
      <c r="F247" s="1380"/>
      <c r="G247" s="1380"/>
      <c r="H247" s="1380"/>
      <c r="I247" s="2201"/>
      <c r="J247" s="2201"/>
      <c r="K247" s="2202"/>
      <c r="L247" s="2108"/>
      <c r="M247" s="1380"/>
      <c r="N247" s="1380"/>
      <c r="O247" s="1380"/>
      <c r="P247" s="1380"/>
      <c r="Q247" s="1380"/>
      <c r="R247" s="1380"/>
      <c r="S247" s="1380"/>
      <c r="T247" s="1380"/>
    </row>
    <row r="248" spans="1:20">
      <c r="A248" s="2102"/>
      <c r="B248" s="2102"/>
      <c r="C248" s="2102"/>
      <c r="D248" s="2102"/>
      <c r="E248" s="2102"/>
      <c r="F248" s="2102"/>
      <c r="G248" s="2102"/>
      <c r="H248" s="2102"/>
      <c r="I248" s="2102"/>
      <c r="J248" s="2102"/>
      <c r="K248" s="2102"/>
      <c r="L248" s="2102"/>
      <c r="M248" s="2102"/>
      <c r="N248" s="2102"/>
      <c r="O248" s="2102"/>
      <c r="P248" s="2102"/>
      <c r="Q248" s="2102"/>
      <c r="R248" s="2102"/>
      <c r="S248" s="2102"/>
      <c r="T248" s="2102"/>
    </row>
    <row r="249" spans="1:20" ht="14.45" customHeight="1">
      <c r="A249" s="2151" t="s">
        <v>21</v>
      </c>
      <c r="B249" s="2151" t="s">
        <v>2233</v>
      </c>
      <c r="C249" s="1380"/>
      <c r="D249" s="1380"/>
      <c r="E249" s="1380"/>
      <c r="F249" s="1380"/>
      <c r="G249" s="1380"/>
      <c r="H249" s="1380"/>
      <c r="I249" s="1380"/>
      <c r="J249" s="2101" t="s">
        <v>528</v>
      </c>
      <c r="K249" s="2101"/>
      <c r="L249" s="2130"/>
      <c r="M249" s="2152" t="s">
        <v>529</v>
      </c>
      <c r="N249" s="2152"/>
      <c r="O249" s="1380"/>
      <c r="P249" s="2101" t="s">
        <v>530</v>
      </c>
      <c r="Q249" s="2101"/>
      <c r="R249" s="1380"/>
      <c r="S249" s="2101" t="s">
        <v>531</v>
      </c>
      <c r="T249" s="2101"/>
    </row>
    <row r="250" spans="1:20">
      <c r="A250" s="1380"/>
      <c r="B250" s="1380"/>
      <c r="C250" s="1380"/>
      <c r="D250" s="1380"/>
      <c r="E250" s="1380"/>
      <c r="F250" s="1380"/>
      <c r="G250" s="2101" t="s">
        <v>532</v>
      </c>
      <c r="H250" s="2101"/>
      <c r="I250" s="1380"/>
      <c r="J250" s="2101"/>
      <c r="K250" s="2101"/>
      <c r="L250" s="2130"/>
      <c r="M250" s="2152"/>
      <c r="N250" s="2152"/>
      <c r="O250" s="1380"/>
      <c r="P250" s="2101"/>
      <c r="Q250" s="2101"/>
      <c r="R250" s="1380"/>
      <c r="S250" s="2101"/>
      <c r="T250" s="2101"/>
    </row>
    <row r="251" spans="1:20">
      <c r="A251" s="1380"/>
      <c r="B251" s="2101" t="s">
        <v>705</v>
      </c>
      <c r="C251" s="2108"/>
      <c r="D251" s="1380"/>
      <c r="E251" s="1380"/>
      <c r="F251" s="1380"/>
      <c r="G251" s="1380"/>
      <c r="H251" s="2201"/>
      <c r="I251" s="2201"/>
      <c r="J251" s="2130"/>
      <c r="K251" s="2130"/>
      <c r="L251" s="1380"/>
      <c r="M251" s="2130"/>
      <c r="N251" s="2130"/>
      <c r="O251" s="2155" t="str">
        <f>B251</f>
        <v>OTHER COSTS</v>
      </c>
      <c r="P251" s="2130"/>
      <c r="Q251" s="2130"/>
      <c r="R251" s="1380"/>
      <c r="S251" s="2130"/>
      <c r="T251" s="2130"/>
    </row>
    <row r="252" spans="1:20">
      <c r="A252" s="1380"/>
      <c r="B252" s="1380" t="s">
        <v>706</v>
      </c>
      <c r="C252" s="2108"/>
      <c r="D252" s="1380"/>
      <c r="E252" s="1380"/>
      <c r="F252" s="1380"/>
      <c r="G252" s="2130">
        <f>'Part III-A-Uses of Funds'!G142</f>
        <v>0</v>
      </c>
      <c r="H252" s="2130"/>
      <c r="I252" s="1380"/>
      <c r="J252" s="2130">
        <f>'Part III-A-Uses of Funds'!J142</f>
        <v>0</v>
      </c>
      <c r="K252" s="2130"/>
      <c r="L252" s="2155"/>
      <c r="M252" s="2130">
        <f>'Part III-A-Uses of Funds'!M142</f>
        <v>0</v>
      </c>
      <c r="N252" s="2130"/>
      <c r="O252" s="1380"/>
      <c r="P252" s="2130">
        <f>'Part III-A-Uses of Funds'!P142</f>
        <v>0</v>
      </c>
      <c r="Q252" s="2130"/>
      <c r="R252" s="1380"/>
      <c r="S252" s="2130">
        <f>'Part III-A-Uses of Funds'!S142</f>
        <v>0</v>
      </c>
      <c r="T252" s="2130"/>
    </row>
    <row r="253" spans="1:20" ht="15.95" customHeight="1">
      <c r="A253" s="2153" t="str">
        <f>IF(AND(G253&gt;0,OR(C253="",C253="&lt;Enter detailed description here; use Comments section if needed&gt;")),"X","")</f>
        <v/>
      </c>
      <c r="B253" s="2107" t="s">
        <v>665</v>
      </c>
      <c r="C253" s="2075" t="str">
        <f>'Part III-A-Uses of Funds'!C143</f>
        <v>Site Lighting</v>
      </c>
      <c r="D253" s="2075"/>
      <c r="E253" s="2075"/>
      <c r="F253" s="2075"/>
      <c r="G253" s="2130">
        <f>'Part III-A-Uses of Funds'!G143</f>
        <v>50000</v>
      </c>
      <c r="H253" s="2130"/>
      <c r="I253" s="1380"/>
      <c r="J253" s="2130">
        <f>'Part III-A-Uses of Funds'!J143</f>
        <v>50000</v>
      </c>
      <c r="K253" s="2130"/>
      <c r="L253" s="2119"/>
      <c r="M253" s="2130">
        <f>'Part III-A-Uses of Funds'!M143</f>
        <v>0</v>
      </c>
      <c r="N253" s="2130"/>
      <c r="O253" s="1380"/>
      <c r="P253" s="2130">
        <f>'Part III-A-Uses of Funds'!P143</f>
        <v>0</v>
      </c>
      <c r="Q253" s="2130"/>
      <c r="R253" s="1380"/>
      <c r="S253" s="2130">
        <f>'Part III-A-Uses of Funds'!S143</f>
        <v>0</v>
      </c>
      <c r="T253" s="2130"/>
    </row>
    <row r="254" spans="1:20">
      <c r="A254" s="1380"/>
      <c r="B254" s="1380"/>
      <c r="C254" s="2108"/>
      <c r="D254" s="1380"/>
      <c r="E254" s="1380"/>
      <c r="F254" s="2154" t="s">
        <v>548</v>
      </c>
      <c r="G254" s="2130">
        <f>SUM(G252:G253)</f>
        <v>50000</v>
      </c>
      <c r="H254" s="2130"/>
      <c r="I254" s="1380"/>
      <c r="J254" s="2130">
        <f>SUM(J252:J253)</f>
        <v>50000</v>
      </c>
      <c r="K254" s="2130"/>
      <c r="L254" s="2119"/>
      <c r="M254" s="2130">
        <f>SUM(M252:M253)</f>
        <v>0</v>
      </c>
      <c r="N254" s="2130"/>
      <c r="O254" s="1380"/>
      <c r="P254" s="2130">
        <f>SUM(P252:P253)</f>
        <v>0</v>
      </c>
      <c r="Q254" s="2130"/>
      <c r="R254" s="1380"/>
      <c r="S254" s="2130">
        <f>SUM(S252:S253)</f>
        <v>0</v>
      </c>
      <c r="T254" s="2130"/>
    </row>
    <row r="255" spans="1:20">
      <c r="A255" s="1380"/>
      <c r="B255" s="1380"/>
      <c r="C255" s="2108"/>
      <c r="D255" s="1380"/>
      <c r="E255" s="1380"/>
      <c r="F255" s="1380"/>
      <c r="G255" s="1380"/>
      <c r="H255" s="2201"/>
      <c r="I255" s="2201"/>
      <c r="J255" s="1380"/>
      <c r="K255" s="1380"/>
      <c r="L255" s="1380"/>
      <c r="M255" s="1380"/>
      <c r="N255" s="1380"/>
      <c r="O255" s="1380"/>
      <c r="P255" s="1380"/>
      <c r="Q255" s="1380"/>
      <c r="R255" s="1380"/>
      <c r="S255" s="1380"/>
      <c r="T255" s="1380"/>
    </row>
    <row r="256" spans="1:20" ht="16.5">
      <c r="A256" s="1380"/>
      <c r="B256" s="2203" t="s">
        <v>2234</v>
      </c>
      <c r="C256" s="1380"/>
      <c r="D256" s="1380"/>
      <c r="E256" s="2156"/>
      <c r="F256" s="2204"/>
      <c r="G256" s="2152">
        <f>G128+G134+G138+G146+G151+G156+G165+G183+G196+G202+G213+G224+G230+G237+G245+G254</f>
        <v>22230470</v>
      </c>
      <c r="H256" s="2152"/>
      <c r="I256" s="1380"/>
      <c r="J256" s="2152">
        <f>J128+J134+J138+J146+J151+J156+J165+J183+J196+J202+J213+J224+J230+J237+J245+J254</f>
        <v>19065949</v>
      </c>
      <c r="K256" s="2152"/>
      <c r="L256" s="1380"/>
      <c r="M256" s="2152">
        <f>M128+M134+M138+M146+M151+M156+M165+M183+M196+M202+M213+M224+M230+M237+M245+M254</f>
        <v>0</v>
      </c>
      <c r="N256" s="2152"/>
      <c r="O256" s="1380"/>
      <c r="P256" s="2152">
        <f>P128+P134+P138+P146+P151+P156+P165+P183+P196+P202+P213+P224+P230+P237+P245+P254</f>
        <v>0</v>
      </c>
      <c r="Q256" s="2152"/>
      <c r="R256" s="1380"/>
      <c r="S256" s="2152">
        <f>S128+S134+S138+S146+S151+S156+S165+S183+S196+S202+S213+S224+S230+S237+S245+S254</f>
        <v>3164522</v>
      </c>
      <c r="T256" s="2152"/>
    </row>
    <row r="257" spans="1:20">
      <c r="A257" s="1380"/>
      <c r="B257" s="1380"/>
      <c r="C257" s="2108"/>
      <c r="D257" s="1380"/>
      <c r="E257" s="1380"/>
      <c r="F257" s="1380"/>
      <c r="G257" s="1380"/>
      <c r="H257" s="2201"/>
      <c r="I257" s="2201"/>
      <c r="J257" s="1380"/>
      <c r="K257" s="1380"/>
      <c r="L257" s="1380"/>
      <c r="M257" s="1380"/>
      <c r="N257" s="1380"/>
      <c r="O257" s="1380"/>
      <c r="P257" s="1380"/>
      <c r="Q257" s="1380"/>
      <c r="R257" s="1380"/>
      <c r="S257" s="1380"/>
      <c r="T257" s="1380"/>
    </row>
    <row r="258" spans="1:20">
      <c r="A258" s="1380"/>
      <c r="B258" s="2205" t="s">
        <v>2235</v>
      </c>
      <c r="C258" s="2169"/>
      <c r="D258" s="2206">
        <f>IF('Part V-Revenues &amp; Expenses'!$P$67=0,0,G256/'Part V-Revenues &amp; Expenses'!$P$67)</f>
        <v>383283.96551724139</v>
      </c>
      <c r="E258" s="2206"/>
      <c r="F258" s="2186" t="s">
        <v>710</v>
      </c>
      <c r="G258" s="2206">
        <f>IF('Part V-Revenues &amp; Expenses'!$K$179=0,0,G256/'Part V-Revenues &amp; Expenses'!$K$179)</f>
        <v>452.35369526290089</v>
      </c>
      <c r="H258" s="2206"/>
      <c r="I258" s="2200"/>
      <c r="J258" s="1380"/>
      <c r="K258" s="1380"/>
      <c r="L258" s="1380"/>
      <c r="M258" s="1380"/>
      <c r="N258" s="1380"/>
      <c r="O258" s="1380"/>
      <c r="P258" s="1380"/>
      <c r="Q258" s="1380"/>
      <c r="R258" s="1380"/>
      <c r="S258" s="1380"/>
      <c r="T258" s="1380"/>
    </row>
    <row r="259" spans="1:20">
      <c r="A259" s="1380"/>
      <c r="B259" s="2205"/>
      <c r="C259" s="2169"/>
      <c r="D259" s="2207"/>
      <c r="E259" s="2207"/>
      <c r="F259" s="2186"/>
      <c r="G259" s="2206"/>
      <c r="H259" s="2206"/>
      <c r="I259" s="2200"/>
      <c r="J259" s="1380"/>
      <c r="K259" s="1380"/>
      <c r="L259" s="1380"/>
      <c r="M259" s="1380"/>
      <c r="N259" s="1380"/>
      <c r="O259" s="1380"/>
      <c r="P259" s="1380"/>
      <c r="Q259" s="1380"/>
      <c r="R259" s="1380"/>
      <c r="S259" s="1380"/>
      <c r="T259" s="1380"/>
    </row>
    <row r="260" spans="1:20" ht="14.1" customHeight="1">
      <c r="A260" s="2151" t="s">
        <v>25</v>
      </c>
      <c r="B260" s="2208" t="s">
        <v>711</v>
      </c>
      <c r="C260" s="2102"/>
      <c r="D260" s="2119"/>
      <c r="E260" s="2119"/>
      <c r="F260" s="2119"/>
      <c r="G260" s="1380"/>
      <c r="H260" s="1380"/>
      <c r="I260" s="2209"/>
      <c r="J260" s="2101" t="s">
        <v>528</v>
      </c>
      <c r="K260" s="2101"/>
      <c r="L260" s="1380"/>
      <c r="M260" s="2101" t="s">
        <v>712</v>
      </c>
      <c r="N260" s="2101"/>
      <c r="O260" s="1380"/>
      <c r="P260" s="2101" t="s">
        <v>530</v>
      </c>
      <c r="Q260" s="2101"/>
      <c r="R260" s="1380"/>
      <c r="S260" s="1380"/>
      <c r="T260" s="1380"/>
    </row>
    <row r="261" spans="1:20">
      <c r="A261" s="1380"/>
      <c r="B261" s="2111" t="s">
        <v>713</v>
      </c>
      <c r="C261" s="1380"/>
      <c r="D261" s="2119"/>
      <c r="E261" s="2119"/>
      <c r="F261" s="1380"/>
      <c r="G261" s="1380"/>
      <c r="H261" s="1380"/>
      <c r="I261" s="2209"/>
      <c r="J261" s="2101"/>
      <c r="K261" s="2101"/>
      <c r="L261" s="2102"/>
      <c r="M261" s="2101"/>
      <c r="N261" s="2101"/>
      <c r="O261" s="1380"/>
      <c r="P261" s="2101"/>
      <c r="Q261" s="2101"/>
      <c r="R261" s="1380"/>
      <c r="S261" s="1380"/>
      <c r="T261" s="1380"/>
    </row>
    <row r="262" spans="1:20">
      <c r="A262" s="1380"/>
      <c r="B262" s="1380"/>
      <c r="C262" s="1380"/>
      <c r="D262" s="2108"/>
      <c r="E262" s="2108"/>
      <c r="F262" s="1380"/>
      <c r="G262" s="1380"/>
      <c r="H262" s="1380"/>
      <c r="I262" s="2201"/>
      <c r="J262" s="2201"/>
      <c r="K262" s="2202"/>
      <c r="L262" s="2108"/>
      <c r="M262" s="1380"/>
      <c r="N262" s="1380"/>
      <c r="O262" s="1380"/>
      <c r="P262" s="1380"/>
      <c r="Q262" s="1380"/>
      <c r="R262" s="1380"/>
      <c r="S262" s="1380"/>
      <c r="T262" s="1380"/>
    </row>
    <row r="263" spans="1:20">
      <c r="A263" s="1380"/>
      <c r="B263" s="2108" t="s">
        <v>714</v>
      </c>
      <c r="C263" s="1380"/>
      <c r="D263" s="1380"/>
      <c r="E263" s="1380"/>
      <c r="F263" s="1380"/>
      <c r="G263" s="1380"/>
      <c r="H263" s="1380"/>
      <c r="I263" s="2209"/>
      <c r="J263" s="2130">
        <f>'Part III-A-Uses of Funds'!J153</f>
        <v>0</v>
      </c>
      <c r="K263" s="2130"/>
      <c r="L263" s="1380"/>
      <c r="M263" s="1380"/>
      <c r="N263" s="1380"/>
      <c r="O263" s="1380"/>
      <c r="P263" s="2130">
        <f>'Part III-A-Uses of Funds'!P153</f>
        <v>0</v>
      </c>
      <c r="Q263" s="2130"/>
      <c r="R263" s="1380"/>
      <c r="S263" s="1380"/>
      <c r="T263" s="1380"/>
    </row>
    <row r="264" spans="1:20">
      <c r="A264" s="1380"/>
      <c r="B264" s="1380" t="s">
        <v>715</v>
      </c>
      <c r="C264" s="1380"/>
      <c r="D264" s="1380"/>
      <c r="E264" s="1380"/>
      <c r="F264" s="1380"/>
      <c r="G264" s="1380"/>
      <c r="H264" s="1380"/>
      <c r="I264" s="2209"/>
      <c r="J264" s="2130">
        <f>'Part III-A-Uses of Funds'!J154</f>
        <v>0</v>
      </c>
      <c r="K264" s="2130"/>
      <c r="L264" s="1380"/>
      <c r="M264" s="1380"/>
      <c r="N264" s="1380"/>
      <c r="O264" s="1380"/>
      <c r="P264" s="2130">
        <f>'Part III-A-Uses of Funds'!P154</f>
        <v>0</v>
      </c>
      <c r="Q264" s="2130"/>
      <c r="R264" s="1380"/>
      <c r="S264" s="1380"/>
      <c r="T264" s="1380"/>
    </row>
    <row r="265" spans="1:20">
      <c r="A265" s="1380"/>
      <c r="B265" s="1380" t="s">
        <v>716</v>
      </c>
      <c r="C265" s="1380"/>
      <c r="D265" s="1380"/>
      <c r="E265" s="1380"/>
      <c r="F265" s="1380"/>
      <c r="G265" s="1380"/>
      <c r="H265" s="1380"/>
      <c r="I265" s="2209"/>
      <c r="J265" s="2130">
        <f>'Part III-A-Uses of Funds'!J155</f>
        <v>0</v>
      </c>
      <c r="K265" s="2130"/>
      <c r="L265" s="1380"/>
      <c r="M265" s="1380"/>
      <c r="N265" s="1380"/>
      <c r="O265" s="1380"/>
      <c r="P265" s="2130">
        <f>'Part III-A-Uses of Funds'!P155</f>
        <v>0</v>
      </c>
      <c r="Q265" s="2130"/>
      <c r="R265" s="1380"/>
      <c r="S265" s="1380"/>
      <c r="T265" s="1380"/>
    </row>
    <row r="266" spans="1:20">
      <c r="A266" s="1380"/>
      <c r="B266" s="1380" t="s">
        <v>717</v>
      </c>
      <c r="C266" s="1380"/>
      <c r="D266" s="1380"/>
      <c r="E266" s="1380"/>
      <c r="F266" s="1380"/>
      <c r="G266" s="1380"/>
      <c r="H266" s="1380"/>
      <c r="I266" s="2209"/>
      <c r="J266" s="2130">
        <f>'Part III-A-Uses of Funds'!J156</f>
        <v>0</v>
      </c>
      <c r="K266" s="2130"/>
      <c r="L266" s="1380"/>
      <c r="M266" s="1380"/>
      <c r="N266" s="1380"/>
      <c r="O266" s="1380"/>
      <c r="P266" s="2130">
        <f>'Part III-A-Uses of Funds'!P156</f>
        <v>0</v>
      </c>
      <c r="Q266" s="2130"/>
      <c r="R266" s="1380"/>
      <c r="S266" s="1380"/>
      <c r="T266" s="1380"/>
    </row>
    <row r="267" spans="1:20">
      <c r="A267" s="1380"/>
      <c r="B267" s="1380" t="s">
        <v>718</v>
      </c>
      <c r="C267" s="1380"/>
      <c r="D267" s="1380"/>
      <c r="E267" s="1380"/>
      <c r="F267" s="1380"/>
      <c r="G267" s="1380"/>
      <c r="H267" s="1380"/>
      <c r="I267" s="2209"/>
      <c r="J267" s="2130">
        <f>'Part III-A-Uses of Funds'!J157</f>
        <v>0</v>
      </c>
      <c r="K267" s="2130"/>
      <c r="L267" s="1380"/>
      <c r="M267" s="1380"/>
      <c r="N267" s="1380"/>
      <c r="O267" s="1380"/>
      <c r="P267" s="2130">
        <f>'Part III-A-Uses of Funds'!P157</f>
        <v>0</v>
      </c>
      <c r="Q267" s="2130"/>
      <c r="R267" s="1380"/>
      <c r="S267" s="1380"/>
      <c r="T267" s="1380"/>
    </row>
    <row r="268" spans="1:20" ht="13.5" customHeight="1">
      <c r="A268" s="1380"/>
      <c r="B268" s="1380" t="s">
        <v>719</v>
      </c>
      <c r="C268" s="1380" t="str">
        <f>'Part III-A-Uses of Funds'!C158</f>
        <v>&lt;Enter detailed description here; use Comments section if needed&gt;</v>
      </c>
      <c r="D268" s="1380"/>
      <c r="E268" s="1380"/>
      <c r="F268" s="1380"/>
      <c r="G268" s="1380"/>
      <c r="H268" s="1380"/>
      <c r="I268" s="1380"/>
      <c r="J268" s="2130">
        <f>'Part III-A-Uses of Funds'!J158</f>
        <v>0</v>
      </c>
      <c r="K268" s="2130"/>
      <c r="L268" s="1380"/>
      <c r="M268" s="1380"/>
      <c r="N268" s="1380"/>
      <c r="O268" s="1380"/>
      <c r="P268" s="2130">
        <f>'Part III-A-Uses of Funds'!P158</f>
        <v>0</v>
      </c>
      <c r="Q268" s="2130"/>
      <c r="R268" s="1380"/>
      <c r="S268" s="1380"/>
      <c r="T268" s="1380"/>
    </row>
    <row r="269" spans="1:20">
      <c r="A269" s="1380"/>
      <c r="B269" s="2101" t="s">
        <v>721</v>
      </c>
      <c r="C269" s="2210"/>
      <c r="D269" s="1380"/>
      <c r="E269" s="1380"/>
      <c r="F269" s="1380"/>
      <c r="G269" s="1380"/>
      <c r="H269" s="1380"/>
      <c r="I269" s="1380"/>
      <c r="J269" s="2134">
        <f>SUM(J263:K268)</f>
        <v>0</v>
      </c>
      <c r="K269" s="2134"/>
      <c r="L269" s="1380"/>
      <c r="M269" s="1380"/>
      <c r="N269" s="1380"/>
      <c r="O269" s="1380"/>
      <c r="P269" s="2134">
        <f>SUM(P263:Q268)</f>
        <v>0</v>
      </c>
      <c r="Q269" s="2134"/>
      <c r="R269" s="1380"/>
      <c r="S269" s="1380"/>
      <c r="T269" s="1380"/>
    </row>
    <row r="270" spans="1:20">
      <c r="A270" s="1380"/>
      <c r="B270" s="1380"/>
      <c r="C270" s="1380"/>
      <c r="D270" s="1380"/>
      <c r="E270" s="1380"/>
      <c r="F270" s="1380"/>
      <c r="G270" s="1380"/>
      <c r="H270" s="1380"/>
      <c r="I270" s="1380"/>
      <c r="J270" s="1380"/>
      <c r="K270" s="1380"/>
      <c r="L270" s="1380"/>
      <c r="M270" s="1380"/>
      <c r="N270" s="1380"/>
      <c r="O270" s="1380"/>
      <c r="P270" s="1380"/>
      <c r="Q270" s="1380"/>
      <c r="R270" s="1380"/>
      <c r="S270" s="1380"/>
      <c r="T270" s="1380"/>
    </row>
    <row r="271" spans="1:20">
      <c r="A271" s="1380"/>
      <c r="B271" s="2101" t="s">
        <v>722</v>
      </c>
      <c r="C271" s="1380"/>
      <c r="D271" s="1380"/>
      <c r="E271" s="1380"/>
      <c r="F271" s="1380"/>
      <c r="G271" s="1380"/>
      <c r="H271" s="1380"/>
      <c r="I271" s="1380"/>
      <c r="J271" s="1380"/>
      <c r="K271" s="1380"/>
      <c r="L271" s="1380"/>
      <c r="M271" s="1380"/>
      <c r="N271" s="1380"/>
      <c r="O271" s="1380"/>
      <c r="P271" s="1380"/>
      <c r="Q271" s="1380"/>
      <c r="R271" s="1380"/>
      <c r="S271" s="1380"/>
      <c r="T271" s="1380"/>
    </row>
    <row r="272" spans="1:20" ht="12.95" customHeight="1">
      <c r="A272" s="1380"/>
      <c r="B272" s="1380" t="s">
        <v>723</v>
      </c>
      <c r="C272" s="1380"/>
      <c r="D272" s="1380"/>
      <c r="E272" s="1380"/>
      <c r="F272" s="1380"/>
      <c r="G272" s="1380"/>
      <c r="H272" s="1380"/>
      <c r="I272" s="1380"/>
      <c r="J272" s="2135">
        <f>J256</f>
        <v>19065949</v>
      </c>
      <c r="K272" s="2135"/>
      <c r="L272" s="1380"/>
      <c r="M272" s="2135">
        <f>M256</f>
        <v>0</v>
      </c>
      <c r="N272" s="2135"/>
      <c r="O272" s="1380"/>
      <c r="P272" s="2135">
        <f>P256</f>
        <v>0</v>
      </c>
      <c r="Q272" s="2135"/>
      <c r="R272" s="2211" t="s">
        <v>724</v>
      </c>
      <c r="S272" s="2211"/>
      <c r="T272" s="2211"/>
    </row>
    <row r="273" spans="1:20">
      <c r="A273" s="1380"/>
      <c r="B273" s="1380" t="s">
        <v>725</v>
      </c>
      <c r="C273" s="1380"/>
      <c r="D273" s="1380"/>
      <c r="E273" s="1380"/>
      <c r="F273" s="1380"/>
      <c r="G273" s="1380"/>
      <c r="H273" s="1380"/>
      <c r="I273" s="1380"/>
      <c r="J273" s="2135">
        <f>J269</f>
        <v>0</v>
      </c>
      <c r="K273" s="2135"/>
      <c r="L273" s="1380"/>
      <c r="M273" s="2135"/>
      <c r="N273" s="2135"/>
      <c r="O273" s="1380"/>
      <c r="P273" s="2135">
        <f>P269</f>
        <v>0</v>
      </c>
      <c r="Q273" s="2135"/>
      <c r="R273" s="2211"/>
      <c r="S273" s="2211"/>
      <c r="T273" s="2211"/>
    </row>
    <row r="274" spans="1:20" ht="12.95" customHeight="1">
      <c r="A274" s="1380"/>
      <c r="B274" s="1380" t="s">
        <v>726</v>
      </c>
      <c r="C274" s="1380"/>
      <c r="D274" s="1380"/>
      <c r="E274" s="1380"/>
      <c r="F274" s="1380"/>
      <c r="G274" s="1380"/>
      <c r="H274" s="1380"/>
      <c r="I274" s="1380"/>
      <c r="J274" s="2135">
        <f>J272-J273</f>
        <v>19065949</v>
      </c>
      <c r="K274" s="2135"/>
      <c r="L274" s="1380"/>
      <c r="M274" s="2135">
        <f>M272</f>
        <v>0</v>
      </c>
      <c r="N274" s="2135"/>
      <c r="O274" s="1380"/>
      <c r="P274" s="2135">
        <f>P272-P273</f>
        <v>0</v>
      </c>
      <c r="Q274" s="2135"/>
      <c r="R274" s="2107" t="str">
        <f>'Part III-A-Uses of Funds'!R164</f>
        <v>&lt;&lt; Select Category of Eligibility&gt;&gt;</v>
      </c>
      <c r="S274" s="2107"/>
      <c r="T274" s="2107"/>
    </row>
    <row r="275" spans="1:20">
      <c r="A275" s="1380"/>
      <c r="B275" s="1380" t="s">
        <v>728</v>
      </c>
      <c r="C275" s="1380"/>
      <c r="D275" s="1380"/>
      <c r="E275" s="1380"/>
      <c r="F275" s="1380"/>
      <c r="G275" s="1202" t="s">
        <v>729</v>
      </c>
      <c r="H275" s="1380" t="str">
        <f>'Part III-A-Uses of Funds'!H165</f>
        <v>&lt;&lt;Select&gt;&gt;</v>
      </c>
      <c r="I275" s="1380"/>
      <c r="J275" s="2212">
        <f>'Part III-A-Uses of Funds'!J165</f>
        <v>1</v>
      </c>
      <c r="K275" s="2212"/>
      <c r="L275" s="1380"/>
      <c r="M275" s="2212"/>
      <c r="N275" s="2212"/>
      <c r="O275" s="1380"/>
      <c r="P275" s="2212">
        <f>'Part III-A-Uses of Funds'!P165</f>
        <v>0</v>
      </c>
      <c r="Q275" s="2212"/>
      <c r="R275" s="2107"/>
      <c r="S275" s="2107"/>
      <c r="T275" s="2107"/>
    </row>
    <row r="276" spans="1:20">
      <c r="A276" s="1380"/>
      <c r="B276" s="1380" t="s">
        <v>731</v>
      </c>
      <c r="C276" s="1380"/>
      <c r="D276" s="1380"/>
      <c r="E276" s="1380"/>
      <c r="F276" s="1380"/>
      <c r="G276" s="1380"/>
      <c r="H276" s="1380"/>
      <c r="I276" s="1380"/>
      <c r="J276" s="2135">
        <f>J274*J275</f>
        <v>19065949</v>
      </c>
      <c r="K276" s="2135"/>
      <c r="L276" s="1380"/>
      <c r="M276" s="2135">
        <f>+M274</f>
        <v>0</v>
      </c>
      <c r="N276" s="2135"/>
      <c r="O276" s="1380"/>
      <c r="P276" s="2135">
        <f>P274*P275</f>
        <v>0</v>
      </c>
      <c r="Q276" s="2135"/>
      <c r="R276" s="2107"/>
      <c r="S276" s="2107"/>
      <c r="T276" s="2107"/>
    </row>
    <row r="277" spans="1:20">
      <c r="A277" s="1380"/>
      <c r="B277" s="1380" t="s">
        <v>732</v>
      </c>
      <c r="C277" s="1380"/>
      <c r="D277" s="1380"/>
      <c r="E277" s="1380"/>
      <c r="F277" s="1380"/>
      <c r="G277" s="1380"/>
      <c r="H277" s="1380"/>
      <c r="I277" s="1380"/>
      <c r="J277" s="2213">
        <f>MIN('Part V-Revenues &amp; Expenses'!$P$63/'Part V-Revenues &amp; Expenses'!$P$65,'Part V-Revenues &amp; Expenses'!$P$168/'Part V-Revenues &amp; Expenses'!$P$170)</f>
        <v>0.89481735583163358</v>
      </c>
      <c r="K277" s="2213"/>
      <c r="L277" s="1380"/>
      <c r="M277" s="2213">
        <f>MIN('Part V-Revenues &amp; Expenses'!$P$63/'Part V-Revenues &amp; Expenses'!$P$65,'Part V-Revenues &amp; Expenses'!$P$168/'Part V-Revenues &amp; Expenses'!$P$170)</f>
        <v>0.89481735583163358</v>
      </c>
      <c r="N277" s="2213"/>
      <c r="O277" s="1380"/>
      <c r="P277" s="2213">
        <f>MIN('Part V-Revenues &amp; Expenses'!$P$63/'Part V-Revenues &amp; Expenses'!$P$65,'Part V-Revenues &amp; Expenses'!$P$168/'Part V-Revenues &amp; Expenses'!$P$170)</f>
        <v>0.89481735583163358</v>
      </c>
      <c r="Q277" s="2213"/>
      <c r="R277" s="2214" t="str">
        <f>'Part III-A-Uses of Funds'!R167</f>
        <v>&lt;&lt;Select % of Eligible Basis&gt;&gt;</v>
      </c>
      <c r="S277" s="2214"/>
      <c r="T277" s="2214"/>
    </row>
    <row r="278" spans="1:20">
      <c r="A278" s="1380"/>
      <c r="B278" s="1380" t="s">
        <v>734</v>
      </c>
      <c r="C278" s="1380"/>
      <c r="D278" s="1380"/>
      <c r="E278" s="1380"/>
      <c r="F278" s="1380"/>
      <c r="G278" s="1380"/>
      <c r="H278" s="1380"/>
      <c r="I278" s="1380"/>
      <c r="J278" s="2135">
        <f>J276*J277</f>
        <v>17060542.070600778</v>
      </c>
      <c r="K278" s="2135"/>
      <c r="L278" s="1380"/>
      <c r="M278" s="2135">
        <f>M276*M277</f>
        <v>0</v>
      </c>
      <c r="N278" s="2135"/>
      <c r="O278" s="1380"/>
      <c r="P278" s="2135">
        <f>P276*P277</f>
        <v>0</v>
      </c>
      <c r="Q278" s="2135"/>
      <c r="R278" s="1380"/>
      <c r="S278" s="1380"/>
      <c r="T278" s="1380"/>
    </row>
    <row r="279" spans="1:20">
      <c r="A279" s="1380"/>
      <c r="B279" s="1380" t="s">
        <v>735</v>
      </c>
      <c r="C279" s="1380"/>
      <c r="D279" s="1380"/>
      <c r="E279" s="1380"/>
      <c r="F279" s="1380"/>
      <c r="G279" s="1380"/>
      <c r="H279" s="1380"/>
      <c r="I279" s="1380"/>
      <c r="J279" s="2212">
        <f>'Part III-A-Uses of Funds'!J169</f>
        <v>0.09</v>
      </c>
      <c r="K279" s="2212"/>
      <c r="L279" s="1380"/>
      <c r="M279" s="2212">
        <f>'Part III-A-Uses of Funds'!M169</f>
        <v>0</v>
      </c>
      <c r="N279" s="2212"/>
      <c r="O279" s="1380"/>
      <c r="P279" s="2212">
        <f>'Part III-A-Uses of Funds'!P169</f>
        <v>0</v>
      </c>
      <c r="Q279" s="2212"/>
      <c r="R279" s="1380"/>
      <c r="S279" s="1380"/>
      <c r="T279" s="1380"/>
    </row>
    <row r="280" spans="1:20">
      <c r="A280" s="1380"/>
      <c r="B280" s="1380" t="s">
        <v>736</v>
      </c>
      <c r="C280" s="1380"/>
      <c r="D280" s="1380"/>
      <c r="E280" s="1380"/>
      <c r="F280" s="1380"/>
      <c r="G280" s="1380"/>
      <c r="H280" s="1380"/>
      <c r="I280" s="1380"/>
      <c r="J280" s="2135">
        <f>J278*J279</f>
        <v>1535448.7863540701</v>
      </c>
      <c r="K280" s="2135"/>
      <c r="L280" s="1380"/>
      <c r="M280" s="2135">
        <f>M278*M279</f>
        <v>0</v>
      </c>
      <c r="N280" s="2135"/>
      <c r="O280" s="1380"/>
      <c r="P280" s="2135">
        <f>P278*P279</f>
        <v>0</v>
      </c>
      <c r="Q280" s="2135"/>
      <c r="R280" s="1380"/>
      <c r="S280" s="1380"/>
      <c r="T280" s="1380"/>
    </row>
    <row r="281" spans="1:20">
      <c r="A281" s="1380"/>
      <c r="B281" s="2101" t="s">
        <v>737</v>
      </c>
      <c r="C281" s="1380"/>
      <c r="D281" s="1380"/>
      <c r="E281" s="1380"/>
      <c r="F281" s="1380"/>
      <c r="G281" s="1380"/>
      <c r="H281" s="1380"/>
      <c r="I281" s="1380"/>
      <c r="J281" s="2134">
        <f>ROUNDDOWN(J280+M280+P280,0)</f>
        <v>1535448</v>
      </c>
      <c r="K281" s="2134"/>
      <c r="L281" s="2134"/>
      <c r="M281" s="2134"/>
      <c r="N281" s="2134"/>
      <c r="O281" s="2134"/>
      <c r="P281" s="2134"/>
      <c r="Q281" s="2134"/>
      <c r="R281" s="1380"/>
      <c r="S281" s="1380"/>
      <c r="T281" s="1380"/>
    </row>
    <row r="282" spans="1:20">
      <c r="A282" s="1380"/>
      <c r="B282" s="2215"/>
      <c r="C282" s="1380"/>
      <c r="D282" s="1380"/>
      <c r="E282" s="1380"/>
      <c r="F282" s="1380"/>
      <c r="G282" s="1380"/>
      <c r="H282" s="1380"/>
      <c r="I282" s="1380"/>
      <c r="J282" s="1380"/>
      <c r="K282" s="1380"/>
      <c r="L282" s="2140"/>
      <c r="M282" s="2140"/>
      <c r="N282" s="2140"/>
      <c r="O282" s="2140"/>
      <c r="P282" s="1380"/>
      <c r="Q282" s="1380"/>
      <c r="R282" s="1380"/>
      <c r="S282" s="1380"/>
      <c r="T282" s="1380"/>
    </row>
    <row r="283" spans="1:20" ht="16.5">
      <c r="A283" s="2216" t="s">
        <v>32</v>
      </c>
      <c r="B283" s="2216" t="s">
        <v>738</v>
      </c>
      <c r="C283" s="1380"/>
      <c r="D283" s="1380"/>
      <c r="E283" s="1380"/>
      <c r="F283" s="1380"/>
      <c r="G283" s="1380"/>
      <c r="H283" s="2201"/>
      <c r="I283" s="2201"/>
      <c r="J283" s="1380"/>
      <c r="K283" s="1380"/>
      <c r="L283" s="1380"/>
      <c r="M283" s="2217"/>
      <c r="N283" s="1380"/>
      <c r="O283" s="1380"/>
      <c r="P283" s="1380"/>
      <c r="Q283" s="1380"/>
      <c r="R283" s="1380"/>
      <c r="S283" s="1380"/>
      <c r="T283" s="1380"/>
    </row>
    <row r="284" spans="1:20">
      <c r="A284" s="1380"/>
      <c r="B284" s="1380"/>
      <c r="C284" s="1380"/>
      <c r="D284" s="1380"/>
      <c r="E284" s="1380"/>
      <c r="F284" s="1380"/>
      <c r="G284" s="1380"/>
      <c r="H284" s="2201"/>
      <c r="I284" s="2201"/>
      <c r="J284" s="1380"/>
      <c r="K284" s="1380"/>
      <c r="L284" s="1380"/>
      <c r="M284" s="2217"/>
      <c r="N284" s="1380"/>
      <c r="O284" s="2102"/>
      <c r="P284" s="2102"/>
      <c r="Q284" s="2102"/>
      <c r="R284" s="2102"/>
      <c r="S284" s="2102"/>
      <c r="T284" s="2102"/>
    </row>
    <row r="285" spans="1:20">
      <c r="A285" s="1380"/>
      <c r="B285" s="2101" t="s">
        <v>739</v>
      </c>
      <c r="C285" s="1380"/>
      <c r="D285" s="1380"/>
      <c r="E285" s="1380"/>
      <c r="F285" s="1380"/>
      <c r="G285" s="1380"/>
      <c r="H285" s="1380"/>
      <c r="I285" s="1380"/>
      <c r="J285" s="1380"/>
      <c r="K285" s="1380"/>
      <c r="L285" s="1380"/>
      <c r="M285" s="1380"/>
      <c r="N285" s="1380"/>
      <c r="O285" s="1380"/>
      <c r="P285" s="1380"/>
      <c r="Q285" s="1380"/>
      <c r="R285" s="1380"/>
      <c r="S285" s="1380"/>
      <c r="T285" s="1380"/>
    </row>
    <row r="286" spans="1:20" ht="12.95" customHeight="1">
      <c r="A286" s="1380"/>
      <c r="B286" s="1380" t="s">
        <v>2236</v>
      </c>
      <c r="C286" s="1380"/>
      <c r="D286" s="1380"/>
      <c r="E286" s="1380"/>
      <c r="F286" s="1380"/>
      <c r="G286" s="1380"/>
      <c r="H286" s="1380"/>
      <c r="I286" s="1380"/>
      <c r="J286" s="2135">
        <f>G256</f>
        <v>22230470</v>
      </c>
      <c r="K286" s="2135"/>
      <c r="L286" s="2135"/>
      <c r="M286" s="1380"/>
      <c r="N286" s="2211" t="s">
        <v>741</v>
      </c>
      <c r="O286" s="2211"/>
      <c r="P286" s="2211"/>
      <c r="Q286" s="2211"/>
      <c r="R286" s="1380"/>
      <c r="S286" s="2107" t="s">
        <v>742</v>
      </c>
      <c r="T286" s="2107"/>
    </row>
    <row r="287" spans="1:20">
      <c r="A287" s="1380"/>
      <c r="B287" s="1380" t="s">
        <v>743</v>
      </c>
      <c r="C287" s="1380"/>
      <c r="D287" s="1380"/>
      <c r="E287" s="1380"/>
      <c r="F287" s="1380"/>
      <c r="G287" s="1380"/>
      <c r="H287" s="1380"/>
      <c r="I287" s="1380"/>
      <c r="J287" s="2135">
        <f>'Part II-Sources of Funds'!$I$60-'Part II-Sources of Funds'!$I$44-'Part II-Sources of Funds'!$I$45-'Part II-Sources of Funds'!$I$51-'Part II-Sources of Funds'!$I$52</f>
        <v>5389924</v>
      </c>
      <c r="K287" s="2135"/>
      <c r="L287" s="2135"/>
      <c r="M287" s="2211"/>
      <c r="N287" s="2211"/>
      <c r="O287" s="2211"/>
      <c r="P287" s="2211"/>
      <c r="Q287" s="2211"/>
      <c r="R287" s="1380"/>
      <c r="S287" s="2107"/>
      <c r="T287" s="2107"/>
    </row>
    <row r="288" spans="1:20">
      <c r="A288" s="1380"/>
      <c r="B288" s="1380" t="s">
        <v>744</v>
      </c>
      <c r="C288" s="1380"/>
      <c r="D288" s="1380"/>
      <c r="E288" s="1380"/>
      <c r="F288" s="1380"/>
      <c r="G288" s="1380"/>
      <c r="H288" s="1380"/>
      <c r="I288" s="1380"/>
      <c r="J288" s="2135">
        <f>+J286-J287</f>
        <v>16840546</v>
      </c>
      <c r="K288" s="2135"/>
      <c r="L288" s="2135"/>
      <c r="M288" s="2211"/>
      <c r="N288" s="2211"/>
      <c r="O288" s="2211"/>
      <c r="P288" s="2211"/>
      <c r="Q288" s="2211"/>
      <c r="R288" s="1380"/>
      <c r="S288" s="2107"/>
      <c r="T288" s="2107"/>
    </row>
    <row r="289" spans="1:20" ht="13.5">
      <c r="A289" s="1380"/>
      <c r="B289" s="1380" t="s">
        <v>745</v>
      </c>
      <c r="C289" s="1380"/>
      <c r="D289" s="1380"/>
      <c r="E289" s="1380"/>
      <c r="F289" s="1380"/>
      <c r="G289" s="1380"/>
      <c r="H289" s="1380"/>
      <c r="I289" s="1380"/>
      <c r="J289" s="1380" t="str">
        <f>"/ 10"</f>
        <v>/ 10</v>
      </c>
      <c r="K289" s="1380"/>
      <c r="L289" s="1380"/>
      <c r="M289" s="2075"/>
      <c r="N289" s="2218">
        <f>'Part II-Sources of Funds'!$I$44</f>
        <v>0</v>
      </c>
      <c r="O289" s="2218"/>
      <c r="P289" s="2218"/>
      <c r="Q289" s="2218"/>
      <c r="R289" s="1380"/>
      <c r="S289" s="2127" t="s">
        <v>746</v>
      </c>
      <c r="T289" s="2219" t="str">
        <f>'Part III-A-Uses of Funds'!T179</f>
        <v>No</v>
      </c>
    </row>
    <row r="290" spans="1:20" ht="13.5">
      <c r="A290" s="1380"/>
      <c r="B290" s="1380" t="s">
        <v>747</v>
      </c>
      <c r="C290" s="1380"/>
      <c r="D290" s="1380"/>
      <c r="E290" s="1380"/>
      <c r="F290" s="1380"/>
      <c r="G290" s="1380"/>
      <c r="H290" s="1380"/>
      <c r="I290" s="1380"/>
      <c r="J290" s="2135">
        <f>J288/10</f>
        <v>1684054.6</v>
      </c>
      <c r="K290" s="2135"/>
      <c r="L290" s="2135"/>
      <c r="M290" s="1380"/>
      <c r="N290" s="2218"/>
      <c r="O290" s="2218"/>
      <c r="P290" s="2218"/>
      <c r="Q290" s="2218"/>
      <c r="R290" s="2218"/>
      <c r="S290" s="1380"/>
      <c r="T290" s="1380"/>
    </row>
    <row r="291" spans="1:20">
      <c r="A291" s="1380"/>
      <c r="B291" s="1380"/>
      <c r="C291" s="1380"/>
      <c r="D291" s="1380"/>
      <c r="E291" s="1380"/>
      <c r="F291" s="1380"/>
      <c r="G291" s="1380"/>
      <c r="H291" s="1380"/>
      <c r="I291" s="1380"/>
      <c r="J291" s="1380"/>
      <c r="K291" s="1380"/>
      <c r="L291" s="1380"/>
      <c r="M291" s="272"/>
      <c r="N291" s="1380" t="s">
        <v>748</v>
      </c>
      <c r="O291" s="1380"/>
      <c r="P291" s="1380"/>
      <c r="Q291" s="1380" t="s">
        <v>204</v>
      </c>
      <c r="R291" s="1380"/>
      <c r="S291" s="1380"/>
      <c r="T291" s="1380"/>
    </row>
    <row r="292" spans="1:20">
      <c r="A292" s="1380"/>
      <c r="B292" s="1380" t="s">
        <v>2237</v>
      </c>
      <c r="C292" s="1380"/>
      <c r="D292" s="1380"/>
      <c r="E292" s="1380"/>
      <c r="F292" s="1380"/>
      <c r="G292" s="1380"/>
      <c r="H292" s="1380"/>
      <c r="I292" s="1380"/>
      <c r="J292" s="2220">
        <f>N292+Q292</f>
        <v>1.3</v>
      </c>
      <c r="K292" s="2220"/>
      <c r="L292" s="2220"/>
      <c r="M292" s="1202" t="s">
        <v>750</v>
      </c>
      <c r="N292" s="2221">
        <f>'Part III-A-Uses of Funds'!N182</f>
        <v>0.8</v>
      </c>
      <c r="O292" s="2221"/>
      <c r="P292" s="1202" t="s">
        <v>751</v>
      </c>
      <c r="Q292" s="2221">
        <f>'Part III-A-Uses of Funds'!Q182</f>
        <v>0.5</v>
      </c>
      <c r="R292" s="2221"/>
      <c r="S292" s="1380"/>
      <c r="T292" s="1380"/>
    </row>
    <row r="293" spans="1:20">
      <c r="A293" s="1380"/>
      <c r="B293" s="2101" t="s">
        <v>752</v>
      </c>
      <c r="C293" s="1380"/>
      <c r="D293" s="1380"/>
      <c r="E293" s="1380"/>
      <c r="F293" s="1380"/>
      <c r="G293" s="1380"/>
      <c r="H293" s="1380"/>
      <c r="I293" s="1380"/>
      <c r="J293" s="2134">
        <f>ROUNDDOWN(IF(J292=0,"",J290/J292),0)</f>
        <v>1295426</v>
      </c>
      <c r="K293" s="2134"/>
      <c r="L293" s="2134"/>
      <c r="M293" s="272"/>
      <c r="N293" s="1380"/>
      <c r="O293" s="1380"/>
      <c r="P293" s="1380"/>
      <c r="Q293" s="1380"/>
      <c r="R293" s="1380"/>
      <c r="S293" s="1380"/>
      <c r="T293" s="1380"/>
    </row>
    <row r="294" spans="1:20">
      <c r="A294" s="1380"/>
      <c r="B294" s="1380"/>
      <c r="C294" s="1380"/>
      <c r="D294" s="1380"/>
      <c r="E294" s="1380"/>
      <c r="F294" s="1380"/>
      <c r="G294" s="1380"/>
      <c r="H294" s="1380"/>
      <c r="I294" s="1380"/>
      <c r="J294" s="2222"/>
      <c r="K294" s="2222"/>
      <c r="L294" s="2222"/>
      <c r="M294" s="272"/>
      <c r="N294" s="1202"/>
      <c r="O294" s="1202"/>
      <c r="P294" s="1380"/>
      <c r="Q294" s="1380"/>
      <c r="R294" s="1380"/>
      <c r="S294" s="1380"/>
      <c r="T294" s="1380"/>
    </row>
    <row r="295" spans="1:20" ht="16.5">
      <c r="A295" s="2216" t="s">
        <v>51</v>
      </c>
      <c r="B295" s="2216" t="s">
        <v>753</v>
      </c>
      <c r="C295" s="1380"/>
      <c r="D295" s="1380"/>
      <c r="E295" s="1380"/>
      <c r="F295" s="1380"/>
      <c r="G295" s="1380"/>
      <c r="H295" s="2201"/>
      <c r="I295" s="2201"/>
      <c r="J295" s="1380"/>
      <c r="K295" s="1380"/>
      <c r="L295" s="1380"/>
      <c r="M295" s="1380"/>
      <c r="N295" s="1380"/>
      <c r="O295" s="1380"/>
      <c r="P295" s="1380"/>
      <c r="Q295" s="1380"/>
      <c r="R295" s="1380"/>
      <c r="S295" s="1380"/>
      <c r="T295" s="1380"/>
    </row>
    <row r="296" spans="1:20">
      <c r="A296" s="1380"/>
      <c r="B296" s="1380"/>
      <c r="C296" s="1380"/>
      <c r="D296" s="1380"/>
      <c r="E296" s="1380"/>
      <c r="F296" s="1380"/>
      <c r="G296" s="1380"/>
      <c r="H296" s="2201"/>
      <c r="I296" s="2201"/>
      <c r="J296" s="1380"/>
      <c r="K296" s="1380"/>
      <c r="L296" s="1380"/>
      <c r="M296" s="1380"/>
      <c r="N296" s="1380"/>
      <c r="O296" s="1380"/>
      <c r="P296" s="1380"/>
      <c r="Q296" s="2162"/>
      <c r="R296" s="2162"/>
      <c r="S296" s="2223"/>
      <c r="T296" s="2223"/>
    </row>
    <row r="297" spans="1:20">
      <c r="A297" s="1380"/>
      <c r="B297" s="2101" t="s">
        <v>2238</v>
      </c>
      <c r="C297" s="1380"/>
      <c r="D297" s="1380"/>
      <c r="E297" s="1380"/>
      <c r="F297" s="1380"/>
      <c r="G297" s="1380"/>
      <c r="H297" s="1380"/>
      <c r="I297" s="1380"/>
      <c r="J297" s="2134">
        <f>'Part III-A-Uses of Funds'!J187</f>
        <v>1295427</v>
      </c>
      <c r="K297" s="2134"/>
      <c r="L297" s="2134"/>
      <c r="M297" s="1380"/>
      <c r="N297" s="1380"/>
      <c r="O297" s="1380"/>
      <c r="P297" s="1380"/>
      <c r="Q297" s="2107" t="s">
        <v>755</v>
      </c>
      <c r="R297" s="2107"/>
      <c r="S297" s="2107" t="str">
        <f>'Part VIII Scoring Criteria'!$J$12</f>
        <v>Atlanta Metro</v>
      </c>
      <c r="T297" s="2107"/>
    </row>
    <row r="298" spans="1:20">
      <c r="A298" s="1380"/>
      <c r="B298" s="1380"/>
      <c r="C298" s="1380"/>
      <c r="D298" s="1380"/>
      <c r="E298" s="1380"/>
      <c r="F298" s="1380"/>
      <c r="G298" s="1380"/>
      <c r="H298" s="1380"/>
      <c r="I298" s="1380"/>
      <c r="J298" s="2222"/>
      <c r="K298" s="2222"/>
      <c r="L298" s="2222"/>
      <c r="M298" s="272"/>
      <c r="N298" s="1202"/>
      <c r="O298" s="1202"/>
      <c r="P298" s="1380"/>
      <c r="Q298" s="2107"/>
      <c r="R298" s="2107"/>
      <c r="S298" s="2193"/>
      <c r="T298" s="2193"/>
    </row>
    <row r="299" spans="1:20">
      <c r="A299" s="1380"/>
      <c r="B299" s="2101" t="s">
        <v>2239</v>
      </c>
      <c r="C299" s="1380"/>
      <c r="D299" s="1380"/>
      <c r="E299" s="1380"/>
      <c r="F299" s="1380"/>
      <c r="G299" s="1380"/>
      <c r="H299" s="1380"/>
      <c r="I299" s="1380"/>
      <c r="J299" s="2134">
        <f>'Part III-A-Uses of Funds'!J189</f>
        <v>1295000</v>
      </c>
      <c r="K299" s="2134"/>
      <c r="L299" s="2134"/>
      <c r="M299" s="2224" t="str">
        <f>IF(J297=0,"",IF(J299&gt;J297,"Request can't exceed Maximum - REVISE (Try Round Down)!",""))</f>
        <v/>
      </c>
      <c r="N299" s="2224"/>
      <c r="O299" s="2224"/>
      <c r="P299" s="2224"/>
      <c r="Q299" s="2193" t="s">
        <v>757</v>
      </c>
      <c r="R299" s="2107"/>
      <c r="S299" s="2107" t="str">
        <f>'Part VIII Scoring Criteria'!$F$12</f>
        <v>New Affordability</v>
      </c>
      <c r="T299" s="2107"/>
    </row>
    <row r="300" spans="1:20">
      <c r="A300" s="1380"/>
      <c r="B300" s="1380"/>
      <c r="C300" s="1380"/>
      <c r="D300" s="1380"/>
      <c r="E300" s="1380"/>
      <c r="F300" s="1380"/>
      <c r="G300" s="1380"/>
      <c r="H300" s="1380"/>
      <c r="I300" s="1380"/>
      <c r="J300" s="2222"/>
      <c r="K300" s="2222"/>
      <c r="L300" s="2222"/>
      <c r="M300" s="2224"/>
      <c r="N300" s="2224"/>
      <c r="O300" s="2224"/>
      <c r="P300" s="2224"/>
      <c r="Q300" s="2107"/>
      <c r="R300" s="2107"/>
      <c r="S300" s="2193"/>
      <c r="T300" s="2193"/>
    </row>
    <row r="301" spans="1:20" ht="16.5">
      <c r="A301" s="2216"/>
      <c r="B301" s="2216" t="s">
        <v>2240</v>
      </c>
      <c r="C301" s="1380"/>
      <c r="D301" s="272"/>
      <c r="E301" s="272"/>
      <c r="F301" s="2108"/>
      <c r="G301" s="1380"/>
      <c r="H301" s="1380"/>
      <c r="I301" s="1380"/>
      <c r="J301" s="2134">
        <f>IF(J299="",0,+MIN(J297,J299))</f>
        <v>1295000</v>
      </c>
      <c r="K301" s="2134"/>
      <c r="L301" s="2134"/>
      <c r="M301" s="2224"/>
      <c r="N301" s="2224"/>
      <c r="O301" s="2224"/>
      <c r="P301" s="2224"/>
      <c r="Q301" s="295" t="s">
        <v>646</v>
      </c>
      <c r="R301" s="295"/>
      <c r="S301" s="210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2107"/>
    </row>
    <row r="302" spans="1:20">
      <c r="A302" s="272"/>
      <c r="B302" s="272"/>
      <c r="C302" s="272"/>
      <c r="D302" s="272"/>
      <c r="E302" s="272"/>
      <c r="F302" s="272"/>
      <c r="G302" s="272"/>
      <c r="H302" s="272"/>
      <c r="I302" s="272"/>
      <c r="J302" s="272"/>
      <c r="K302" s="272"/>
      <c r="L302" s="272"/>
      <c r="M302" s="272"/>
      <c r="N302" s="272"/>
      <c r="O302" s="272"/>
      <c r="P302" s="272"/>
      <c r="Q302" s="272"/>
      <c r="R302" s="272"/>
      <c r="S302" s="272"/>
      <c r="T302" s="272"/>
    </row>
    <row r="303" spans="1:20">
      <c r="A303" s="272"/>
      <c r="B303" s="272"/>
      <c r="C303" s="272"/>
      <c r="D303" s="272"/>
      <c r="E303" s="272"/>
      <c r="F303" s="272"/>
      <c r="G303" s="272"/>
      <c r="H303" s="272"/>
      <c r="I303" s="272"/>
      <c r="J303" s="272"/>
      <c r="K303" s="272"/>
      <c r="L303" s="272"/>
      <c r="M303" s="272"/>
      <c r="N303" s="272"/>
      <c r="O303" s="272"/>
      <c r="P303" s="272"/>
      <c r="Q303" s="272"/>
      <c r="R303" s="272"/>
      <c r="S303" s="272"/>
      <c r="T303" s="272"/>
    </row>
    <row r="304" spans="1:20">
      <c r="A304" s="2101" t="s">
        <v>68</v>
      </c>
      <c r="B304" s="271" t="s">
        <v>78</v>
      </c>
      <c r="C304" s="272"/>
      <c r="D304" s="272"/>
      <c r="E304" s="272"/>
      <c r="F304" s="272"/>
      <c r="G304" s="272"/>
      <c r="H304" s="272"/>
      <c r="I304" s="272"/>
      <c r="J304" s="272"/>
      <c r="K304" s="272"/>
      <c r="L304" s="272"/>
      <c r="M304" s="272"/>
      <c r="N304" s="2101" t="s">
        <v>77</v>
      </c>
      <c r="O304" s="2101" t="s">
        <v>80</v>
      </c>
      <c r="P304" s="272"/>
      <c r="Q304" s="272"/>
      <c r="R304" s="272"/>
      <c r="S304" s="272"/>
      <c r="T304" s="272"/>
    </row>
    <row r="305" spans="1:20" ht="12.6" customHeight="1">
      <c r="A305" s="2127" t="str">
        <f>'Part III-A-Uses of Funds'!A195</f>
        <v xml:space="preserve">Construction cost estimate is based off of our historical cost to deliver similar projects that are currenlty under construction and a preliminary budget from our contractor.
Local government fees were confirmed by the local government and our construction managment team.  Charts with the fee breakdown are provided by the city of Austell and Cobb County that were utilized in estimating the costs.
The supporting documentation shows all water tap fees, sewer tap fees, and impact fees as adding up to $295,165. 
Permit Fees include the Permit Fees and LDP and Site Review Fees
Water Tap Fees include Fire Meter Fee, Domestic Meter Fee, and Irrigation Meter Fee.
Sewer Tap Fees include the Sewer Development &amp; Tap Fee.
Construction Interest is calculated based on having to stabilize and hold the property for three months before conversion. </v>
      </c>
      <c r="B305" s="2127"/>
      <c r="C305" s="2127"/>
      <c r="D305" s="2127"/>
      <c r="E305" s="2127"/>
      <c r="F305" s="2127"/>
      <c r="G305" s="2127"/>
      <c r="H305" s="2127"/>
      <c r="I305" s="2127"/>
      <c r="J305" s="2127"/>
      <c r="K305" s="2127"/>
      <c r="L305" s="2127"/>
      <c r="M305" s="2127"/>
      <c r="N305" s="2127"/>
      <c r="O305" s="2127"/>
      <c r="P305" s="2127"/>
      <c r="Q305" s="2127"/>
      <c r="R305" s="2127"/>
      <c r="S305" s="2127"/>
      <c r="T305" s="2127"/>
    </row>
    <row r="307" spans="1:20" s="2227" customFormat="1" ht="15.75">
      <c r="A307" s="2225" t="str">
        <f>CONCATENATE("PART THREE (B) -  OTHER COSTS","  -  ",'Part I-Project Identification'!$O$7," - ",'Part I-Project Identification'!$F$26,"  -  ",'Part I-Project Identification'!$F$27,"  -  ",'Part I-Project Identification'!$J$27,",  ","County")</f>
        <v>PART THREE (B) -  OTHER COSTS  -  2024-0 - Finley Place  -  Austell  -  Cobb,  County</v>
      </c>
      <c r="B307" s="2225"/>
      <c r="C307" s="2225"/>
      <c r="D307" s="2225"/>
      <c r="E307" s="2225"/>
      <c r="F307" s="2225"/>
      <c r="G307" s="2225"/>
      <c r="H307" s="2225"/>
      <c r="I307" s="2226"/>
      <c r="J307" s="2226"/>
      <c r="K307" s="2226"/>
      <c r="L307" s="2226"/>
      <c r="M307" s="2226"/>
      <c r="N307" s="2226"/>
    </row>
    <row r="308" spans="1:20" s="2227" customFormat="1" ht="9" customHeight="1"/>
    <row r="309" spans="1:20" s="2227" customFormat="1" ht="57" customHeight="1">
      <c r="A309" s="2228" t="s">
        <v>760</v>
      </c>
      <c r="B309" s="2228"/>
      <c r="C309" s="2228"/>
      <c r="D309" s="2228"/>
      <c r="E309" s="2228"/>
      <c r="F309" s="2228"/>
      <c r="G309" s="2228"/>
      <c r="H309" s="2228"/>
    </row>
    <row r="310" spans="1:20" s="2227" customFormat="1" ht="6" customHeight="1"/>
    <row r="311" spans="1:20" s="2227" customFormat="1" ht="38.25" customHeight="1">
      <c r="A311" s="2229" t="s">
        <v>2241</v>
      </c>
      <c r="B311" s="2229"/>
      <c r="C311" s="2229"/>
      <c r="D311" s="2229"/>
      <c r="F311" s="2230" t="s">
        <v>762</v>
      </c>
      <c r="G311" s="2231"/>
      <c r="H311" s="2230" t="s">
        <v>763</v>
      </c>
    </row>
    <row r="312" spans="1:20" s="2227" customFormat="1" ht="6.75" customHeight="1">
      <c r="A312" s="2231"/>
      <c r="B312" s="2231"/>
      <c r="C312" s="2231"/>
      <c r="D312" s="2231"/>
    </row>
    <row r="313" spans="1:20" s="2233" customFormat="1" ht="4.5" customHeight="1">
      <c r="A313" s="2232"/>
      <c r="B313" s="2232"/>
      <c r="C313" s="2232"/>
      <c r="D313" s="2232"/>
      <c r="E313" s="2232"/>
      <c r="F313" s="2232"/>
      <c r="G313" s="2232"/>
    </row>
    <row r="314" spans="1:20" s="2233" customFormat="1">
      <c r="A314" s="2226" t="s">
        <v>533</v>
      </c>
      <c r="B314" s="2234"/>
      <c r="C314" s="2234"/>
      <c r="D314" s="2234"/>
      <c r="E314" s="2234"/>
      <c r="F314" s="2234"/>
      <c r="G314" s="2234"/>
      <c r="H314" s="2234"/>
    </row>
    <row r="315" spans="1:20" s="2233" customFormat="1" ht="41.25" customHeight="1">
      <c r="A315" s="2235" t="str">
        <f>'Part III-A-Uses of Funds'!$C$15</f>
        <v>Noise Study</v>
      </c>
      <c r="B315" s="2235"/>
      <c r="C315" s="2235"/>
      <c r="D315" s="2235"/>
      <c r="F315" s="2236" t="str">
        <f>'Part III-B-Other Items'!F9</f>
        <v>Required document due to Threshold and lender requirements</v>
      </c>
      <c r="G315" s="2234"/>
      <c r="H315" s="2236" t="str">
        <f>'Part III-B-Other Items'!H9</f>
        <v>100% of work is related to construction work</v>
      </c>
    </row>
    <row r="316" spans="1:20" s="2233" customFormat="1" ht="41.25" customHeight="1">
      <c r="A316" s="2235"/>
      <c r="B316" s="2235"/>
      <c r="C316" s="2235"/>
      <c r="D316" s="2235"/>
      <c r="F316" s="2236"/>
      <c r="G316" s="2234"/>
      <c r="H316" s="2236"/>
    </row>
    <row r="317" spans="1:20" s="2233" customFormat="1" ht="4.5" customHeight="1">
      <c r="F317" s="2236"/>
      <c r="G317" s="2234"/>
      <c r="H317" s="2236"/>
    </row>
    <row r="318" spans="1:20" s="2233" customFormat="1" ht="15" customHeight="1">
      <c r="A318" s="2237" t="s">
        <v>766</v>
      </c>
      <c r="B318" s="2238">
        <f>'Part III-A-Uses of Funds'!$G$15</f>
        <v>6000</v>
      </c>
      <c r="C318" s="2237" t="s">
        <v>723</v>
      </c>
      <c r="D318" s="2238">
        <f>'Part III-A-Uses of Funds'!$J$15+'Part III-A-Uses of Funds'!$M$15+'Part III-A-Uses of Funds'!$P$15</f>
        <v>6000</v>
      </c>
      <c r="F318" s="2236"/>
      <c r="G318" s="2234"/>
      <c r="H318" s="2236"/>
    </row>
    <row r="319" spans="1:20" s="2233" customFormat="1" ht="6" customHeight="1">
      <c r="A319" s="2234"/>
      <c r="B319" s="2239"/>
      <c r="C319" s="2234"/>
      <c r="D319" s="2234"/>
      <c r="F319" s="2236"/>
      <c r="G319" s="2240"/>
      <c r="H319" s="2236"/>
    </row>
    <row r="320" spans="1:20" s="2233" customFormat="1" ht="41.25" customHeight="1">
      <c r="A320" s="2235" t="str">
        <f>'Part III-A-Uses of Funds'!$C$16</f>
        <v>&lt;&lt; Enter description here; provide detail &amp; justification in tab Part III-b &gt;&gt;</v>
      </c>
      <c r="B320" s="2235"/>
      <c r="C320" s="2235"/>
      <c r="D320" s="2235"/>
      <c r="F320" s="2236">
        <f>'Part III-B-Other Items'!F14</f>
        <v>0</v>
      </c>
      <c r="G320" s="2234"/>
      <c r="H320" s="2236">
        <f>'Part III-B-Other Items'!H14</f>
        <v>0</v>
      </c>
    </row>
    <row r="321" spans="1:8" s="2233" customFormat="1" ht="41.25" customHeight="1">
      <c r="A321" s="2235"/>
      <c r="B321" s="2235"/>
      <c r="C321" s="2235"/>
      <c r="D321" s="2235"/>
      <c r="F321" s="2236"/>
      <c r="G321" s="2234"/>
      <c r="H321" s="2236"/>
    </row>
    <row r="322" spans="1:8" s="2233" customFormat="1" ht="4.5" customHeight="1">
      <c r="F322" s="2236"/>
      <c r="G322" s="2234"/>
      <c r="H322" s="2236"/>
    </row>
    <row r="323" spans="1:8" s="2233" customFormat="1" ht="15" customHeight="1">
      <c r="A323" s="2237" t="s">
        <v>766</v>
      </c>
      <c r="B323" s="2238">
        <f>'Part III-A-Uses of Funds'!$G$16</f>
        <v>0</v>
      </c>
      <c r="C323" s="2237" t="s">
        <v>723</v>
      </c>
      <c r="D323" s="2238">
        <f>'Part III-A-Uses of Funds'!$J$16+'Part III-A-Uses of Funds'!$M$16+'Part III-A-Uses of Funds'!$P$16</f>
        <v>0</v>
      </c>
      <c r="F323" s="2236"/>
      <c r="G323" s="2234"/>
      <c r="H323" s="2236"/>
    </row>
    <row r="324" spans="1:8" s="2233" customFormat="1" ht="6" customHeight="1">
      <c r="A324" s="2234"/>
      <c r="B324" s="2239"/>
      <c r="C324" s="2234"/>
      <c r="D324" s="2234"/>
      <c r="F324" s="2236"/>
      <c r="G324" s="2240"/>
      <c r="H324" s="2236"/>
    </row>
    <row r="325" spans="1:8" s="2233" customFormat="1" ht="41.25" customHeight="1">
      <c r="A325" s="2235" t="str">
        <f>'Part III-A-Uses of Funds'!$C$17</f>
        <v>&lt;&lt; Enter description here; provide detail &amp; justification in tab Part III-b &gt;&gt;</v>
      </c>
      <c r="B325" s="2235"/>
      <c r="C325" s="2235"/>
      <c r="D325" s="2235"/>
      <c r="F325" s="2236">
        <f>'Part III-B-Other Items'!F19</f>
        <v>0</v>
      </c>
      <c r="G325" s="2234"/>
      <c r="H325" s="2236">
        <f>'Part III-B-Other Items'!H19</f>
        <v>0</v>
      </c>
    </row>
    <row r="326" spans="1:8" s="2233" customFormat="1" ht="41.25" customHeight="1">
      <c r="A326" s="2235"/>
      <c r="B326" s="2235"/>
      <c r="C326" s="2235"/>
      <c r="D326" s="2235"/>
      <c r="F326" s="2236"/>
      <c r="G326" s="2234"/>
      <c r="H326" s="2236"/>
    </row>
    <row r="327" spans="1:8" s="2233" customFormat="1" ht="4.5" customHeight="1">
      <c r="F327" s="2236"/>
      <c r="G327" s="2234"/>
      <c r="H327" s="2236"/>
    </row>
    <row r="328" spans="1:8" s="2233" customFormat="1" ht="15" customHeight="1">
      <c r="A328" s="2237" t="s">
        <v>766</v>
      </c>
      <c r="B328" s="2238">
        <f>'Part III-A-Uses of Funds'!$G$17</f>
        <v>0</v>
      </c>
      <c r="C328" s="2237" t="s">
        <v>723</v>
      </c>
      <c r="D328" s="2238">
        <f>'Part III-A-Uses of Funds'!$J$17+'Part III-A-Uses of Funds'!$M$17+'Part III-A-Uses of Funds'!$P$17</f>
        <v>0</v>
      </c>
      <c r="F328" s="2236"/>
      <c r="G328" s="2234"/>
      <c r="H328" s="2236"/>
    </row>
    <row r="329" spans="1:8" s="2233" customFormat="1" ht="6" customHeight="1">
      <c r="A329" s="2234"/>
      <c r="B329" s="2239"/>
      <c r="C329" s="2234"/>
      <c r="D329" s="2234"/>
      <c r="F329" s="2236"/>
      <c r="G329" s="2240"/>
      <c r="H329" s="2236"/>
    </row>
    <row r="330" spans="1:8" s="2233" customFormat="1">
      <c r="A330" s="2226" t="s">
        <v>767</v>
      </c>
      <c r="B330" s="2234"/>
      <c r="C330" s="2234"/>
      <c r="D330" s="2234"/>
      <c r="E330" s="2234"/>
      <c r="F330" s="2234"/>
      <c r="G330" s="2234"/>
    </row>
    <row r="331" spans="1:8" s="2233" customFormat="1" ht="41.25" customHeight="1">
      <c r="A331" s="2235">
        <f>'Part III-A-Uses of Funds'!$C$46</f>
        <v>0</v>
      </c>
      <c r="B331" s="2235"/>
      <c r="C331" s="2235"/>
      <c r="D331" s="2235"/>
      <c r="E331" s="2234"/>
      <c r="F331" s="2236">
        <f>'Part III-B-Other Items'!F25</f>
        <v>0</v>
      </c>
      <c r="G331" s="2234"/>
      <c r="H331" s="2236">
        <f>'Part III-B-Other Items'!H25</f>
        <v>0</v>
      </c>
    </row>
    <row r="332" spans="1:8" s="2233" customFormat="1" ht="41.25" customHeight="1">
      <c r="A332" s="2235"/>
      <c r="B332" s="2235"/>
      <c r="C332" s="2235"/>
      <c r="D332" s="2235"/>
      <c r="E332" s="2234"/>
      <c r="F332" s="2236"/>
      <c r="G332" s="2234"/>
      <c r="H332" s="2236"/>
    </row>
    <row r="333" spans="1:8" s="2233" customFormat="1" ht="4.5" customHeight="1">
      <c r="A333" s="2234"/>
      <c r="B333" s="2234"/>
      <c r="C333" s="2234"/>
      <c r="D333" s="2234"/>
      <c r="E333" s="2234"/>
      <c r="F333" s="2236"/>
      <c r="G333" s="2234"/>
      <c r="H333" s="2236"/>
    </row>
    <row r="334" spans="1:8" s="2233" customFormat="1">
      <c r="A334" s="2237" t="s">
        <v>766</v>
      </c>
      <c r="B334" s="2238">
        <f>'Part III-A-Uses of Funds'!$G$46</f>
        <v>0</v>
      </c>
      <c r="C334" s="2237" t="s">
        <v>723</v>
      </c>
      <c r="D334" s="2238">
        <f>'Part III-A-Uses of Funds'!$J$46+'Part III-A-Uses of Funds'!$M$46+'Part III-A-Uses of Funds'!$P$46</f>
        <v>0</v>
      </c>
      <c r="E334" s="2234"/>
      <c r="F334" s="2236"/>
      <c r="G334" s="2234"/>
      <c r="H334" s="2236"/>
    </row>
    <row r="335" spans="1:8" s="2233" customFormat="1" ht="6" customHeight="1">
      <c r="A335" s="2234"/>
      <c r="B335" s="2239"/>
      <c r="C335" s="2234"/>
      <c r="D335" s="2234"/>
      <c r="E335" s="2234"/>
      <c r="F335" s="2236"/>
      <c r="G335" s="2240"/>
      <c r="H335" s="2236"/>
    </row>
    <row r="336" spans="1:8" s="2233" customFormat="1">
      <c r="A336" s="2226" t="s">
        <v>596</v>
      </c>
      <c r="B336" s="2234"/>
      <c r="C336" s="2234"/>
      <c r="D336" s="2234"/>
      <c r="E336" s="2234"/>
      <c r="F336" s="2234"/>
      <c r="G336" s="2234"/>
    </row>
    <row r="337" spans="1:8" s="2233" customFormat="1" ht="41.25" customHeight="1">
      <c r="A337" s="2235" t="str">
        <f>'Part III-A-Uses of Funds'!$C$71</f>
        <v>Construction Loan Due Diligence</v>
      </c>
      <c r="B337" s="2235"/>
      <c r="C337" s="2235"/>
      <c r="D337" s="2235"/>
      <c r="E337" s="2234"/>
      <c r="F337" s="2236" t="str">
        <f>'Part III-B-Other Items'!F31</f>
        <v>Construction Lender Due Diligence is a requirement of our lender</v>
      </c>
      <c r="G337" s="2234"/>
      <c r="H337" s="2236" t="str">
        <f>'Part III-B-Other Items'!H31</f>
        <v>100% of work is realated to construction work</v>
      </c>
    </row>
    <row r="338" spans="1:8" s="2233" customFormat="1" ht="41.25" customHeight="1">
      <c r="A338" s="2235"/>
      <c r="B338" s="2235"/>
      <c r="C338" s="2235"/>
      <c r="D338" s="2235"/>
      <c r="E338" s="2234"/>
      <c r="F338" s="2236"/>
      <c r="G338" s="2234"/>
      <c r="H338" s="2236"/>
    </row>
    <row r="339" spans="1:8" s="2233" customFormat="1" ht="4.5" customHeight="1">
      <c r="A339" s="2234"/>
      <c r="B339" s="2234"/>
      <c r="C339" s="2234"/>
      <c r="D339" s="2234"/>
      <c r="E339" s="2234"/>
      <c r="F339" s="2236"/>
      <c r="G339" s="2234"/>
      <c r="H339" s="2236"/>
    </row>
    <row r="340" spans="1:8" s="2233" customFormat="1" ht="14.25" customHeight="1">
      <c r="A340" s="2237" t="s">
        <v>766</v>
      </c>
      <c r="B340" s="2238">
        <f>'Part III-A-Uses of Funds'!$G$71</f>
        <v>25000</v>
      </c>
      <c r="C340" s="2237" t="s">
        <v>723</v>
      </c>
      <c r="D340" s="2238">
        <f>'Part III-A-Uses of Funds'!$J$71+'Part III-A-Uses of Funds'!$M$71+'Part III-A-Uses of Funds'!$P$71</f>
        <v>25000</v>
      </c>
      <c r="E340" s="2234"/>
      <c r="F340" s="2236"/>
      <c r="G340" s="2234"/>
      <c r="H340" s="2236"/>
    </row>
    <row r="341" spans="1:8" s="2233" customFormat="1" ht="6" customHeight="1">
      <c r="D341" s="2234"/>
      <c r="E341" s="2234"/>
      <c r="F341" s="2236"/>
      <c r="G341" s="2240"/>
      <c r="H341" s="2236"/>
    </row>
    <row r="342" spans="1:8" s="2233" customFormat="1" ht="41.25" customHeight="1">
      <c r="A342" s="2235" t="str">
        <f>'Part III-A-Uses of Funds'!$C$72</f>
        <v>&lt;&lt; Enter description here; provide detail &amp; justification in tab Part III-b &gt;&gt;</v>
      </c>
      <c r="B342" s="2235"/>
      <c r="C342" s="2235"/>
      <c r="D342" s="2235"/>
      <c r="E342" s="2234"/>
      <c r="F342" s="2236">
        <f>'Part III-B-Other Items'!F36</f>
        <v>0</v>
      </c>
      <c r="G342" s="2234"/>
      <c r="H342" s="2236">
        <f>'Part III-B-Other Items'!H36</f>
        <v>0</v>
      </c>
    </row>
    <row r="343" spans="1:8" s="2233" customFormat="1" ht="41.25" customHeight="1">
      <c r="A343" s="2235"/>
      <c r="B343" s="2235"/>
      <c r="C343" s="2235"/>
      <c r="D343" s="2235"/>
      <c r="E343" s="2234"/>
      <c r="F343" s="2236"/>
      <c r="G343" s="2234"/>
      <c r="H343" s="2236"/>
    </row>
    <row r="344" spans="1:8" s="2233" customFormat="1" ht="4.5" customHeight="1">
      <c r="A344" s="2234"/>
      <c r="B344" s="2234"/>
      <c r="C344" s="2234"/>
      <c r="D344" s="2234"/>
      <c r="E344" s="2234"/>
      <c r="F344" s="2236"/>
      <c r="G344" s="2234"/>
      <c r="H344" s="2236"/>
    </row>
    <row r="345" spans="1:8" s="2233" customFormat="1" ht="14.25" customHeight="1">
      <c r="A345" s="2237" t="s">
        <v>766</v>
      </c>
      <c r="B345" s="2238">
        <f>'Part III-A-Uses of Funds'!$G$72</f>
        <v>0</v>
      </c>
      <c r="C345" s="2237" t="s">
        <v>723</v>
      </c>
      <c r="D345" s="2238">
        <f>'Part III-A-Uses of Funds'!$J$72+'Part III-A-Uses of Funds'!$M$72+'Part III-A-Uses of Funds'!$P$72</f>
        <v>0</v>
      </c>
      <c r="E345" s="2234"/>
      <c r="F345" s="2236"/>
      <c r="G345" s="2234"/>
      <c r="H345" s="2236"/>
    </row>
    <row r="346" spans="1:8" s="2233" customFormat="1" ht="6" customHeight="1">
      <c r="D346" s="2234"/>
      <c r="E346" s="2234"/>
      <c r="F346" s="2236"/>
      <c r="G346" s="2240"/>
      <c r="H346" s="2236"/>
    </row>
    <row r="347" spans="1:8" s="2233" customFormat="1">
      <c r="A347" s="2226" t="s">
        <v>613</v>
      </c>
      <c r="B347" s="2234"/>
      <c r="C347" s="2234"/>
      <c r="D347" s="2234"/>
      <c r="E347" s="2241"/>
      <c r="F347" s="2241"/>
      <c r="G347" s="2234"/>
    </row>
    <row r="348" spans="1:8" s="2233" customFormat="1" ht="41.25" customHeight="1">
      <c r="A348" s="2235" t="str">
        <f>'Part III-A-Uses of Funds'!$C$85</f>
        <v>Radon Testing</v>
      </c>
      <c r="B348" s="2235"/>
      <c r="C348" s="2235"/>
      <c r="D348" s="2235"/>
      <c r="F348" s="2236" t="str">
        <f>'Part III-B-Other Items'!F42</f>
        <v>Radon Testing is a requirement of our investors</v>
      </c>
      <c r="G348" s="2234"/>
      <c r="H348" s="2236" t="str">
        <f>'Part III-B-Other Items'!H42</f>
        <v>100% of the work is related to construction work</v>
      </c>
    </row>
    <row r="349" spans="1:8" s="2233" customFormat="1" ht="41.25" customHeight="1">
      <c r="A349" s="2235"/>
      <c r="B349" s="2235"/>
      <c r="C349" s="2235"/>
      <c r="D349" s="2235"/>
      <c r="E349" s="2234"/>
      <c r="F349" s="2236"/>
      <c r="G349" s="2234"/>
      <c r="H349" s="2236"/>
    </row>
    <row r="350" spans="1:8" s="2233" customFormat="1" ht="4.5" customHeight="1">
      <c r="A350" s="2234"/>
      <c r="B350" s="2234"/>
      <c r="C350" s="2234"/>
      <c r="D350" s="2234"/>
      <c r="E350" s="2234"/>
      <c r="F350" s="2236"/>
      <c r="G350" s="2234"/>
      <c r="H350" s="2236"/>
    </row>
    <row r="351" spans="1:8" s="2233" customFormat="1" ht="13.5" customHeight="1">
      <c r="A351" s="2237" t="s">
        <v>766</v>
      </c>
      <c r="B351" s="2238">
        <f>'Part III-A-Uses of Funds'!$G$85</f>
        <v>6500</v>
      </c>
      <c r="C351" s="2237" t="s">
        <v>723</v>
      </c>
      <c r="D351" s="2238">
        <f>'Part III-A-Uses of Funds'!$J$85+'Part III-A-Uses of Funds'!$M$85+'Part III-A-Uses of Funds'!$P$85</f>
        <v>6500</v>
      </c>
      <c r="E351" s="2234"/>
      <c r="F351" s="2236"/>
      <c r="G351" s="2234"/>
      <c r="H351" s="2236"/>
    </row>
    <row r="352" spans="1:8" s="2233" customFormat="1" ht="6" customHeight="1">
      <c r="A352" s="2234"/>
      <c r="B352" s="2239"/>
      <c r="C352" s="2234"/>
      <c r="D352" s="2234"/>
      <c r="E352" s="2234"/>
      <c r="F352" s="2236"/>
      <c r="G352" s="2240"/>
      <c r="H352" s="2236"/>
    </row>
    <row r="353" spans="1:7" s="2233" customFormat="1">
      <c r="A353" s="2226" t="s">
        <v>637</v>
      </c>
      <c r="B353" s="2234"/>
      <c r="C353" s="2234"/>
      <c r="D353" s="2234"/>
      <c r="E353" s="2234"/>
      <c r="F353" s="2234"/>
      <c r="G353" s="2234"/>
    </row>
    <row r="354" spans="1:7" s="2233" customFormat="1" ht="41.25" customHeight="1">
      <c r="A354" s="2235" t="str">
        <f>'Part III-A-Uses of Funds'!$C$102</f>
        <v>&lt;&lt; Enter description here; provide detail &amp; justification in tab Part III-b &gt;&gt;</v>
      </c>
      <c r="B354" s="2235"/>
      <c r="C354" s="2235"/>
      <c r="D354" s="2235"/>
      <c r="F354" s="2236">
        <f>'Part III-B-Other Items'!F48</f>
        <v>0</v>
      </c>
      <c r="G354" s="2234"/>
    </row>
    <row r="355" spans="1:7" s="2233" customFormat="1" ht="41.25" customHeight="1">
      <c r="A355" s="2235"/>
      <c r="B355" s="2235"/>
      <c r="C355" s="2235"/>
      <c r="D355" s="2235"/>
      <c r="E355" s="2234"/>
      <c r="F355" s="2236"/>
      <c r="G355" s="2234"/>
    </row>
    <row r="356" spans="1:7" s="2233" customFormat="1" ht="3" customHeight="1">
      <c r="A356" s="2234"/>
      <c r="B356" s="2234"/>
      <c r="C356" s="2234"/>
      <c r="D356" s="2234"/>
      <c r="E356" s="2234"/>
      <c r="F356" s="2236"/>
      <c r="G356" s="2234"/>
    </row>
    <row r="357" spans="1:7" s="2233" customFormat="1" ht="13.5" customHeight="1">
      <c r="A357" s="2237" t="s">
        <v>766</v>
      </c>
      <c r="B357" s="2238">
        <f>'Part III-A-Uses of Funds'!$G$102</f>
        <v>0</v>
      </c>
      <c r="C357" s="2242"/>
      <c r="D357" s="2242"/>
      <c r="E357" s="2234"/>
      <c r="F357" s="2236"/>
      <c r="G357" s="2234"/>
    </row>
    <row r="358" spans="1:7" s="2233" customFormat="1" ht="3.75" customHeight="1">
      <c r="A358" s="2234"/>
      <c r="B358" s="2234"/>
      <c r="C358" s="2234"/>
      <c r="D358" s="2234"/>
      <c r="E358" s="2234"/>
      <c r="F358" s="2236"/>
      <c r="G358" s="2240"/>
    </row>
    <row r="359" spans="1:7" s="2233" customFormat="1">
      <c r="A359" s="2226" t="s">
        <v>2242</v>
      </c>
      <c r="B359" s="2234"/>
      <c r="C359" s="2234"/>
      <c r="D359" s="2234"/>
      <c r="E359" s="2234"/>
      <c r="F359" s="2234"/>
      <c r="G359" s="2234"/>
    </row>
    <row r="360" spans="1:7" s="2233" customFormat="1" ht="41.25" customHeight="1">
      <c r="A360" s="2235" t="str">
        <f>'Part III-A-Uses of Funds'!$C$112</f>
        <v>&lt;&lt; Enter description here; provide detail &amp; justification in tab Part III-b &gt;&gt;</v>
      </c>
      <c r="B360" s="2235"/>
      <c r="C360" s="2235"/>
      <c r="D360" s="2235"/>
      <c r="F360" s="2236">
        <f>'Part III-B-Other Items'!F54</f>
        <v>0</v>
      </c>
      <c r="G360" s="2234"/>
    </row>
    <row r="361" spans="1:7" s="2233" customFormat="1" ht="41.25" customHeight="1">
      <c r="A361" s="2235"/>
      <c r="B361" s="2235"/>
      <c r="C361" s="2235"/>
      <c r="D361" s="2235"/>
      <c r="E361" s="2234"/>
      <c r="F361" s="2236"/>
      <c r="G361" s="2234"/>
    </row>
    <row r="362" spans="1:7" s="2233" customFormat="1" ht="3" customHeight="1">
      <c r="A362" s="2234"/>
      <c r="B362" s="2234"/>
      <c r="C362" s="2234"/>
      <c r="D362" s="2234"/>
      <c r="E362" s="2234"/>
      <c r="F362" s="2236"/>
      <c r="G362" s="2234"/>
    </row>
    <row r="363" spans="1:7" s="2233" customFormat="1">
      <c r="A363" s="2237" t="s">
        <v>766</v>
      </c>
      <c r="B363" s="2238">
        <f>'Part III-A-Uses of Funds'!$G$112</f>
        <v>0</v>
      </c>
      <c r="C363" s="2242"/>
      <c r="D363" s="2242"/>
      <c r="E363" s="2234"/>
      <c r="F363" s="2236"/>
      <c r="G363" s="2234"/>
    </row>
    <row r="364" spans="1:7" s="2233" customFormat="1" ht="3.75" customHeight="1">
      <c r="A364" s="2232"/>
      <c r="B364" s="2232"/>
      <c r="C364" s="2232"/>
      <c r="D364" s="2232"/>
      <c r="E364" s="2232"/>
      <c r="F364" s="2236"/>
      <c r="G364" s="2240"/>
    </row>
    <row r="365" spans="1:7" s="2233" customFormat="1" ht="41.25" customHeight="1">
      <c r="A365" s="2235" t="str">
        <f>'Part III-A-Uses of Funds'!$C$113</f>
        <v>&lt;&lt; Enter description here; provide detail &amp; justification in tab Part III-b &gt;&gt;</v>
      </c>
      <c r="B365" s="2235"/>
      <c r="C365" s="2235"/>
      <c r="D365" s="2235"/>
      <c r="F365" s="2236">
        <f>'Part III-B-Other Items'!F59</f>
        <v>0</v>
      </c>
      <c r="G365" s="2234"/>
    </row>
    <row r="366" spans="1:7" s="2233" customFormat="1" ht="41.25" customHeight="1">
      <c r="A366" s="2235"/>
      <c r="B366" s="2235"/>
      <c r="C366" s="2235"/>
      <c r="D366" s="2235"/>
      <c r="E366" s="2234"/>
      <c r="F366" s="2236"/>
      <c r="G366" s="2234"/>
    </row>
    <row r="367" spans="1:7" s="2233" customFormat="1" ht="3" customHeight="1">
      <c r="A367" s="2234"/>
      <c r="B367" s="2234"/>
      <c r="C367" s="2234"/>
      <c r="D367" s="2234"/>
      <c r="E367" s="2234"/>
      <c r="F367" s="2236"/>
      <c r="G367" s="2234"/>
    </row>
    <row r="368" spans="1:7" s="2233" customFormat="1">
      <c r="A368" s="2237" t="s">
        <v>766</v>
      </c>
      <c r="B368" s="2238">
        <f>'Part III-A-Uses of Funds'!$G$113</f>
        <v>0</v>
      </c>
      <c r="C368" s="2242"/>
      <c r="D368" s="2242"/>
      <c r="E368" s="2234"/>
      <c r="F368" s="2236"/>
      <c r="G368" s="2234"/>
    </row>
    <row r="369" spans="1:8" s="2233" customFormat="1" ht="3.75" customHeight="1">
      <c r="A369" s="2232"/>
      <c r="B369" s="2232"/>
      <c r="C369" s="2232"/>
      <c r="D369" s="2232"/>
      <c r="E369" s="2232"/>
      <c r="F369" s="2236"/>
      <c r="G369" s="2240"/>
    </row>
    <row r="370" spans="1:8" s="2233" customFormat="1">
      <c r="A370" s="2226" t="s">
        <v>2243</v>
      </c>
      <c r="B370" s="2234"/>
      <c r="C370" s="2234"/>
      <c r="D370" s="2234"/>
      <c r="E370" s="2234"/>
      <c r="F370" s="2234"/>
      <c r="G370" s="2234"/>
    </row>
    <row r="371" spans="1:8" s="2233" customFormat="1" ht="41.25" customHeight="1">
      <c r="A371" s="2235" t="str">
        <f>'Part III-A-Uses of Funds'!$C$119</f>
        <v>&lt;&lt; Enter description here; provide detail &amp; justification in tab Part III-b &gt;&gt;</v>
      </c>
      <c r="B371" s="2235"/>
      <c r="C371" s="2235"/>
      <c r="D371" s="2235"/>
      <c r="F371" s="2236">
        <f>'Part III-B-Other Items'!F65</f>
        <v>0</v>
      </c>
      <c r="G371" s="2234"/>
    </row>
    <row r="372" spans="1:8" s="2233" customFormat="1" ht="41.25" customHeight="1">
      <c r="A372" s="2235"/>
      <c r="B372" s="2235"/>
      <c r="C372" s="2235"/>
      <c r="D372" s="2235"/>
      <c r="E372" s="2234"/>
      <c r="F372" s="2236"/>
      <c r="G372" s="2234"/>
    </row>
    <row r="373" spans="1:8" s="2233" customFormat="1" ht="3" customHeight="1">
      <c r="A373" s="2234"/>
      <c r="B373" s="2234"/>
      <c r="C373" s="2234"/>
      <c r="D373" s="2234"/>
      <c r="E373" s="2234"/>
      <c r="F373" s="2236"/>
      <c r="G373" s="2234"/>
    </row>
    <row r="374" spans="1:8" s="2233" customFormat="1">
      <c r="A374" s="2237" t="s">
        <v>766</v>
      </c>
      <c r="B374" s="2238">
        <f>'Part III-A-Uses of Funds'!$G$119</f>
        <v>0</v>
      </c>
      <c r="C374" s="2242"/>
      <c r="D374" s="2242"/>
      <c r="E374" s="2234"/>
      <c r="F374" s="2236"/>
      <c r="G374" s="2234"/>
    </row>
    <row r="375" spans="1:8" s="2233" customFormat="1" ht="3.75" customHeight="1">
      <c r="A375" s="2234"/>
      <c r="B375" s="2239"/>
      <c r="C375" s="2234"/>
      <c r="D375" s="2234"/>
      <c r="E375" s="2234"/>
      <c r="F375" s="2236"/>
      <c r="G375" s="2240"/>
    </row>
    <row r="376" spans="1:8" s="2233" customFormat="1">
      <c r="A376" s="2226" t="s">
        <v>693</v>
      </c>
      <c r="B376" s="2234"/>
      <c r="C376" s="2234"/>
      <c r="D376" s="2234"/>
      <c r="E376" s="2234"/>
      <c r="F376" s="2234"/>
      <c r="G376" s="2234"/>
    </row>
    <row r="377" spans="1:8" s="2233" customFormat="1" ht="41.25" customHeight="1">
      <c r="A377" s="2235" t="str">
        <f>'Part III-A-Uses of Funds'!$C$134</f>
        <v>Signage and Security</v>
      </c>
      <c r="B377" s="2235"/>
      <c r="C377" s="2235"/>
      <c r="D377" s="2235"/>
      <c r="F377" s="2236" t="str">
        <f>'Part III-B-Other Items'!F71</f>
        <v>This is a construction item that fall outside of the construction contract</v>
      </c>
      <c r="G377" s="2234"/>
      <c r="H377" s="2236" t="str">
        <f>'Part III-B-Other Items'!H71</f>
        <v>100% of work is related to construction work</v>
      </c>
    </row>
    <row r="378" spans="1:8" s="2233" customFormat="1" ht="41.25" customHeight="1">
      <c r="A378" s="2235"/>
      <c r="B378" s="2235"/>
      <c r="C378" s="2235"/>
      <c r="D378" s="2235"/>
      <c r="E378" s="2234"/>
      <c r="F378" s="2236"/>
      <c r="G378" s="2234"/>
      <c r="H378" s="2236"/>
    </row>
    <row r="379" spans="1:8" s="2233" customFormat="1" ht="4.5" customHeight="1">
      <c r="A379" s="2234"/>
      <c r="B379" s="2234"/>
      <c r="C379" s="2234"/>
      <c r="D379" s="2234"/>
      <c r="E379" s="2234"/>
      <c r="F379" s="2236"/>
      <c r="G379" s="2234"/>
      <c r="H379" s="2236"/>
    </row>
    <row r="380" spans="1:8" s="2233" customFormat="1" ht="12.75" customHeight="1">
      <c r="A380" s="2237" t="s">
        <v>766</v>
      </c>
      <c r="B380" s="2238">
        <f>'Part III-A-Uses of Funds'!$G$134</f>
        <v>250000</v>
      </c>
      <c r="C380" s="2237" t="s">
        <v>723</v>
      </c>
      <c r="D380" s="2238">
        <f>'Part III-A-Uses of Funds'!$J$134+'Part III-A-Uses of Funds'!$M$134+'Part III-A-Uses of Funds'!$P$134</f>
        <v>0</v>
      </c>
      <c r="E380" s="2234"/>
      <c r="F380" s="2236"/>
      <c r="G380" s="2234"/>
      <c r="H380" s="2236"/>
    </row>
    <row r="381" spans="1:8" s="2233" customFormat="1" ht="6" customHeight="1">
      <c r="A381" s="2234"/>
      <c r="B381" s="2239"/>
      <c r="C381" s="2234"/>
      <c r="D381" s="2234"/>
      <c r="E381" s="2234"/>
      <c r="F381" s="2236"/>
      <c r="G381" s="2240"/>
      <c r="H381" s="2236"/>
    </row>
    <row r="382" spans="1:8" s="2233" customFormat="1">
      <c r="A382" s="2226" t="s">
        <v>2244</v>
      </c>
      <c r="B382" s="2239"/>
      <c r="C382" s="2234"/>
      <c r="D382" s="2234"/>
      <c r="E382" s="2234"/>
      <c r="F382" s="2234"/>
      <c r="G382" s="2240"/>
    </row>
    <row r="383" spans="1:8" s="2233" customFormat="1" ht="41.25" customHeight="1">
      <c r="A383" s="2235" t="str">
        <f>'Part III-A-Uses of Funds'!$C$143</f>
        <v>Site Lighting</v>
      </c>
      <c r="B383" s="2235"/>
      <c r="C383" s="2235"/>
      <c r="D383" s="2235"/>
      <c r="F383" s="2236" t="str">
        <f>'Part III-B-Other Items'!F77</f>
        <v>This a construction item that falls outside the construction contract</v>
      </c>
      <c r="G383" s="2234"/>
      <c r="H383" s="2236" t="str">
        <f>'Part III-B-Other Items'!H77</f>
        <v>100% of work is related to construction work</v>
      </c>
    </row>
    <row r="384" spans="1:8" s="2233" customFormat="1" ht="41.25" customHeight="1">
      <c r="A384" s="2235"/>
      <c r="B384" s="2235"/>
      <c r="C384" s="2235"/>
      <c r="D384" s="2235"/>
      <c r="E384" s="2234"/>
      <c r="F384" s="2236"/>
      <c r="G384" s="2234"/>
      <c r="H384" s="2236"/>
    </row>
    <row r="385" spans="1:13" s="2233" customFormat="1" ht="4.5" customHeight="1">
      <c r="A385" s="2234"/>
      <c r="B385" s="2234"/>
      <c r="C385" s="2234"/>
      <c r="D385" s="2234"/>
      <c r="E385" s="2234"/>
      <c r="F385" s="2236"/>
      <c r="G385" s="2234"/>
      <c r="H385" s="2236"/>
    </row>
    <row r="386" spans="1:13" s="2233" customFormat="1" ht="12.75" customHeight="1">
      <c r="A386" s="2237" t="s">
        <v>766</v>
      </c>
      <c r="B386" s="2238">
        <f>'Part III-A-Uses of Funds'!$G$143</f>
        <v>50000</v>
      </c>
      <c r="C386" s="2237" t="s">
        <v>723</v>
      </c>
      <c r="D386" s="2238">
        <f>'Part III-A-Uses of Funds'!$J$143+'Part III-A-Uses of Funds'!$M$143+'Part III-A-Uses of Funds'!$P$143</f>
        <v>50000</v>
      </c>
      <c r="E386" s="2234"/>
      <c r="F386" s="2236"/>
      <c r="G386" s="2234"/>
      <c r="H386" s="2236"/>
    </row>
    <row r="387" spans="1:13" s="2233" customFormat="1" ht="6" customHeight="1">
      <c r="D387" s="2234"/>
      <c r="E387" s="2238"/>
      <c r="F387" s="2236"/>
      <c r="G387" s="2240"/>
      <c r="H387" s="2236"/>
    </row>
    <row r="388" spans="1:13" s="2233" customFormat="1"/>
    <row r="391" spans="1:13">
      <c r="A391" s="1317" t="str">
        <f>CONCATENATE("PART FOUR - UTILITY ALLOWANCES","  -  ",'Part I-Project Identification'!$O$7," ",'Part I-Project Identification'!$F$26,", ",'Part I-Project Identification'!F334,", ",'Part I-Project Identification'!J334," County")</f>
        <v>PART FOUR - UTILITY ALLOWANCES  -  2024-0 Finley Place, ,  County</v>
      </c>
      <c r="B391" s="1317"/>
      <c r="C391" s="1317"/>
      <c r="D391" s="1317"/>
      <c r="E391" s="1317"/>
      <c r="F391" s="1317"/>
      <c r="G391" s="1317"/>
      <c r="H391" s="1317"/>
      <c r="I391" s="1317"/>
      <c r="J391" s="1317"/>
      <c r="K391" s="1317"/>
      <c r="L391" s="1317"/>
      <c r="M391" s="1317"/>
    </row>
    <row r="393" spans="1:13">
      <c r="B393" s="2243" t="str">
        <f>'Part I-Project Identification'!$A$6</f>
        <v>2024 May 7</v>
      </c>
      <c r="C393" s="2243"/>
      <c r="D393" s="2243"/>
      <c r="E393" s="2243"/>
      <c r="F393" s="1317" t="s">
        <v>777</v>
      </c>
      <c r="I393" s="1317" t="str">
        <f>'Part IV-Utility Allowances'!I3</f>
        <v>Local PHA</v>
      </c>
      <c r="J393" s="1317"/>
    </row>
    <row r="395" spans="1:13">
      <c r="A395" s="2244" t="s">
        <v>2245</v>
      </c>
    </row>
    <row r="397" spans="1:13">
      <c r="A397" s="255" t="s">
        <v>21</v>
      </c>
      <c r="B397" s="255" t="s">
        <v>780</v>
      </c>
      <c r="F397" s="253" t="s">
        <v>781</v>
      </c>
      <c r="G397" s="253"/>
      <c r="H397" s="253"/>
      <c r="I397" s="253" t="str">
        <f>'Part IV-Utility Allowances'!I7</f>
        <v>HUD Utility Model</v>
      </c>
      <c r="J397" s="253"/>
      <c r="K397" s="253"/>
      <c r="L397" s="253"/>
      <c r="M397" s="253"/>
    </row>
    <row r="398" spans="1:13">
      <c r="A398" s="255"/>
      <c r="F398" s="253" t="s">
        <v>783</v>
      </c>
      <c r="G398" s="253"/>
      <c r="H398" s="253"/>
      <c r="I398" s="2245">
        <f>'Part IV-Utility Allowances'!I8</f>
        <v>45387</v>
      </c>
      <c r="J398" s="2245"/>
      <c r="K398" s="1454" t="s">
        <v>784</v>
      </c>
      <c r="L398" s="253" t="str">
        <f>'Part IV-Utility Allowances'!L8</f>
        <v>High-Rise Elevator</v>
      </c>
      <c r="M398" s="253"/>
    </row>
    <row r="399" spans="1:13">
      <c r="A399" s="255"/>
    </row>
    <row r="400" spans="1:13">
      <c r="A400" s="255"/>
      <c r="B400" s="255"/>
      <c r="C400" s="255"/>
      <c r="D400" s="255"/>
      <c r="E400" s="255"/>
      <c r="F400" s="255" t="s">
        <v>786</v>
      </c>
      <c r="G400" s="255"/>
      <c r="H400" s="255"/>
      <c r="I400" s="255" t="s">
        <v>787</v>
      </c>
      <c r="J400" s="255"/>
      <c r="K400" s="255"/>
      <c r="L400" s="255"/>
      <c r="M400" s="255"/>
    </row>
    <row r="401" spans="1:13">
      <c r="A401" s="255"/>
      <c r="B401" s="255" t="s">
        <v>788</v>
      </c>
      <c r="C401" s="255"/>
      <c r="D401" s="255" t="s">
        <v>789</v>
      </c>
      <c r="E401" s="255"/>
      <c r="F401" s="1446" t="s">
        <v>790</v>
      </c>
      <c r="G401" s="1446" t="s">
        <v>791</v>
      </c>
      <c r="H401" s="255"/>
      <c r="I401" s="1446" t="s">
        <v>792</v>
      </c>
      <c r="J401" s="1446">
        <v>1</v>
      </c>
      <c r="K401" s="1446">
        <v>2</v>
      </c>
      <c r="L401" s="1446">
        <v>3</v>
      </c>
      <c r="M401" s="1446">
        <v>4</v>
      </c>
    </row>
    <row r="402" spans="1:13">
      <c r="B402" s="253" t="s">
        <v>793</v>
      </c>
      <c r="C402" s="253"/>
      <c r="D402" s="253" t="str">
        <f>'Part IV-Utility Allowances'!D12</f>
        <v>Electric Heat Pump</v>
      </c>
      <c r="E402" s="253"/>
      <c r="F402" s="2246" t="str">
        <f>'Part IV-Utility Allowances'!F12</f>
        <v>X</v>
      </c>
      <c r="G402" s="2246">
        <f>'Part IV-Utility Allowances'!G12</f>
        <v>0</v>
      </c>
      <c r="I402" s="1454">
        <f>'Part IV-Utility Allowances'!I12</f>
        <v>0</v>
      </c>
      <c r="J402" s="1454">
        <f>'Part IV-Utility Allowances'!J12</f>
        <v>16</v>
      </c>
      <c r="K402" s="1454">
        <f>'Part IV-Utility Allowances'!K12</f>
        <v>19</v>
      </c>
      <c r="L402" s="1454">
        <f>'Part IV-Utility Allowances'!L12</f>
        <v>0</v>
      </c>
      <c r="M402" s="1454">
        <f>'Part IV-Utility Allowances'!M12</f>
        <v>0</v>
      </c>
    </row>
    <row r="403" spans="1:13">
      <c r="B403" s="253" t="s">
        <v>796</v>
      </c>
      <c r="C403" s="253"/>
      <c r="D403" s="253" t="str">
        <f>'Part IV-Utility Allowances'!D13</f>
        <v>Electric</v>
      </c>
      <c r="E403" s="253"/>
      <c r="F403" s="2246" t="str">
        <f>'Part IV-Utility Allowances'!F13</f>
        <v>X</v>
      </c>
      <c r="G403" s="2246">
        <f>'Part IV-Utility Allowances'!G13</f>
        <v>0</v>
      </c>
      <c r="I403" s="1454">
        <f>'Part IV-Utility Allowances'!I13</f>
        <v>0</v>
      </c>
      <c r="J403" s="1454">
        <f>'Part IV-Utility Allowances'!J13</f>
        <v>7</v>
      </c>
      <c r="K403" s="1454">
        <f>'Part IV-Utility Allowances'!K13</f>
        <v>10</v>
      </c>
      <c r="L403" s="1454">
        <f>'Part IV-Utility Allowances'!L13</f>
        <v>0</v>
      </c>
      <c r="M403" s="1454">
        <f>'Part IV-Utility Allowances'!M13</f>
        <v>0</v>
      </c>
    </row>
    <row r="404" spans="1:13">
      <c r="B404" s="253" t="s">
        <v>799</v>
      </c>
      <c r="C404" s="253"/>
      <c r="D404" s="253" t="str">
        <f>'Part IV-Utility Allowances'!D14</f>
        <v>Electric</v>
      </c>
      <c r="E404" s="253"/>
      <c r="F404" s="2246" t="str">
        <f>'Part IV-Utility Allowances'!F14</f>
        <v>X</v>
      </c>
      <c r="G404" s="2246">
        <f>'Part IV-Utility Allowances'!G14</f>
        <v>0</v>
      </c>
      <c r="I404" s="1454">
        <f>'Part IV-Utility Allowances'!I14</f>
        <v>0</v>
      </c>
      <c r="J404" s="1454">
        <f>'Part IV-Utility Allowances'!J14</f>
        <v>16</v>
      </c>
      <c r="K404" s="1454">
        <f>'Part IV-Utility Allowances'!K14</f>
        <v>21</v>
      </c>
      <c r="L404" s="1454">
        <f>'Part IV-Utility Allowances'!L14</f>
        <v>0</v>
      </c>
      <c r="M404" s="1454">
        <f>'Part IV-Utility Allowances'!M14</f>
        <v>0</v>
      </c>
    </row>
    <row r="405" spans="1:13">
      <c r="B405" s="253" t="s">
        <v>800</v>
      </c>
      <c r="C405" s="253"/>
      <c r="D405" s="253" t="s">
        <v>797</v>
      </c>
      <c r="F405" s="2246" t="str">
        <f>'Part IV-Utility Allowances'!F15</f>
        <v>X</v>
      </c>
      <c r="G405" s="2246">
        <f>'Part IV-Utility Allowances'!G15</f>
        <v>0</v>
      </c>
      <c r="I405" s="1454">
        <f>'Part IV-Utility Allowances'!I15</f>
        <v>0</v>
      </c>
      <c r="J405" s="1454">
        <f>'Part IV-Utility Allowances'!J15</f>
        <v>9</v>
      </c>
      <c r="K405" s="1454">
        <f>'Part IV-Utility Allowances'!K15</f>
        <v>13</v>
      </c>
      <c r="L405" s="1454">
        <f>'Part IV-Utility Allowances'!L15</f>
        <v>0</v>
      </c>
      <c r="M405" s="1454">
        <f>'Part IV-Utility Allowances'!M15</f>
        <v>0</v>
      </c>
    </row>
    <row r="406" spans="1:13">
      <c r="B406" s="253" t="s">
        <v>801</v>
      </c>
      <c r="C406" s="253"/>
      <c r="D406" s="253" t="s">
        <v>797</v>
      </c>
      <c r="F406" s="2246">
        <f>'Part IV-Utility Allowances'!F16</f>
        <v>0</v>
      </c>
      <c r="G406" s="2246">
        <f>'Part IV-Utility Allowances'!G16</f>
        <v>0</v>
      </c>
      <c r="I406" s="1454">
        <f>'Part IV-Utility Allowances'!I16</f>
        <v>0</v>
      </c>
      <c r="J406" s="1454">
        <f>'Part IV-Utility Allowances'!J16</f>
        <v>0</v>
      </c>
      <c r="K406" s="1454">
        <f>'Part IV-Utility Allowances'!K16</f>
        <v>0</v>
      </c>
      <c r="L406" s="1454">
        <f>'Part IV-Utility Allowances'!L16</f>
        <v>0</v>
      </c>
      <c r="M406" s="1454">
        <f>'Part IV-Utility Allowances'!M16</f>
        <v>0</v>
      </c>
    </row>
    <row r="407" spans="1:13">
      <c r="B407" s="253" t="s">
        <v>802</v>
      </c>
      <c r="C407" s="253"/>
      <c r="D407" s="253" t="s">
        <v>797</v>
      </c>
      <c r="F407" s="2246">
        <f>'Part IV-Utility Allowances'!F17</f>
        <v>0</v>
      </c>
      <c r="G407" s="2246">
        <f>'Part IV-Utility Allowances'!G17</f>
        <v>0</v>
      </c>
      <c r="I407" s="1454">
        <f>'Part IV-Utility Allowances'!I17</f>
        <v>0</v>
      </c>
      <c r="J407" s="1454">
        <f>'Part IV-Utility Allowances'!J17</f>
        <v>0</v>
      </c>
      <c r="K407" s="1454">
        <f>'Part IV-Utility Allowances'!K17</f>
        <v>0</v>
      </c>
      <c r="L407" s="1454">
        <f>'Part IV-Utility Allowances'!L17</f>
        <v>0</v>
      </c>
      <c r="M407" s="1454">
        <f>'Part IV-Utility Allowances'!M17</f>
        <v>0</v>
      </c>
    </row>
    <row r="408" spans="1:13">
      <c r="B408" s="253" t="s">
        <v>803</v>
      </c>
      <c r="C408" s="253"/>
      <c r="D408" s="253" t="s">
        <v>797</v>
      </c>
      <c r="F408" s="2246" t="str">
        <f>'Part IV-Utility Allowances'!F18</f>
        <v>X</v>
      </c>
      <c r="G408" s="2246">
        <f>'Part IV-Utility Allowances'!G18</f>
        <v>0</v>
      </c>
      <c r="I408" s="1454">
        <f>'Part IV-Utility Allowances'!I18</f>
        <v>0</v>
      </c>
      <c r="J408" s="1454">
        <f>'Part IV-Utility Allowances'!J18</f>
        <v>26</v>
      </c>
      <c r="K408" s="1454">
        <f>'Part IV-Utility Allowances'!K18</f>
        <v>36</v>
      </c>
      <c r="L408" s="1454">
        <f>'Part IV-Utility Allowances'!L18</f>
        <v>0</v>
      </c>
      <c r="M408" s="1454">
        <f>'Part IV-Utility Allowances'!M18</f>
        <v>0</v>
      </c>
    </row>
    <row r="409" spans="1:13">
      <c r="B409" s="253" t="s">
        <v>804</v>
      </c>
      <c r="C409" s="253"/>
      <c r="D409" s="253" t="s">
        <v>2246</v>
      </c>
      <c r="E409" s="1454" t="str">
        <f>'Part IV-Utility Allowances'!E19</f>
        <v>No</v>
      </c>
      <c r="F409" s="2246">
        <f>'Part IV-Utility Allowances'!F19</f>
        <v>0</v>
      </c>
      <c r="G409" s="2246" t="str">
        <f>'Part IV-Utility Allowances'!G19</f>
        <v>X</v>
      </c>
      <c r="I409" s="1454">
        <f>'Part IV-Utility Allowances'!I19</f>
        <v>0</v>
      </c>
      <c r="J409" s="1454">
        <f>'Part IV-Utility Allowances'!J19</f>
        <v>0</v>
      </c>
      <c r="K409" s="1454">
        <f>'Part IV-Utility Allowances'!K19</f>
        <v>0</v>
      </c>
      <c r="L409" s="1454">
        <f>'Part IV-Utility Allowances'!L19</f>
        <v>0</v>
      </c>
      <c r="M409" s="1454">
        <f>'Part IV-Utility Allowances'!M19</f>
        <v>0</v>
      </c>
    </row>
    <row r="410" spans="1:13">
      <c r="B410" s="253" t="s">
        <v>806</v>
      </c>
      <c r="C410" s="253"/>
      <c r="F410" s="2246">
        <f>'Part IV-Utility Allowances'!F20</f>
        <v>0</v>
      </c>
      <c r="G410" s="2246" t="str">
        <f>'Part IV-Utility Allowances'!G20</f>
        <v>X</v>
      </c>
      <c r="I410" s="1454">
        <f>'Part IV-Utility Allowances'!I20</f>
        <v>0</v>
      </c>
      <c r="J410" s="1454">
        <f>'Part IV-Utility Allowances'!J20</f>
        <v>0</v>
      </c>
      <c r="K410" s="1454">
        <f>'Part IV-Utility Allowances'!K20</f>
        <v>0</v>
      </c>
      <c r="L410" s="1454">
        <f>'Part IV-Utility Allowances'!L20</f>
        <v>0</v>
      </c>
      <c r="M410" s="1454">
        <f>'Part IV-Utility Allowances'!M20</f>
        <v>0</v>
      </c>
    </row>
    <row r="411" spans="1:13">
      <c r="B411" s="253" t="s">
        <v>450</v>
      </c>
      <c r="C411" s="256" t="str">
        <f>'Part IV-Utility Allowances'!C21</f>
        <v>Base Charge</v>
      </c>
      <c r="D411" s="256"/>
      <c r="E411" s="256"/>
      <c r="F411" s="2246" t="str">
        <f>'Part IV-Utility Allowances'!F21</f>
        <v>X</v>
      </c>
      <c r="G411" s="2246">
        <f>'Part IV-Utility Allowances'!G21</f>
        <v>0</v>
      </c>
      <c r="I411" s="1454">
        <f>'Part IV-Utility Allowances'!I21</f>
        <v>0</v>
      </c>
      <c r="J411" s="1454">
        <f>'Part IV-Utility Allowances'!J21</f>
        <v>14</v>
      </c>
      <c r="K411" s="1454">
        <f>'Part IV-Utility Allowances'!K21</f>
        <v>14</v>
      </c>
      <c r="L411" s="1454">
        <f>'Part IV-Utility Allowances'!L21</f>
        <v>0</v>
      </c>
      <c r="M411" s="1454">
        <f>'Part IV-Utility Allowances'!M21</f>
        <v>0</v>
      </c>
    </row>
    <row r="412" spans="1:13">
      <c r="B412" s="255" t="s">
        <v>808</v>
      </c>
      <c r="F412" s="1318"/>
      <c r="G412" s="1318"/>
      <c r="I412" s="2246">
        <f>IF(SUM(I402:I411)=0,0,IF(OR($D402="&lt;&lt;Select Fuel &gt;&gt;",$D403="&lt;&lt;Select Fuel &gt;&gt;",$D404="&lt;&lt;Select Fuel &gt;&gt;"),"Select Fuel",IF($E409="&lt;Select&gt;","Submeter?",SUM(I402:I411))))</f>
        <v>0</v>
      </c>
      <c r="J412" s="2246">
        <f>IF(SUM(J402:J411)=0,0,IF(OR($D402="&lt;&lt;Select Fuel &gt;&gt;",$D403="&lt;&lt;Select Fuel &gt;&gt;",$D404="&lt;&lt;Select Fuel &gt;&gt;"),"Select Fuel",IF($E409="&lt;Select&gt;","Submeter?",SUM(J402:J411))))</f>
        <v>88</v>
      </c>
      <c r="K412" s="2246">
        <f>IF(SUM(K402:K411)=0,0,IF(OR($D402="&lt;&lt;Select Fuel &gt;&gt;",$D403="&lt;&lt;Select Fuel &gt;&gt;",$D404="&lt;&lt;Select Fuel &gt;&gt;"),"Select Fuel",IF($E409="&lt;Select&gt;","Submeter?",SUM(K402:K411))))</f>
        <v>113</v>
      </c>
      <c r="L412" s="2246">
        <f>IF(SUM(L402:L411)=0,0,IF(OR($D402="&lt;&lt;Select Fuel &gt;&gt;",$D403="&lt;&lt;Select Fuel &gt;&gt;",$D404="&lt;&lt;Select Fuel &gt;&gt;"),"Select Fuel",IF($E409="&lt;Select&gt;","Submeter?",SUM(L402:L411))))</f>
        <v>0</v>
      </c>
      <c r="M412" s="2246">
        <f>IF(SUM(M402:M411)=0,0,IF(OR($D402="&lt;&lt;Select Fuel &gt;&gt;",$D403="&lt;&lt;Select Fuel &gt;&gt;",$D404="&lt;&lt;Select Fuel &gt;&gt;"),"Select Fuel",IF($E409="&lt;Select&gt;","Submeter?",SUM(M402:M411))))</f>
        <v>0</v>
      </c>
    </row>
    <row r="414" spans="1:13">
      <c r="A414" s="255" t="s">
        <v>25</v>
      </c>
      <c r="B414" s="255" t="s">
        <v>809</v>
      </c>
      <c r="F414" s="253" t="s">
        <v>781</v>
      </c>
      <c r="G414" s="253"/>
      <c r="H414" s="253"/>
      <c r="I414" s="253" t="str">
        <f>'Part IV-Utility Allowances'!I24</f>
        <v>Marietta Housing Authority-Cobb County</v>
      </c>
      <c r="J414" s="253"/>
      <c r="K414" s="253"/>
      <c r="L414" s="253"/>
      <c r="M414" s="253"/>
    </row>
    <row r="415" spans="1:13">
      <c r="A415" s="255"/>
      <c r="B415" s="255"/>
      <c r="F415" s="253" t="s">
        <v>783</v>
      </c>
      <c r="G415" s="253"/>
      <c r="H415" s="253"/>
      <c r="I415" s="2245">
        <f>'Part IV-Utility Allowances'!I25</f>
        <v>44859</v>
      </c>
      <c r="J415" s="2245"/>
      <c r="K415" s="1454" t="s">
        <v>784</v>
      </c>
      <c r="L415" s="253" t="str">
        <f>'Part IV-Utility Allowances'!L25</f>
        <v>High-Rise Elevator</v>
      </c>
      <c r="M415" s="253"/>
    </row>
    <row r="416" spans="1:13">
      <c r="A416" s="255"/>
    </row>
    <row r="417" spans="1:13">
      <c r="A417" s="255"/>
      <c r="B417" s="255"/>
      <c r="C417" s="255"/>
      <c r="D417" s="255"/>
      <c r="E417" s="255"/>
      <c r="F417" s="255" t="s">
        <v>786</v>
      </c>
      <c r="G417" s="255"/>
      <c r="H417" s="255"/>
      <c r="I417" s="255" t="s">
        <v>787</v>
      </c>
      <c r="J417" s="255"/>
      <c r="K417" s="255"/>
      <c r="L417" s="255"/>
      <c r="M417" s="255"/>
    </row>
    <row r="418" spans="1:13">
      <c r="A418" s="255"/>
      <c r="B418" s="255" t="s">
        <v>788</v>
      </c>
      <c r="C418" s="255"/>
      <c r="D418" s="255" t="s">
        <v>789</v>
      </c>
      <c r="E418" s="255"/>
      <c r="F418" s="1446" t="s">
        <v>790</v>
      </c>
      <c r="G418" s="1446" t="s">
        <v>791</v>
      </c>
      <c r="H418" s="255"/>
      <c r="I418" s="1446" t="s">
        <v>792</v>
      </c>
      <c r="J418" s="1446">
        <v>1</v>
      </c>
      <c r="K418" s="1446">
        <v>2</v>
      </c>
      <c r="L418" s="1446">
        <v>3</v>
      </c>
      <c r="M418" s="1446">
        <v>4</v>
      </c>
    </row>
    <row r="419" spans="1:13">
      <c r="B419" s="253" t="s">
        <v>793</v>
      </c>
      <c r="C419" s="253"/>
      <c r="D419" s="253" t="str">
        <f>'Part IV-Utility Allowances'!D29</f>
        <v>Electric Heat Pump</v>
      </c>
      <c r="E419" s="253"/>
      <c r="F419" s="2246" t="str">
        <f>'Part IV-Utility Allowances'!F29</f>
        <v>X</v>
      </c>
      <c r="G419" s="2246">
        <f>'Part IV-Utility Allowances'!G29</f>
        <v>0</v>
      </c>
      <c r="I419" s="1454">
        <f>'Part IV-Utility Allowances'!I29</f>
        <v>0</v>
      </c>
      <c r="J419" s="1454">
        <f>'Part IV-Utility Allowances'!J29</f>
        <v>10</v>
      </c>
      <c r="K419" s="1454">
        <f>'Part IV-Utility Allowances'!K29</f>
        <v>13</v>
      </c>
      <c r="L419" s="1454">
        <f>'Part IV-Utility Allowances'!L29</f>
        <v>0</v>
      </c>
      <c r="M419" s="1454">
        <f>'Part IV-Utility Allowances'!M29</f>
        <v>0</v>
      </c>
    </row>
    <row r="420" spans="1:13">
      <c r="B420" s="253" t="s">
        <v>796</v>
      </c>
      <c r="C420" s="253"/>
      <c r="D420" s="253" t="str">
        <f>'Part IV-Utility Allowances'!D30</f>
        <v>Electric</v>
      </c>
      <c r="E420" s="253"/>
      <c r="F420" s="2246" t="str">
        <f>'Part IV-Utility Allowances'!F30</f>
        <v>X</v>
      </c>
      <c r="G420" s="2246">
        <f>'Part IV-Utility Allowances'!G30</f>
        <v>0</v>
      </c>
      <c r="I420" s="1454">
        <f>'Part IV-Utility Allowances'!I30</f>
        <v>0</v>
      </c>
      <c r="J420" s="1454">
        <f>'Part IV-Utility Allowances'!J30</f>
        <v>9</v>
      </c>
      <c r="K420" s="1454">
        <f>'Part IV-Utility Allowances'!K30</f>
        <v>11</v>
      </c>
      <c r="L420" s="1454">
        <f>'Part IV-Utility Allowances'!L30</f>
        <v>0</v>
      </c>
      <c r="M420" s="1454">
        <f>'Part IV-Utility Allowances'!M30</f>
        <v>0</v>
      </c>
    </row>
    <row r="421" spans="1:13">
      <c r="B421" s="253" t="s">
        <v>799</v>
      </c>
      <c r="C421" s="253"/>
      <c r="D421" s="253" t="str">
        <f>'Part IV-Utility Allowances'!D31</f>
        <v>Electric</v>
      </c>
      <c r="E421" s="253"/>
      <c r="F421" s="2246" t="str">
        <f>'Part IV-Utility Allowances'!F31</f>
        <v>X</v>
      </c>
      <c r="G421" s="2246">
        <f>'Part IV-Utility Allowances'!G31</f>
        <v>0</v>
      </c>
      <c r="I421" s="1454">
        <f>'Part IV-Utility Allowances'!I31</f>
        <v>0</v>
      </c>
      <c r="J421" s="1454">
        <f>'Part IV-Utility Allowances'!J31</f>
        <v>16</v>
      </c>
      <c r="K421" s="1454">
        <f>'Part IV-Utility Allowances'!K31</f>
        <v>22</v>
      </c>
      <c r="L421" s="1454">
        <f>'Part IV-Utility Allowances'!L31</f>
        <v>0</v>
      </c>
      <c r="M421" s="1454">
        <f>'Part IV-Utility Allowances'!M31</f>
        <v>0</v>
      </c>
    </row>
    <row r="422" spans="1:13">
      <c r="B422" s="253" t="s">
        <v>800</v>
      </c>
      <c r="C422" s="253"/>
      <c r="D422" s="253" t="s">
        <v>797</v>
      </c>
      <c r="F422" s="2246" t="str">
        <f>'Part IV-Utility Allowances'!F32</f>
        <v>X</v>
      </c>
      <c r="G422" s="2246">
        <f>'Part IV-Utility Allowances'!G32</f>
        <v>0</v>
      </c>
      <c r="I422" s="1454">
        <f>'Part IV-Utility Allowances'!I32</f>
        <v>0</v>
      </c>
      <c r="J422" s="1454">
        <f>'Part IV-Utility Allowances'!J32</f>
        <v>7</v>
      </c>
      <c r="K422" s="1454">
        <f>'Part IV-Utility Allowances'!K32</f>
        <v>11</v>
      </c>
      <c r="L422" s="1454">
        <f>'Part IV-Utility Allowances'!L32</f>
        <v>0</v>
      </c>
      <c r="M422" s="1454">
        <f>'Part IV-Utility Allowances'!M32</f>
        <v>0</v>
      </c>
    </row>
    <row r="423" spans="1:13">
      <c r="B423" s="253" t="s">
        <v>801</v>
      </c>
      <c r="C423" s="253"/>
      <c r="D423" s="253" t="s">
        <v>797</v>
      </c>
      <c r="F423" s="2246">
        <f>'Part IV-Utility Allowances'!F33</f>
        <v>0</v>
      </c>
      <c r="G423" s="2246">
        <f>'Part IV-Utility Allowances'!G33</f>
        <v>0</v>
      </c>
      <c r="I423" s="1454">
        <f>'Part IV-Utility Allowances'!I33</f>
        <v>0</v>
      </c>
      <c r="J423" s="1454">
        <f>'Part IV-Utility Allowances'!J33</f>
        <v>0</v>
      </c>
      <c r="K423" s="1454">
        <f>'Part IV-Utility Allowances'!K33</f>
        <v>0</v>
      </c>
      <c r="L423" s="1454">
        <f>'Part IV-Utility Allowances'!L33</f>
        <v>0</v>
      </c>
      <c r="M423" s="1454">
        <f>'Part IV-Utility Allowances'!M33</f>
        <v>0</v>
      </c>
    </row>
    <row r="424" spans="1:13">
      <c r="B424" s="253" t="s">
        <v>802</v>
      </c>
      <c r="C424" s="253"/>
      <c r="D424" s="253" t="s">
        <v>797</v>
      </c>
      <c r="F424" s="2246">
        <f>'Part IV-Utility Allowances'!F34</f>
        <v>0</v>
      </c>
      <c r="G424" s="2246">
        <f>'Part IV-Utility Allowances'!G34</f>
        <v>0</v>
      </c>
      <c r="I424" s="1454">
        <f>'Part IV-Utility Allowances'!I34</f>
        <v>0</v>
      </c>
      <c r="J424" s="1454">
        <f>'Part IV-Utility Allowances'!J34</f>
        <v>0</v>
      </c>
      <c r="K424" s="1454">
        <f>'Part IV-Utility Allowances'!K34</f>
        <v>0</v>
      </c>
      <c r="L424" s="1454">
        <f>'Part IV-Utility Allowances'!L34</f>
        <v>0</v>
      </c>
      <c r="M424" s="1454">
        <f>'Part IV-Utility Allowances'!M34</f>
        <v>0</v>
      </c>
    </row>
    <row r="425" spans="1:13">
      <c r="B425" s="253" t="s">
        <v>803</v>
      </c>
      <c r="C425" s="253"/>
      <c r="D425" s="253" t="s">
        <v>797</v>
      </c>
      <c r="F425" s="2246" t="str">
        <f>'Part IV-Utility Allowances'!F35</f>
        <v>X</v>
      </c>
      <c r="G425" s="2246">
        <f>'Part IV-Utility Allowances'!G35</f>
        <v>0</v>
      </c>
      <c r="I425" s="1454">
        <f>'Part IV-Utility Allowances'!I35</f>
        <v>0</v>
      </c>
      <c r="J425" s="1454">
        <f>'Part IV-Utility Allowances'!J35</f>
        <v>25</v>
      </c>
      <c r="K425" s="1454">
        <f>'Part IV-Utility Allowances'!K35</f>
        <v>32</v>
      </c>
      <c r="L425" s="1454">
        <f>'Part IV-Utility Allowances'!L35</f>
        <v>0</v>
      </c>
      <c r="M425" s="1454">
        <f>'Part IV-Utility Allowances'!M35</f>
        <v>0</v>
      </c>
    </row>
    <row r="426" spans="1:13">
      <c r="B426" s="253" t="s">
        <v>804</v>
      </c>
      <c r="C426" s="253"/>
      <c r="D426" s="253" t="s">
        <v>2246</v>
      </c>
      <c r="E426" s="1454" t="str">
        <f>'Part IV-Utility Allowances'!E36</f>
        <v>No</v>
      </c>
      <c r="F426" s="2246">
        <f>'Part IV-Utility Allowances'!F36</f>
        <v>0</v>
      </c>
      <c r="G426" s="2246" t="str">
        <f>'Part IV-Utility Allowances'!G36</f>
        <v>X</v>
      </c>
      <c r="I426" s="1454">
        <f>'Part IV-Utility Allowances'!I36</f>
        <v>0</v>
      </c>
      <c r="J426" s="1454">
        <f>'Part IV-Utility Allowances'!J36</f>
        <v>0</v>
      </c>
      <c r="K426" s="1454">
        <f>'Part IV-Utility Allowances'!K36</f>
        <v>0</v>
      </c>
      <c r="L426" s="1454">
        <f>'Part IV-Utility Allowances'!L36</f>
        <v>0</v>
      </c>
      <c r="M426" s="1454">
        <f>'Part IV-Utility Allowances'!M36</f>
        <v>0</v>
      </c>
    </row>
    <row r="427" spans="1:13">
      <c r="B427" s="253" t="s">
        <v>806</v>
      </c>
      <c r="C427" s="253"/>
      <c r="F427" s="2246">
        <f>'Part IV-Utility Allowances'!F37</f>
        <v>0</v>
      </c>
      <c r="G427" s="2246" t="str">
        <f>'Part IV-Utility Allowances'!G37</f>
        <v>X</v>
      </c>
      <c r="I427" s="1454">
        <f>'Part IV-Utility Allowances'!I37</f>
        <v>0</v>
      </c>
      <c r="J427" s="1454">
        <f>'Part IV-Utility Allowances'!J37</f>
        <v>0</v>
      </c>
      <c r="K427" s="1454">
        <f>'Part IV-Utility Allowances'!K37</f>
        <v>0</v>
      </c>
      <c r="L427" s="1454">
        <f>'Part IV-Utility Allowances'!L37</f>
        <v>0</v>
      </c>
      <c r="M427" s="1454">
        <f>'Part IV-Utility Allowances'!M37</f>
        <v>0</v>
      </c>
    </row>
    <row r="428" spans="1:13">
      <c r="B428" s="253" t="s">
        <v>450</v>
      </c>
      <c r="C428" s="256" t="str">
        <f>'Part IV-Utility Allowances'!C38</f>
        <v>Electric Base Charge</v>
      </c>
      <c r="D428" s="256"/>
      <c r="E428" s="256"/>
      <c r="F428" s="2246">
        <f>'Part IV-Utility Allowances'!F38</f>
        <v>0</v>
      </c>
      <c r="G428" s="2246">
        <f>'Part IV-Utility Allowances'!G38</f>
        <v>0</v>
      </c>
      <c r="I428" s="1454">
        <f>'Part IV-Utility Allowances'!I38</f>
        <v>0</v>
      </c>
      <c r="J428" s="1454">
        <f>'Part IV-Utility Allowances'!J38</f>
        <v>23</v>
      </c>
      <c r="K428" s="1454">
        <f>'Part IV-Utility Allowances'!K38</f>
        <v>23</v>
      </c>
      <c r="L428" s="1454">
        <f>'Part IV-Utility Allowances'!L38</f>
        <v>0</v>
      </c>
      <c r="M428" s="1454">
        <f>'Part IV-Utility Allowances'!M38</f>
        <v>0</v>
      </c>
    </row>
    <row r="429" spans="1:13">
      <c r="B429" s="255" t="s">
        <v>808</v>
      </c>
      <c r="F429" s="1318"/>
      <c r="G429" s="1318"/>
      <c r="I429" s="2246">
        <f>IF(SUM(I419:I428)=0,0,IF(OR($D419="&lt;&lt;Select Fuel &gt;&gt;",$D421="&lt;&lt;Select Fuel &gt;&gt;",$D422="&lt;&lt;Select Fuel &gt;&gt;"),"Select Fuel",IF($E426="&lt;Select&gt;","Submeter?",SUM(I419:I428))))</f>
        <v>0</v>
      </c>
      <c r="J429" s="2246">
        <f>IF(SUM(J419:J428)=0,0,IF(OR($D419="&lt;&lt;Select Fuel &gt;&gt;",$D421="&lt;&lt;Select Fuel &gt;&gt;",$D422="&lt;&lt;Select Fuel &gt;&gt;"),"Select Fuel",IF($E426="&lt;Select&gt;","Submeter?",SUM(J419:J428))))</f>
        <v>90</v>
      </c>
      <c r="K429" s="2246">
        <f>IF(SUM(K419:K428)=0,0,IF(OR($D419="&lt;&lt;Select Fuel &gt;&gt;",$D421="&lt;&lt;Select Fuel &gt;&gt;",$D422="&lt;&lt;Select Fuel &gt;&gt;"),"Select Fuel",IF($E426="&lt;Select&gt;","Submeter?",SUM(K419:K428))))</f>
        <v>112</v>
      </c>
      <c r="L429" s="2246">
        <f>IF(SUM(L419:L428)=0,0,IF(OR($D419="&lt;&lt;Select Fuel &gt;&gt;",$D421="&lt;&lt;Select Fuel &gt;&gt;",$D422="&lt;&lt;Select Fuel &gt;&gt;"),"Select Fuel",IF($E426="&lt;Select&gt;","Submeter?",SUM(L419:L428))))</f>
        <v>0</v>
      </c>
      <c r="M429" s="2246">
        <f>IF(SUM(M419:M428)=0,0,IF(OR($D419="&lt;&lt;Select Fuel &gt;&gt;",$D421="&lt;&lt;Select Fuel &gt;&gt;",$D422="&lt;&lt;Select Fuel &gt;&gt;"),"Select Fuel",IF($E426="&lt;Select&gt;","Submeter?",SUM(M419:M428))))</f>
        <v>0</v>
      </c>
    </row>
    <row r="431" spans="1:13">
      <c r="B431" s="612" t="s">
        <v>2247</v>
      </c>
      <c r="F431" s="1318"/>
      <c r="G431" s="1318"/>
      <c r="I431" s="1446"/>
      <c r="J431" s="1446"/>
      <c r="K431" s="1446"/>
      <c r="L431" s="1446"/>
      <c r="M431" s="1446"/>
    </row>
    <row r="432" spans="1:13">
      <c r="A432" s="255"/>
      <c r="B432" s="255" t="s">
        <v>78</v>
      </c>
    </row>
    <row r="433" spans="1:358">
      <c r="B433" s="2247" t="str">
        <f>'Part IV-Utility Allowances'!B43</f>
        <v>The HUD Utility Schedule Model is an allowed utility allowance for a Tax Credit Building with no HOME per Threshold Section 1. Feasibility, Subsection A7 Operating Utility Allowance. 
All but twenty-three (23) PBRA units will use the HUD Utility Allowance. The Marietta Housing Authority Utility Allowance will be used on these 23 units. The one provided is the one effective as of 1/1/2024. The PBRA letter also confirms the utility allowance.</v>
      </c>
      <c r="C433" s="2247"/>
      <c r="D433" s="2247"/>
      <c r="E433" s="2247"/>
      <c r="F433" s="2247"/>
      <c r="G433" s="2247"/>
      <c r="H433" s="2247"/>
      <c r="I433" s="2247"/>
      <c r="J433" s="2247"/>
      <c r="K433" s="2247"/>
      <c r="L433" s="2247"/>
      <c r="M433" s="2247"/>
    </row>
    <row r="435" spans="1:358">
      <c r="A435" s="255"/>
      <c r="B435" s="255" t="s">
        <v>814</v>
      </c>
    </row>
    <row r="436" spans="1:358">
      <c r="B436" s="2247"/>
      <c r="C436" s="2247"/>
      <c r="D436" s="2247"/>
      <c r="E436" s="2247"/>
      <c r="F436" s="2247"/>
      <c r="G436" s="2247"/>
      <c r="H436" s="2247"/>
      <c r="I436" s="2247"/>
      <c r="J436" s="2247"/>
      <c r="K436" s="2247"/>
      <c r="L436" s="2247"/>
      <c r="M436" s="2247"/>
    </row>
    <row r="440" spans="1:358" s="253" customFormat="1" ht="14.1" customHeight="1">
      <c r="A440" s="1317" t="str">
        <f>CONCATENATE("PART FOUR - PROJECTED REVENUES &amp; EXPENSES","  -  ",'Part I-Project Identification'!$O$7," ",'Part I-Project Identification'!$F$26,", ",'Part I-Project Identification'!F382,", ",'Part I-Project Identification'!J382," County")</f>
        <v>PART FOUR - PROJECTED REVENUES &amp; EXPENSES  -  2024-0 Finley Place, ,  County</v>
      </c>
      <c r="B440" s="1317"/>
      <c r="C440" s="1317"/>
      <c r="D440" s="1317"/>
      <c r="E440" s="1317"/>
      <c r="F440" s="1317"/>
      <c r="G440" s="1317"/>
      <c r="H440" s="1317"/>
      <c r="I440" s="1317"/>
      <c r="J440" s="1317"/>
      <c r="K440" s="1317"/>
      <c r="L440" s="1317"/>
      <c r="M440" s="1317"/>
      <c r="N440" s="1317"/>
      <c r="O440" s="1317"/>
      <c r="P440" s="1317"/>
      <c r="Q440" s="1317"/>
      <c r="T440" s="1317" t="str">
        <f>A440</f>
        <v>PART FOUR - PROJECTED REVENUES &amp; EXPENSES  -  2024-0 Finley Place, ,  County</v>
      </c>
      <c r="U440" s="1317"/>
      <c r="V440" s="1317"/>
      <c r="W440" s="1317"/>
      <c r="HX440" s="1454"/>
      <c r="HY440" s="1454"/>
      <c r="HZ440" s="1454"/>
      <c r="IA440" s="1454"/>
      <c r="IB440" s="1454"/>
      <c r="IC440" s="1454"/>
      <c r="ID440" s="1454"/>
      <c r="IE440" s="1454"/>
      <c r="IF440" s="1454"/>
      <c r="IG440" s="1454"/>
      <c r="IH440" s="1454"/>
      <c r="II440" s="1454"/>
      <c r="IJ440" s="1454"/>
      <c r="IK440" s="1454"/>
      <c r="IL440" s="1454"/>
      <c r="IM440" s="1454"/>
      <c r="IN440" s="1454"/>
      <c r="IO440" s="1454"/>
      <c r="IP440" s="1454"/>
      <c r="IQ440" s="1454"/>
      <c r="IR440" s="1454"/>
      <c r="IS440" s="1454"/>
      <c r="IT440" s="1454"/>
      <c r="IU440" s="1454"/>
      <c r="IV440" s="1454"/>
      <c r="IW440" s="1454"/>
      <c r="IX440" s="1454"/>
      <c r="IY440" s="1454"/>
      <c r="IZ440" s="1454"/>
      <c r="JA440" s="1454"/>
      <c r="JB440" s="1454"/>
      <c r="JC440" s="1454"/>
      <c r="JD440" s="1454"/>
      <c r="JE440" s="1454"/>
      <c r="JF440" s="1454"/>
      <c r="JG440" s="1454"/>
      <c r="JH440" s="1454"/>
      <c r="JI440" s="1454"/>
      <c r="JJ440" s="1454"/>
      <c r="JK440" s="1454"/>
      <c r="JL440" s="1454"/>
      <c r="JM440" s="1454"/>
      <c r="JN440" s="1454"/>
      <c r="JO440" s="1454"/>
      <c r="JP440" s="1454"/>
      <c r="JQ440" s="1454"/>
      <c r="JR440" s="1454"/>
      <c r="JS440" s="1454"/>
      <c r="JT440" s="1454"/>
      <c r="JU440" s="1454"/>
      <c r="JV440" s="1454"/>
      <c r="JW440" s="1454"/>
      <c r="JX440" s="1454"/>
      <c r="JY440" s="1454"/>
      <c r="JZ440" s="1454"/>
      <c r="KA440" s="1454"/>
      <c r="KB440" s="1454"/>
      <c r="KC440" s="1454"/>
      <c r="KD440" s="1454"/>
      <c r="KE440" s="1454"/>
      <c r="KF440" s="1454"/>
      <c r="KG440" s="1454"/>
      <c r="KH440" s="1454"/>
      <c r="KI440" s="1454"/>
      <c r="KJ440" s="1454"/>
      <c r="KK440" s="1454"/>
      <c r="KL440" s="1454"/>
      <c r="KO440" s="1317"/>
      <c r="KT440" s="1317"/>
      <c r="KY440" s="1317"/>
      <c r="LD440" s="1317"/>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445"/>
      <c r="IA441" s="1445"/>
      <c r="IB441" s="1445"/>
      <c r="IC441" s="1445"/>
      <c r="ID441" s="1445"/>
      <c r="IE441" s="1445"/>
      <c r="IF441" s="1445"/>
      <c r="IG441" s="1445"/>
      <c r="IH441" s="1445"/>
      <c r="II441" s="1445"/>
      <c r="IJ441" s="1445"/>
      <c r="IK441" s="1445"/>
      <c r="IL441" s="1445"/>
      <c r="IM441" s="1445"/>
      <c r="IN441" s="1445"/>
      <c r="IO441" s="1445"/>
      <c r="IP441" s="1445"/>
      <c r="IQ441" s="1445"/>
      <c r="IR441" s="1445"/>
      <c r="IS441" s="1445"/>
      <c r="IT441" s="1445"/>
      <c r="IU441" s="1445"/>
      <c r="IV441" s="1445"/>
      <c r="IW441" s="1445"/>
      <c r="IX441" s="1445"/>
      <c r="IY441" s="1445"/>
      <c r="IZ441" s="1445"/>
      <c r="JA441" s="1445"/>
      <c r="JB441" s="1445"/>
      <c r="JC441" s="1445"/>
      <c r="JD441" s="1445"/>
      <c r="JE441" s="1445"/>
      <c r="JF441" s="1445"/>
      <c r="JG441" s="1445"/>
      <c r="JH441" s="1445"/>
      <c r="JI441" s="1445"/>
      <c r="JJ441" s="1445"/>
      <c r="JK441" s="1445"/>
      <c r="JL441" s="1445"/>
      <c r="JM441" s="1445"/>
      <c r="JN441" s="1445"/>
      <c r="JO441" s="1445"/>
      <c r="JP441" s="1445"/>
      <c r="JQ441" s="1445"/>
      <c r="JR441" s="1445"/>
      <c r="JS441" s="1445"/>
      <c r="JT441" s="1445"/>
      <c r="JU441" s="1445"/>
      <c r="JV441" s="1445"/>
      <c r="JW441" s="1445"/>
      <c r="JX441" s="1445"/>
      <c r="JY441" s="1445"/>
      <c r="JZ441" s="1445"/>
      <c r="KA441" s="1445"/>
      <c r="KB441" s="1445"/>
      <c r="KC441" s="1445"/>
      <c r="KD441" s="1445"/>
      <c r="KE441" s="1445"/>
      <c r="KF441" s="1445"/>
      <c r="KG441" s="1445"/>
      <c r="KH441" s="1445"/>
      <c r="KI441" s="1445"/>
      <c r="KJ441" s="1445"/>
      <c r="KK441" s="1445"/>
      <c r="KL441" s="1445"/>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317" t="s">
        <v>21</v>
      </c>
      <c r="B442" s="1317" t="s">
        <v>831</v>
      </c>
      <c r="D442" s="2117" t="s">
        <v>832</v>
      </c>
      <c r="E442" s="2117"/>
      <c r="F442" s="2117"/>
      <c r="G442" s="2117"/>
      <c r="H442" s="2117"/>
      <c r="I442" s="2117"/>
      <c r="J442" s="2117"/>
      <c r="K442" s="1317"/>
      <c r="L442" s="1317"/>
      <c r="M442" s="1317"/>
      <c r="O442" s="2248" t="s">
        <v>833</v>
      </c>
      <c r="P442" s="2249" t="str">
        <f>'Part I-Project Identification'!$O$29</f>
        <v>Atlanta-Sandy Springs-Marietta</v>
      </c>
      <c r="Q442" s="2249"/>
      <c r="T442" s="1317" t="str">
        <f>B442</f>
        <v>RENT SCHEDULE</v>
      </c>
      <c r="U442" s="1317"/>
      <c r="X442" s="1106"/>
      <c r="Y442" s="1106"/>
      <c r="Z442" s="1106"/>
      <c r="AA442" s="1106"/>
      <c r="AB442" s="1106"/>
      <c r="AC442" s="1106"/>
      <c r="AD442" s="1106"/>
      <c r="AE442" s="1106"/>
      <c r="AF442" s="1106"/>
      <c r="AG442" s="1106"/>
      <c r="AH442" s="1106"/>
      <c r="AI442" s="1106"/>
      <c r="AJ442" s="1106"/>
      <c r="AK442" s="1106"/>
      <c r="AL442" s="1106"/>
      <c r="AM442" s="1106"/>
      <c r="AN442" s="1106"/>
      <c r="AO442" s="1106"/>
      <c r="AP442" s="1106"/>
      <c r="AQ442" s="1106"/>
      <c r="AR442" s="1106"/>
      <c r="AS442" s="1106"/>
      <c r="AT442" s="1106"/>
      <c r="AU442" s="1106"/>
      <c r="AV442" s="1106"/>
      <c r="AW442" s="1106"/>
      <c r="AX442" s="1106"/>
      <c r="AY442" s="1106"/>
      <c r="AZ442" s="1106"/>
      <c r="BA442" s="1106"/>
      <c r="BB442" s="1106"/>
      <c r="BC442" s="1106"/>
      <c r="BD442" s="1106"/>
      <c r="BE442" s="1106"/>
      <c r="BF442" s="1106"/>
      <c r="BG442" s="1106"/>
      <c r="BH442" s="1106"/>
      <c r="BI442" s="1106"/>
      <c r="BJ442" s="1106"/>
      <c r="BK442" s="1106"/>
      <c r="BL442" s="1106"/>
      <c r="BM442" s="1106"/>
      <c r="BN442" s="1106"/>
      <c r="BO442" s="1106"/>
      <c r="BP442" s="1106"/>
      <c r="BQ442" s="1106"/>
      <c r="BR442" s="1106"/>
      <c r="BS442" s="1106"/>
      <c r="BT442" s="1106"/>
      <c r="BU442" s="1106"/>
      <c r="BV442" s="1106"/>
      <c r="BW442" s="1106"/>
      <c r="BX442" s="1106"/>
      <c r="BY442" s="1106"/>
      <c r="BZ442" s="1106"/>
      <c r="CA442" s="1106"/>
      <c r="CB442" s="1106"/>
      <c r="CC442" s="1106"/>
      <c r="CD442" s="1106"/>
      <c r="CE442" s="1106"/>
      <c r="CF442" s="1106"/>
      <c r="CG442" s="1106"/>
      <c r="CH442" s="1106"/>
      <c r="CI442" s="1106"/>
      <c r="CJ442" s="1106"/>
      <c r="CK442" s="1106"/>
      <c r="CL442" s="1106"/>
      <c r="CM442" s="1106"/>
      <c r="CN442" s="1106"/>
      <c r="CO442" s="1106"/>
      <c r="CP442" s="1106"/>
      <c r="CQ442" s="1106"/>
      <c r="CR442" s="1106"/>
      <c r="CS442" s="1106"/>
      <c r="CT442" s="1106"/>
      <c r="CU442" s="1106"/>
      <c r="CV442" s="1106"/>
      <c r="CW442" s="1106"/>
      <c r="CX442" s="1106"/>
      <c r="CY442" s="1106"/>
      <c r="CZ442" s="1106"/>
      <c r="DA442" s="1106"/>
      <c r="DB442" s="1106"/>
      <c r="DC442" s="1106"/>
      <c r="DD442" s="1106"/>
      <c r="DE442" s="1106"/>
      <c r="DF442" s="1106"/>
      <c r="DG442" s="1106"/>
      <c r="DH442" s="1106"/>
      <c r="DI442" s="1106"/>
      <c r="DJ442" s="1106"/>
      <c r="DK442" s="1106"/>
      <c r="DL442" s="1106"/>
      <c r="DM442" s="1106"/>
      <c r="DN442" s="1106"/>
      <c r="DO442" s="1106"/>
      <c r="DP442" s="1106"/>
      <c r="DQ442" s="1106"/>
      <c r="DR442" s="1106"/>
      <c r="DS442" s="1106"/>
      <c r="DT442" s="1106"/>
      <c r="DU442" s="1106"/>
      <c r="DV442" s="1106"/>
      <c r="DW442" s="1106"/>
      <c r="DX442" s="1106"/>
      <c r="DY442" s="1106"/>
      <c r="DZ442" s="1106"/>
      <c r="EA442" s="1106"/>
      <c r="EB442" s="1106"/>
      <c r="EC442" s="1106"/>
      <c r="ED442" s="1106"/>
      <c r="EE442" s="1106"/>
      <c r="EF442" s="1106"/>
      <c r="EG442" s="1106"/>
      <c r="EH442" s="1106"/>
      <c r="EI442" s="1106"/>
      <c r="EJ442" s="1106"/>
      <c r="EK442" s="1106"/>
      <c r="EL442" s="1106"/>
      <c r="EM442" s="1106"/>
      <c r="EN442" s="1106"/>
      <c r="EO442" s="1106"/>
      <c r="EP442" s="1106"/>
      <c r="EQ442" s="1106"/>
      <c r="ER442" s="1106"/>
      <c r="ES442" s="1106"/>
      <c r="ET442" s="1106"/>
      <c r="EU442" s="1106"/>
      <c r="EV442" s="1106"/>
      <c r="EW442" s="1106"/>
      <c r="EX442" s="1106"/>
      <c r="EY442" s="1106"/>
      <c r="EZ442" s="1106"/>
      <c r="FA442" s="1106"/>
      <c r="FB442" s="1106"/>
      <c r="FC442" s="1106"/>
      <c r="FD442" s="1106"/>
      <c r="FE442" s="1106"/>
      <c r="FF442" s="1106"/>
      <c r="FG442" s="1106"/>
      <c r="FH442" s="1106"/>
      <c r="FI442" s="1106"/>
      <c r="FJ442" s="1106"/>
      <c r="FK442" s="1106"/>
      <c r="FL442" s="1106"/>
      <c r="FM442" s="1106"/>
      <c r="FN442" s="1106"/>
      <c r="FO442" s="1106"/>
      <c r="FP442" s="1106"/>
      <c r="FQ442" s="1106"/>
      <c r="FR442" s="1106"/>
      <c r="FS442" s="1106"/>
      <c r="FT442" s="1106"/>
      <c r="FU442" s="1106"/>
      <c r="FV442" s="1106"/>
      <c r="FW442" s="1106"/>
      <c r="FX442" s="1106"/>
      <c r="FY442" s="1106"/>
      <c r="FZ442" s="1106"/>
      <c r="GA442" s="1106"/>
      <c r="GB442" s="1106"/>
      <c r="GC442" s="1106"/>
      <c r="GD442" s="1106"/>
      <c r="GE442" s="1106"/>
      <c r="GF442" s="1106"/>
      <c r="GG442" s="1106"/>
      <c r="GH442" s="1106"/>
      <c r="GI442" s="1106"/>
      <c r="GJ442" s="1106"/>
      <c r="GK442" s="1106"/>
      <c r="GL442" s="1106"/>
      <c r="GM442" s="1106"/>
      <c r="GN442" s="1106"/>
      <c r="GO442" s="1106"/>
      <c r="GP442" s="1106"/>
      <c r="GQ442" s="1106"/>
      <c r="GR442" s="1106"/>
      <c r="GS442" s="1106"/>
      <c r="GT442" s="1106"/>
      <c r="GU442" s="1106"/>
      <c r="GV442" s="1106"/>
      <c r="GW442" s="1106"/>
      <c r="GX442" s="1106"/>
      <c r="GY442" s="1106"/>
      <c r="GZ442" s="1106"/>
      <c r="HA442" s="1106"/>
      <c r="HB442" s="1106"/>
      <c r="HC442" s="1106"/>
      <c r="HD442" s="1106"/>
      <c r="HE442" s="1106"/>
      <c r="HF442" s="1106"/>
      <c r="HG442" s="1106"/>
      <c r="HH442" s="1106"/>
      <c r="HI442" s="1106"/>
      <c r="HJ442" s="1106"/>
      <c r="HK442" s="1106"/>
      <c r="HL442" s="1106"/>
      <c r="HM442" s="1106"/>
      <c r="HN442" s="1106"/>
      <c r="HO442" s="1106"/>
      <c r="HP442" s="1106"/>
      <c r="HQ442" s="1106"/>
      <c r="HR442" s="1106"/>
      <c r="HS442" s="1106"/>
      <c r="HT442" s="1106"/>
      <c r="HU442" s="1106"/>
      <c r="HV442" s="1106"/>
      <c r="HW442" s="1106"/>
      <c r="HX442" s="1106"/>
      <c r="HY442" s="1106"/>
      <c r="HZ442" s="1455"/>
      <c r="IA442" s="1455"/>
      <c r="IB442" s="1455"/>
      <c r="IC442" s="1455"/>
      <c r="ID442" s="1455"/>
      <c r="IE442" s="1445" t="s">
        <v>834</v>
      </c>
      <c r="IF442" s="1445" t="s">
        <v>835</v>
      </c>
      <c r="IG442" s="1445" t="s">
        <v>836</v>
      </c>
      <c r="IH442" s="1445" t="s">
        <v>837</v>
      </c>
      <c r="II442" s="1445" t="s">
        <v>838</v>
      </c>
      <c r="IJ442" s="1445" t="s">
        <v>834</v>
      </c>
      <c r="IK442" s="1445" t="s">
        <v>835</v>
      </c>
      <c r="IL442" s="1445" t="s">
        <v>836</v>
      </c>
      <c r="IM442" s="1445" t="s">
        <v>837</v>
      </c>
      <c r="IN442" s="1445" t="s">
        <v>838</v>
      </c>
      <c r="IO442" s="1455"/>
      <c r="IP442" s="1455"/>
      <c r="IQ442" s="1455"/>
      <c r="IR442" s="1455"/>
      <c r="IS442" s="1455"/>
      <c r="IT442" s="1455"/>
      <c r="IU442" s="1455"/>
      <c r="IV442" s="1455"/>
      <c r="IW442" s="1455"/>
      <c r="IX442" s="1455"/>
      <c r="IY442" s="1445" t="s">
        <v>834</v>
      </c>
      <c r="IZ442" s="1445" t="s">
        <v>835</v>
      </c>
      <c r="JA442" s="1445" t="s">
        <v>836</v>
      </c>
      <c r="JB442" s="1445" t="s">
        <v>837</v>
      </c>
      <c r="JC442" s="1445" t="s">
        <v>838</v>
      </c>
      <c r="JD442" s="1445" t="s">
        <v>834</v>
      </c>
      <c r="JE442" s="1445" t="s">
        <v>835</v>
      </c>
      <c r="JF442" s="1445" t="s">
        <v>836</v>
      </c>
      <c r="JG442" s="1445" t="s">
        <v>837</v>
      </c>
      <c r="JH442" s="1445" t="s">
        <v>838</v>
      </c>
      <c r="JI442" s="1445" t="s">
        <v>834</v>
      </c>
      <c r="JJ442" s="1445" t="s">
        <v>835</v>
      </c>
      <c r="JK442" s="1445" t="s">
        <v>836</v>
      </c>
      <c r="JL442" s="1445" t="s">
        <v>837</v>
      </c>
      <c r="JM442" s="1445" t="s">
        <v>838</v>
      </c>
      <c r="JN442" s="1445" t="s">
        <v>834</v>
      </c>
      <c r="JO442" s="1445" t="s">
        <v>835</v>
      </c>
      <c r="JP442" s="1445" t="s">
        <v>836</v>
      </c>
      <c r="JQ442" s="1445" t="s">
        <v>837</v>
      </c>
      <c r="JR442" s="1445" t="s">
        <v>838</v>
      </c>
      <c r="JS442" s="1445" t="s">
        <v>834</v>
      </c>
      <c r="JT442" s="1445" t="s">
        <v>835</v>
      </c>
      <c r="JU442" s="1445" t="s">
        <v>836</v>
      </c>
      <c r="JV442" s="1445" t="s">
        <v>837</v>
      </c>
      <c r="JW442" s="1445" t="s">
        <v>838</v>
      </c>
      <c r="JX442" s="1445" t="s">
        <v>834</v>
      </c>
      <c r="JY442" s="1445" t="s">
        <v>835</v>
      </c>
      <c r="JZ442" s="1445" t="s">
        <v>836</v>
      </c>
      <c r="KA442" s="1445" t="s">
        <v>837</v>
      </c>
      <c r="KB442" s="1445" t="s">
        <v>838</v>
      </c>
      <c r="KC442" s="1445" t="s">
        <v>834</v>
      </c>
      <c r="KD442" s="1445" t="s">
        <v>835</v>
      </c>
      <c r="KE442" s="1445" t="s">
        <v>836</v>
      </c>
      <c r="KF442" s="1445" t="s">
        <v>837</v>
      </c>
      <c r="KG442" s="1445" t="s">
        <v>838</v>
      </c>
      <c r="KH442" s="1445" t="s">
        <v>834</v>
      </c>
      <c r="KI442" s="1445" t="s">
        <v>835</v>
      </c>
      <c r="KJ442" s="1445" t="s">
        <v>836</v>
      </c>
      <c r="KK442" s="1445" t="s">
        <v>837</v>
      </c>
      <c r="KL442" s="1445" t="s">
        <v>838</v>
      </c>
      <c r="KM442" s="1445" t="s">
        <v>834</v>
      </c>
      <c r="KN442" s="1445" t="s">
        <v>835</v>
      </c>
      <c r="KO442" s="1445" t="s">
        <v>836</v>
      </c>
      <c r="KP442" s="1445" t="s">
        <v>837</v>
      </c>
      <c r="KQ442" s="1445" t="s">
        <v>838</v>
      </c>
      <c r="KR442" s="1445" t="s">
        <v>834</v>
      </c>
      <c r="KS442" s="1445" t="s">
        <v>835</v>
      </c>
      <c r="KT442" s="1445" t="s">
        <v>836</v>
      </c>
      <c r="KU442" s="1445" t="s">
        <v>837</v>
      </c>
      <c r="KV442" s="1445" t="s">
        <v>838</v>
      </c>
      <c r="KW442" s="1445" t="s">
        <v>834</v>
      </c>
      <c r="KX442" s="1445" t="s">
        <v>835</v>
      </c>
      <c r="KY442" s="1445" t="s">
        <v>836</v>
      </c>
      <c r="KZ442" s="1445" t="s">
        <v>837</v>
      </c>
      <c r="LA442" s="1445" t="s">
        <v>838</v>
      </c>
      <c r="LB442" s="1445" t="s">
        <v>834</v>
      </c>
      <c r="LC442" s="1445" t="s">
        <v>835</v>
      </c>
      <c r="LD442" s="1445" t="s">
        <v>836</v>
      </c>
      <c r="LE442" s="1445" t="s">
        <v>837</v>
      </c>
      <c r="LF442" s="1445" t="s">
        <v>838</v>
      </c>
      <c r="LG442" s="1106"/>
      <c r="LH442" s="1106"/>
      <c r="LI442" s="1106"/>
      <c r="LJ442" s="1106"/>
      <c r="LK442" s="1106"/>
      <c r="LL442" s="1106"/>
      <c r="LM442" s="1106"/>
      <c r="LN442" s="1106"/>
      <c r="LO442" s="1106"/>
      <c r="LP442" s="1106"/>
      <c r="LQ442" s="1106"/>
      <c r="LR442" s="1106"/>
      <c r="LS442" s="1106"/>
      <c r="LT442" s="1106"/>
      <c r="LU442" s="1106"/>
      <c r="LV442" s="1106"/>
      <c r="LW442" s="1106"/>
      <c r="LX442" s="1106"/>
      <c r="LY442" s="1106"/>
      <c r="LZ442" s="1106"/>
      <c r="MA442" s="1106"/>
      <c r="MB442" s="1106"/>
      <c r="MC442" s="1106"/>
      <c r="MD442" s="1106"/>
      <c r="ME442" s="1106"/>
      <c r="MF442" s="254" t="s">
        <v>839</v>
      </c>
      <c r="MG442" s="254" t="s">
        <v>840</v>
      </c>
      <c r="MH442" s="254" t="s">
        <v>841</v>
      </c>
      <c r="MI442" s="254" t="s">
        <v>842</v>
      </c>
      <c r="MJ442" s="254" t="s">
        <v>843</v>
      </c>
      <c r="MK442" s="1106"/>
      <c r="ML442" s="1106"/>
      <c r="MM442" s="1106"/>
      <c r="MN442" s="1106"/>
      <c r="MO442" s="1106"/>
      <c r="MP442" s="1106"/>
      <c r="MQ442" s="1106"/>
      <c r="MR442" s="1106"/>
      <c r="MS442" s="1106"/>
      <c r="MT442" s="1106"/>
    </row>
    <row r="443" spans="1:358" s="253" customFormat="1" ht="3" customHeight="1">
      <c r="B443" s="1317"/>
      <c r="D443" s="2117"/>
      <c r="E443" s="2117"/>
      <c r="F443" s="2117"/>
      <c r="G443" s="2117"/>
      <c r="H443" s="2117"/>
      <c r="I443" s="2117"/>
      <c r="J443" s="2117"/>
      <c r="P443" s="2249"/>
      <c r="Q443" s="2250" t="s">
        <v>2248</v>
      </c>
      <c r="R443" s="2251"/>
      <c r="X443" s="254" t="s">
        <v>845</v>
      </c>
      <c r="Y443" s="254" t="s">
        <v>846</v>
      </c>
      <c r="Z443" s="254" t="s">
        <v>847</v>
      </c>
      <c r="AA443" s="254" t="s">
        <v>848</v>
      </c>
      <c r="AB443" s="254" t="s">
        <v>849</v>
      </c>
      <c r="AC443" s="254" t="s">
        <v>850</v>
      </c>
      <c r="AD443" s="254" t="s">
        <v>851</v>
      </c>
      <c r="AE443" s="254" t="s">
        <v>852</v>
      </c>
      <c r="AF443" s="254" t="s">
        <v>853</v>
      </c>
      <c r="AG443" s="254" t="s">
        <v>854</v>
      </c>
      <c r="AH443" s="254" t="s">
        <v>855</v>
      </c>
      <c r="AI443" s="254" t="s">
        <v>856</v>
      </c>
      <c r="AJ443" s="254" t="s">
        <v>857</v>
      </c>
      <c r="AK443" s="254" t="s">
        <v>858</v>
      </c>
      <c r="AL443" s="254" t="s">
        <v>859</v>
      </c>
      <c r="AM443" s="254" t="s">
        <v>860</v>
      </c>
      <c r="AN443" s="254" t="s">
        <v>861</v>
      </c>
      <c r="AO443" s="254" t="s">
        <v>862</v>
      </c>
      <c r="AP443" s="254" t="s">
        <v>863</v>
      </c>
      <c r="AQ443" s="254" t="s">
        <v>864</v>
      </c>
      <c r="AR443" s="254" t="s">
        <v>865</v>
      </c>
      <c r="AS443" s="254" t="s">
        <v>866</v>
      </c>
      <c r="AT443" s="254" t="s">
        <v>867</v>
      </c>
      <c r="AU443" s="254" t="s">
        <v>868</v>
      </c>
      <c r="AV443" s="254" t="s">
        <v>869</v>
      </c>
      <c r="AW443" s="254" t="s">
        <v>870</v>
      </c>
      <c r="AX443" s="254" t="s">
        <v>871</v>
      </c>
      <c r="AY443" s="254" t="s">
        <v>872</v>
      </c>
      <c r="AZ443" s="254" t="s">
        <v>873</v>
      </c>
      <c r="BA443" s="254" t="s">
        <v>874</v>
      </c>
      <c r="BB443" s="254" t="s">
        <v>875</v>
      </c>
      <c r="BC443" s="254" t="s">
        <v>876</v>
      </c>
      <c r="BD443" s="254" t="s">
        <v>877</v>
      </c>
      <c r="BE443" s="254" t="s">
        <v>878</v>
      </c>
      <c r="BF443" s="254" t="s">
        <v>879</v>
      </c>
      <c r="BG443" s="254" t="s">
        <v>880</v>
      </c>
      <c r="BH443" s="254" t="s">
        <v>881</v>
      </c>
      <c r="BI443" s="254" t="s">
        <v>882</v>
      </c>
      <c r="BJ443" s="254" t="s">
        <v>883</v>
      </c>
      <c r="BK443" s="254" t="s">
        <v>884</v>
      </c>
      <c r="BL443" s="254" t="s">
        <v>885</v>
      </c>
      <c r="BM443" s="254" t="s">
        <v>886</v>
      </c>
      <c r="BN443" s="254" t="s">
        <v>887</v>
      </c>
      <c r="BO443" s="254" t="s">
        <v>888</v>
      </c>
      <c r="BP443" s="254" t="s">
        <v>889</v>
      </c>
      <c r="BQ443" s="254" t="s">
        <v>890</v>
      </c>
      <c r="BR443" s="254" t="s">
        <v>891</v>
      </c>
      <c r="BS443" s="254" t="s">
        <v>892</v>
      </c>
      <c r="BT443" s="254" t="s">
        <v>893</v>
      </c>
      <c r="BU443" s="254" t="s">
        <v>894</v>
      </c>
      <c r="BV443" s="254" t="s">
        <v>895</v>
      </c>
      <c r="BW443" s="254" t="s">
        <v>896</v>
      </c>
      <c r="BX443" s="254" t="s">
        <v>897</v>
      </c>
      <c r="BY443" s="254" t="s">
        <v>898</v>
      </c>
      <c r="BZ443" s="254" t="s">
        <v>899</v>
      </c>
      <c r="CA443" s="254" t="s">
        <v>900</v>
      </c>
      <c r="CB443" s="254" t="s">
        <v>901</v>
      </c>
      <c r="CC443" s="254" t="s">
        <v>902</v>
      </c>
      <c r="CD443" s="254" t="s">
        <v>903</v>
      </c>
      <c r="CE443" s="254" t="s">
        <v>904</v>
      </c>
      <c r="CF443" s="254" t="s">
        <v>905</v>
      </c>
      <c r="CG443" s="254" t="s">
        <v>906</v>
      </c>
      <c r="CH443" s="254" t="s">
        <v>907</v>
      </c>
      <c r="CI443" s="254" t="s">
        <v>908</v>
      </c>
      <c r="CJ443" s="254" t="s">
        <v>909</v>
      </c>
      <c r="CK443" s="254" t="s">
        <v>910</v>
      </c>
      <c r="CL443" s="254" t="s">
        <v>911</v>
      </c>
      <c r="CM443" s="254" t="s">
        <v>912</v>
      </c>
      <c r="CN443" s="254" t="s">
        <v>913</v>
      </c>
      <c r="CO443" s="254" t="s">
        <v>914</v>
      </c>
      <c r="CP443" s="254" t="s">
        <v>915</v>
      </c>
      <c r="CQ443" s="254" t="s">
        <v>916</v>
      </c>
      <c r="CR443" s="254" t="s">
        <v>917</v>
      </c>
      <c r="CS443" s="254" t="s">
        <v>918</v>
      </c>
      <c r="CT443" s="254" t="s">
        <v>919</v>
      </c>
      <c r="CU443" s="254" t="s">
        <v>920</v>
      </c>
      <c r="CV443" s="254" t="s">
        <v>921</v>
      </c>
      <c r="CW443" s="254" t="s">
        <v>922</v>
      </c>
      <c r="CX443" s="254" t="s">
        <v>923</v>
      </c>
      <c r="CY443" s="254" t="s">
        <v>924</v>
      </c>
      <c r="CZ443" s="254" t="s">
        <v>925</v>
      </c>
      <c r="DA443" s="254" t="s">
        <v>926</v>
      </c>
      <c r="DB443" s="254" t="s">
        <v>927</v>
      </c>
      <c r="DC443" s="254" t="s">
        <v>928</v>
      </c>
      <c r="DD443" s="254" t="s">
        <v>929</v>
      </c>
      <c r="DE443" s="254" t="s">
        <v>930</v>
      </c>
      <c r="DF443" s="254" t="s">
        <v>931</v>
      </c>
      <c r="DG443" s="254" t="s">
        <v>932</v>
      </c>
      <c r="DH443" s="254" t="s">
        <v>933</v>
      </c>
      <c r="DI443" s="254" t="s">
        <v>934</v>
      </c>
      <c r="DJ443" s="254" t="s">
        <v>935</v>
      </c>
      <c r="DK443" s="254" t="s">
        <v>936</v>
      </c>
      <c r="DL443" s="254" t="s">
        <v>937</v>
      </c>
      <c r="DM443" s="254" t="s">
        <v>938</v>
      </c>
      <c r="DN443" s="254" t="s">
        <v>939</v>
      </c>
      <c r="DO443" s="254" t="s">
        <v>940</v>
      </c>
      <c r="DP443" s="254" t="s">
        <v>941</v>
      </c>
      <c r="DQ443" s="254" t="s">
        <v>942</v>
      </c>
      <c r="DR443" s="254" t="s">
        <v>943</v>
      </c>
      <c r="DS443" s="254" t="s">
        <v>944</v>
      </c>
      <c r="DT443" s="254" t="s">
        <v>945</v>
      </c>
      <c r="DU443" s="254" t="s">
        <v>946</v>
      </c>
      <c r="DV443" s="254" t="s">
        <v>947</v>
      </c>
      <c r="DW443" s="254" t="s">
        <v>948</v>
      </c>
      <c r="DX443" s="254" t="s">
        <v>949</v>
      </c>
      <c r="DY443" s="254" t="s">
        <v>950</v>
      </c>
      <c r="DZ443" s="254" t="s">
        <v>951</v>
      </c>
      <c r="EA443" s="254" t="s">
        <v>952</v>
      </c>
      <c r="EB443" s="254" t="s">
        <v>953</v>
      </c>
      <c r="EC443" s="254" t="s">
        <v>954</v>
      </c>
      <c r="ED443" s="254" t="s">
        <v>955</v>
      </c>
      <c r="EE443" s="254" t="s">
        <v>956</v>
      </c>
      <c r="EF443" s="254" t="s">
        <v>957</v>
      </c>
      <c r="EG443" s="254" t="s">
        <v>958</v>
      </c>
      <c r="EH443" s="254" t="s">
        <v>959</v>
      </c>
      <c r="EI443" s="254" t="s">
        <v>960</v>
      </c>
      <c r="EJ443" s="254" t="s">
        <v>961</v>
      </c>
      <c r="EK443" s="254" t="s">
        <v>962</v>
      </c>
      <c r="EL443" s="254" t="s">
        <v>963</v>
      </c>
      <c r="EM443" s="254" t="s">
        <v>964</v>
      </c>
      <c r="EN443" s="254" t="s">
        <v>965</v>
      </c>
      <c r="EO443" s="254" t="s">
        <v>966</v>
      </c>
      <c r="EP443" s="254" t="s">
        <v>967</v>
      </c>
      <c r="EQ443" s="254" t="s">
        <v>968</v>
      </c>
      <c r="ER443" s="254" t="s">
        <v>969</v>
      </c>
      <c r="ES443" s="254" t="s">
        <v>970</v>
      </c>
      <c r="ET443" s="254" t="s">
        <v>971</v>
      </c>
      <c r="EU443" s="254" t="s">
        <v>972</v>
      </c>
      <c r="EV443" s="254" t="s">
        <v>973</v>
      </c>
      <c r="EW443" s="254" t="s">
        <v>974</v>
      </c>
      <c r="EX443" s="254" t="s">
        <v>975</v>
      </c>
      <c r="EY443" s="254" t="s">
        <v>976</v>
      </c>
      <c r="EZ443" s="254" t="s">
        <v>977</v>
      </c>
      <c r="FA443" s="254" t="s">
        <v>978</v>
      </c>
      <c r="FB443" s="254" t="s">
        <v>979</v>
      </c>
      <c r="FC443" s="254" t="s">
        <v>980</v>
      </c>
      <c r="FD443" s="254" t="s">
        <v>981</v>
      </c>
      <c r="FE443" s="254" t="s">
        <v>982</v>
      </c>
      <c r="FF443" s="254" t="s">
        <v>983</v>
      </c>
      <c r="FG443" s="254" t="s">
        <v>984</v>
      </c>
      <c r="FH443" s="254" t="s">
        <v>985</v>
      </c>
      <c r="FI443" s="254" t="s">
        <v>986</v>
      </c>
      <c r="FJ443" s="254" t="s">
        <v>987</v>
      </c>
      <c r="FK443" s="254" t="s">
        <v>988</v>
      </c>
      <c r="FL443" s="254" t="s">
        <v>989</v>
      </c>
      <c r="FM443" s="254" t="s">
        <v>990</v>
      </c>
      <c r="FN443" s="254" t="s">
        <v>991</v>
      </c>
      <c r="FO443" s="254" t="s">
        <v>992</v>
      </c>
      <c r="FP443" s="254" t="s">
        <v>993</v>
      </c>
      <c r="FQ443" s="254" t="s">
        <v>994</v>
      </c>
      <c r="FR443" s="254" t="s">
        <v>995</v>
      </c>
      <c r="FS443" s="254" t="s">
        <v>996</v>
      </c>
      <c r="FT443" s="254" t="s">
        <v>997</v>
      </c>
      <c r="FU443" s="254" t="s">
        <v>998</v>
      </c>
      <c r="FV443" s="254" t="s">
        <v>999</v>
      </c>
      <c r="FW443" s="254" t="s">
        <v>1000</v>
      </c>
      <c r="FX443" s="254" t="s">
        <v>1001</v>
      </c>
      <c r="FY443" s="254" t="s">
        <v>1002</v>
      </c>
      <c r="FZ443" s="254" t="s">
        <v>1003</v>
      </c>
      <c r="GA443" s="254" t="s">
        <v>1004</v>
      </c>
      <c r="GB443" s="254" t="s">
        <v>1005</v>
      </c>
      <c r="GC443" s="254" t="s">
        <v>1006</v>
      </c>
      <c r="GD443" s="254" t="s">
        <v>1007</v>
      </c>
      <c r="GE443" s="254" t="s">
        <v>1008</v>
      </c>
      <c r="GF443" s="254" t="s">
        <v>1009</v>
      </c>
      <c r="GG443" s="254" t="s">
        <v>1010</v>
      </c>
      <c r="GH443" s="254" t="s">
        <v>1011</v>
      </c>
      <c r="GI443" s="254" t="s">
        <v>1012</v>
      </c>
      <c r="GJ443" s="254" t="s">
        <v>1013</v>
      </c>
      <c r="GK443" s="254" t="s">
        <v>1014</v>
      </c>
      <c r="GL443" s="254" t="s">
        <v>1015</v>
      </c>
      <c r="GM443" s="254" t="s">
        <v>1016</v>
      </c>
      <c r="GN443" s="254" t="s">
        <v>1017</v>
      </c>
      <c r="GO443" s="254" t="s">
        <v>1018</v>
      </c>
      <c r="GP443" s="254" t="s">
        <v>1019</v>
      </c>
      <c r="GQ443" s="254" t="s">
        <v>1020</v>
      </c>
      <c r="GR443" s="254" t="s">
        <v>1021</v>
      </c>
      <c r="GS443" s="254" t="s">
        <v>1022</v>
      </c>
      <c r="GT443" s="254" t="s">
        <v>1023</v>
      </c>
      <c r="GU443" s="254" t="s">
        <v>1024</v>
      </c>
      <c r="GV443" s="254" t="s">
        <v>1025</v>
      </c>
      <c r="GW443" s="254" t="s">
        <v>1026</v>
      </c>
      <c r="GX443" s="254" t="s">
        <v>1027</v>
      </c>
      <c r="GY443" s="254" t="s">
        <v>1028</v>
      </c>
      <c r="GZ443" s="254" t="s">
        <v>1029</v>
      </c>
      <c r="HA443" s="254" t="s">
        <v>1030</v>
      </c>
      <c r="HB443" s="254" t="s">
        <v>1031</v>
      </c>
      <c r="HC443" s="254" t="s">
        <v>1032</v>
      </c>
      <c r="HD443" s="254" t="s">
        <v>1033</v>
      </c>
      <c r="HE443" s="254" t="s">
        <v>1034</v>
      </c>
      <c r="HF443" s="254" t="s">
        <v>1035</v>
      </c>
      <c r="HG443" s="254" t="s">
        <v>1036</v>
      </c>
      <c r="HH443" s="254" t="s">
        <v>1037</v>
      </c>
      <c r="HI443" s="254" t="s">
        <v>1038</v>
      </c>
      <c r="HJ443" s="254" t="s">
        <v>1039</v>
      </c>
      <c r="HK443" s="254" t="s">
        <v>1040</v>
      </c>
      <c r="HL443" s="254" t="s">
        <v>1041</v>
      </c>
      <c r="HM443" s="254" t="s">
        <v>1042</v>
      </c>
      <c r="HN443" s="254" t="s">
        <v>1043</v>
      </c>
      <c r="HO443" s="254" t="s">
        <v>1044</v>
      </c>
      <c r="HP443" s="254" t="s">
        <v>1045</v>
      </c>
      <c r="HQ443" s="254" t="s">
        <v>1046</v>
      </c>
      <c r="HR443" s="254" t="s">
        <v>1047</v>
      </c>
      <c r="HS443" s="254" t="s">
        <v>1048</v>
      </c>
      <c r="HT443" s="254" t="s">
        <v>1049</v>
      </c>
      <c r="HU443" s="254" t="s">
        <v>1050</v>
      </c>
      <c r="HV443" s="254" t="s">
        <v>1051</v>
      </c>
      <c r="HW443" s="254" t="s">
        <v>1052</v>
      </c>
      <c r="HX443" s="254" t="s">
        <v>1053</v>
      </c>
      <c r="HY443" s="254" t="s">
        <v>1054</v>
      </c>
      <c r="HZ443" s="1455"/>
      <c r="IA443" s="1455"/>
      <c r="IB443" s="1455"/>
      <c r="IC443" s="1455"/>
      <c r="ID443" s="1455"/>
      <c r="IE443" s="1455"/>
      <c r="IF443" s="1455"/>
      <c r="IG443" s="1455"/>
      <c r="IH443" s="1455"/>
      <c r="II443" s="1455"/>
      <c r="IJ443" s="1455"/>
      <c r="IK443" s="1455"/>
      <c r="IL443" s="1455"/>
      <c r="IM443" s="1455"/>
      <c r="IN443" s="1455"/>
      <c r="IO443" s="1455"/>
      <c r="IP443" s="1455"/>
      <c r="IQ443" s="1455"/>
      <c r="IR443" s="1455"/>
      <c r="IS443" s="1455"/>
      <c r="IT443" s="1455"/>
      <c r="IU443" s="1455"/>
      <c r="IV443" s="1455"/>
      <c r="IW443" s="1455"/>
      <c r="IX443" s="1455"/>
      <c r="IY443" s="1455"/>
      <c r="IZ443" s="1455"/>
      <c r="JA443" s="1455"/>
      <c r="JB443" s="1455"/>
      <c r="JC443" s="1455"/>
      <c r="JD443" s="1455"/>
      <c r="JE443" s="1455"/>
      <c r="JF443" s="1455"/>
      <c r="JG443" s="1455"/>
      <c r="JH443" s="1455"/>
      <c r="JI443" s="1455"/>
      <c r="JJ443" s="1455"/>
      <c r="JK443" s="1455"/>
      <c r="JL443" s="1455"/>
      <c r="JM443" s="1455"/>
      <c r="JN443" s="1455"/>
      <c r="JO443" s="1455"/>
      <c r="JP443" s="1455"/>
      <c r="JQ443" s="1455"/>
      <c r="JR443" s="1455"/>
      <c r="JS443" s="1455"/>
      <c r="JT443" s="1455"/>
      <c r="JU443" s="1455"/>
      <c r="JV443" s="1455"/>
      <c r="JW443" s="1455"/>
      <c r="JX443" s="1455"/>
      <c r="JY443" s="1455"/>
      <c r="JZ443" s="1455"/>
      <c r="KA443" s="1455"/>
      <c r="KB443" s="1455"/>
      <c r="KC443" s="1455"/>
      <c r="KD443" s="1455"/>
      <c r="KE443" s="1455"/>
      <c r="KF443" s="1455"/>
      <c r="KG443" s="1455"/>
      <c r="KH443" s="1455"/>
      <c r="KI443" s="1455"/>
      <c r="KJ443" s="1455"/>
      <c r="KK443" s="1455"/>
      <c r="KL443" s="1455"/>
      <c r="KM443" s="1106"/>
      <c r="KN443" s="1106"/>
      <c r="KO443" s="1106"/>
      <c r="KP443" s="1106"/>
      <c r="KQ443" s="1106"/>
      <c r="KR443" s="1106"/>
      <c r="KS443" s="1106"/>
      <c r="KT443" s="1106"/>
      <c r="KU443" s="1106"/>
      <c r="KV443" s="1106"/>
      <c r="KW443" s="1106"/>
      <c r="KX443" s="1106"/>
      <c r="KY443" s="1106"/>
      <c r="KZ443" s="1106"/>
      <c r="LA443" s="1106"/>
      <c r="LB443" s="1106"/>
      <c r="LC443" s="1106"/>
      <c r="LD443" s="1106"/>
      <c r="LE443" s="1106"/>
      <c r="LF443" s="1106"/>
      <c r="LG443" s="254" t="s">
        <v>1055</v>
      </c>
      <c r="LH443" s="254" t="s">
        <v>1056</v>
      </c>
      <c r="LI443" s="254" t="s">
        <v>1057</v>
      </c>
      <c r="LJ443" s="254" t="s">
        <v>1058</v>
      </c>
      <c r="LK443" s="254" t="s">
        <v>1059</v>
      </c>
      <c r="LL443" s="254" t="s">
        <v>1060</v>
      </c>
      <c r="LM443" s="254" t="s">
        <v>1061</v>
      </c>
      <c r="LN443" s="254" t="s">
        <v>1062</v>
      </c>
      <c r="LO443" s="254" t="s">
        <v>1063</v>
      </c>
      <c r="LP443" s="254" t="s">
        <v>1064</v>
      </c>
      <c r="LQ443" s="254" t="s">
        <v>1065</v>
      </c>
      <c r="LR443" s="254" t="s">
        <v>1066</v>
      </c>
      <c r="LS443" s="254" t="s">
        <v>1067</v>
      </c>
      <c r="LT443" s="254" t="s">
        <v>1068</v>
      </c>
      <c r="LU443" s="254" t="s">
        <v>1069</v>
      </c>
      <c r="LV443" s="254" t="s">
        <v>1070</v>
      </c>
      <c r="LW443" s="254" t="s">
        <v>1071</v>
      </c>
      <c r="LX443" s="254" t="s">
        <v>1072</v>
      </c>
      <c r="LY443" s="254" t="s">
        <v>1073</v>
      </c>
      <c r="LZ443" s="254" t="s">
        <v>1074</v>
      </c>
      <c r="MA443" s="254" t="s">
        <v>1075</v>
      </c>
      <c r="MB443" s="254" t="s">
        <v>1076</v>
      </c>
      <c r="MC443" s="254" t="s">
        <v>1077</v>
      </c>
      <c r="MD443" s="254" t="s">
        <v>1078</v>
      </c>
      <c r="ME443" s="254" t="s">
        <v>1079</v>
      </c>
      <c r="MF443" s="254"/>
      <c r="MG443" s="254"/>
      <c r="MH443" s="254"/>
      <c r="MI443" s="254"/>
      <c r="MJ443" s="254"/>
      <c r="MK443" s="1106"/>
      <c r="ML443" s="1106"/>
      <c r="MM443" s="1106"/>
      <c r="MN443" s="1106"/>
      <c r="MO443" s="1106"/>
      <c r="MP443" s="1106"/>
      <c r="MQ443" s="1106"/>
      <c r="MR443" s="1106"/>
      <c r="MS443" s="1106"/>
      <c r="MT443" s="1106"/>
    </row>
    <row r="444" spans="1:358" s="253" customFormat="1" ht="12.6" customHeight="1">
      <c r="A444" s="2252" t="str">
        <f>IF(A487&gt;0,"Finish Row!","")</f>
        <v/>
      </c>
      <c r="B444" s="1213" t="s">
        <v>2249</v>
      </c>
      <c r="D444" s="2117"/>
      <c r="E444" s="2117"/>
      <c r="F444" s="2117"/>
      <c r="G444" s="1454" t="str">
        <f>'Part V-Revenues &amp; Expenses'!G6</f>
        <v>&lt;Select&gt;</v>
      </c>
      <c r="H444" s="2253" t="s">
        <v>1082</v>
      </c>
      <c r="I444" s="2253"/>
      <c r="J444" s="2253"/>
      <c r="K444" s="2254" t="s">
        <v>824</v>
      </c>
      <c r="L444" s="2255" t="str">
        <f>'Part I-Project Identification'!$A$6</f>
        <v>2024 May 7</v>
      </c>
      <c r="M444" s="2255"/>
      <c r="N444" s="2255"/>
      <c r="O444" s="2256" t="s">
        <v>2250</v>
      </c>
      <c r="P444" s="2257">
        <f>'Part V-Revenues &amp; Expenses'!P6</f>
        <v>96400</v>
      </c>
      <c r="Q444" s="2250"/>
      <c r="R444" s="2251"/>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455"/>
      <c r="IA444" s="1455"/>
      <c r="IB444" s="1455"/>
      <c r="IC444" s="1455"/>
      <c r="ID444" s="1455"/>
      <c r="IE444" s="1455"/>
      <c r="IF444" s="1455"/>
      <c r="IG444" s="1455"/>
      <c r="IH444" s="1455"/>
      <c r="II444" s="1455"/>
      <c r="IJ444" s="1455"/>
      <c r="IK444" s="1455"/>
      <c r="IL444" s="1455"/>
      <c r="IM444" s="1455"/>
      <c r="IN444" s="1455"/>
      <c r="IO444" s="1455"/>
      <c r="IP444" s="1455"/>
      <c r="IQ444" s="1455"/>
      <c r="IR444" s="1455"/>
      <c r="IS444" s="1455"/>
      <c r="IT444" s="1455"/>
      <c r="IU444" s="1455"/>
      <c r="IV444" s="1455"/>
      <c r="IW444" s="1455"/>
      <c r="IX444" s="1455"/>
      <c r="IY444" s="1455"/>
      <c r="IZ444" s="1455"/>
      <c r="JA444" s="1455"/>
      <c r="JB444" s="1455"/>
      <c r="JC444" s="1455"/>
      <c r="JD444" s="1455"/>
      <c r="JE444" s="1455"/>
      <c r="JF444" s="1455"/>
      <c r="JG444" s="1455"/>
      <c r="JH444" s="1455"/>
      <c r="JI444" s="1455"/>
      <c r="JJ444" s="1455"/>
      <c r="JK444" s="1455"/>
      <c r="JL444" s="1455"/>
      <c r="JM444" s="1455"/>
      <c r="JN444" s="1455"/>
      <c r="JO444" s="1455"/>
      <c r="JP444" s="1455"/>
      <c r="JQ444" s="1455"/>
      <c r="JR444" s="1455"/>
      <c r="JS444" s="1455"/>
      <c r="JT444" s="1455"/>
      <c r="JU444" s="1455"/>
      <c r="JV444" s="1455"/>
      <c r="JW444" s="1455"/>
      <c r="JX444" s="1455"/>
      <c r="JY444" s="1455"/>
      <c r="JZ444" s="1455"/>
      <c r="KA444" s="1455"/>
      <c r="KB444" s="1455"/>
      <c r="KC444" s="1455"/>
      <c r="KD444" s="1455"/>
      <c r="KE444" s="1455"/>
      <c r="KF444" s="1455"/>
      <c r="KG444" s="1455"/>
      <c r="KH444" s="1455"/>
      <c r="KI444" s="1455"/>
      <c r="KJ444" s="1455"/>
      <c r="KK444" s="1455"/>
      <c r="KL444" s="1455"/>
      <c r="KM444" s="1106"/>
      <c r="KN444" s="1106"/>
      <c r="KO444" s="1106"/>
      <c r="KP444" s="1106"/>
      <c r="KQ444" s="1106"/>
      <c r="KR444" s="1106"/>
      <c r="KS444" s="1106"/>
      <c r="KT444" s="1106"/>
      <c r="KU444" s="1106"/>
      <c r="KV444" s="1106"/>
      <c r="KW444" s="1106"/>
      <c r="KX444" s="1106"/>
      <c r="KY444" s="1106"/>
      <c r="KZ444" s="1106"/>
      <c r="LA444" s="1106"/>
      <c r="LB444" s="1106"/>
      <c r="LC444" s="1106"/>
      <c r="LD444" s="1106"/>
      <c r="LE444" s="1106"/>
      <c r="LF444" s="1106"/>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106" t="s">
        <v>1084</v>
      </c>
      <c r="ML444" s="1106" t="s">
        <v>1085</v>
      </c>
      <c r="MM444" s="1106" t="s">
        <v>1086</v>
      </c>
      <c r="MN444" s="1106" t="s">
        <v>1087</v>
      </c>
      <c r="MO444" s="1106" t="s">
        <v>1088</v>
      </c>
      <c r="MP444" s="254" t="s">
        <v>1089</v>
      </c>
      <c r="MQ444" s="254" t="s">
        <v>1090</v>
      </c>
      <c r="MR444" s="254" t="s">
        <v>1091</v>
      </c>
      <c r="MS444" s="254" t="s">
        <v>1092</v>
      </c>
      <c r="MT444" s="254" t="s">
        <v>1093</v>
      </c>
    </row>
    <row r="445" spans="1:358" s="253" customFormat="1" ht="12.6" customHeight="1">
      <c r="A445" s="2252"/>
      <c r="B445" s="2258" t="s">
        <v>1094</v>
      </c>
      <c r="E445" s="1317"/>
      <c r="G445" s="1454" t="str">
        <f>'Part V-Revenues &amp; Expenses'!G7</f>
        <v>No</v>
      </c>
      <c r="I445" s="1213" t="s">
        <v>1095</v>
      </c>
      <c r="J445" s="2254" t="s">
        <v>788</v>
      </c>
      <c r="K445" s="2254" t="s">
        <v>1096</v>
      </c>
      <c r="L445" s="2255"/>
      <c r="M445" s="2255"/>
      <c r="N445" s="2255"/>
      <c r="O445" s="2259" t="s">
        <v>1097</v>
      </c>
      <c r="P445" s="2260">
        <f>'Part V-Revenues &amp; Expenses'!P7</f>
        <v>45383</v>
      </c>
      <c r="Q445" s="2250"/>
      <c r="R445" s="1317" t="s">
        <v>1098</v>
      </c>
      <c r="S445" s="1317"/>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455"/>
      <c r="IA445" s="1455"/>
      <c r="IB445" s="1455"/>
      <c r="IC445" s="1455"/>
      <c r="ID445" s="1455"/>
      <c r="IE445" s="1455"/>
      <c r="IF445" s="1455"/>
      <c r="IG445" s="1455"/>
      <c r="IH445" s="1455"/>
      <c r="II445" s="1455"/>
      <c r="IJ445" s="1455"/>
      <c r="IK445" s="1455"/>
      <c r="IL445" s="1455"/>
      <c r="IM445" s="1455"/>
      <c r="IN445" s="1455"/>
      <c r="IO445" s="1455"/>
      <c r="IP445" s="1455"/>
      <c r="IQ445" s="1455"/>
      <c r="IR445" s="1455"/>
      <c r="IS445" s="1455"/>
      <c r="IT445" s="1455"/>
      <c r="IU445" s="1455"/>
      <c r="IV445" s="1455"/>
      <c r="IW445" s="1455"/>
      <c r="IX445" s="1455"/>
      <c r="IY445" s="1455"/>
      <c r="IZ445" s="1455"/>
      <c r="JA445" s="1455"/>
      <c r="JB445" s="1455"/>
      <c r="JC445" s="1455"/>
      <c r="JD445" s="1455"/>
      <c r="JE445" s="1455"/>
      <c r="JF445" s="1455"/>
      <c r="JG445" s="1455"/>
      <c r="JH445" s="1455"/>
      <c r="JI445" s="1455"/>
      <c r="JJ445" s="1455"/>
      <c r="JK445" s="1455"/>
      <c r="JL445" s="1455"/>
      <c r="JM445" s="1455"/>
      <c r="JN445" s="1455"/>
      <c r="JO445" s="1455"/>
      <c r="JP445" s="1455"/>
      <c r="JQ445" s="1455"/>
      <c r="JR445" s="1455"/>
      <c r="JS445" s="1455"/>
      <c r="JT445" s="1455"/>
      <c r="JU445" s="1455"/>
      <c r="JV445" s="1455"/>
      <c r="JW445" s="1455"/>
      <c r="JX445" s="1455"/>
      <c r="JY445" s="1455"/>
      <c r="JZ445" s="1455"/>
      <c r="KA445" s="1455"/>
      <c r="KB445" s="1455"/>
      <c r="KC445" s="1455"/>
      <c r="KD445" s="1455"/>
      <c r="KE445" s="1455"/>
      <c r="KF445" s="1455"/>
      <c r="KG445" s="1455"/>
      <c r="KH445" s="1455"/>
      <c r="KI445" s="1455"/>
      <c r="KJ445" s="1455"/>
      <c r="KK445" s="1455"/>
      <c r="KL445" s="1455"/>
      <c r="KM445" s="1106"/>
      <c r="KN445" s="1106"/>
      <c r="KO445" s="1106"/>
      <c r="KP445" s="1106"/>
      <c r="KQ445" s="1106"/>
      <c r="KR445" s="1106"/>
      <c r="KS445" s="1106"/>
      <c r="KT445" s="1106"/>
      <c r="KU445" s="1106"/>
      <c r="KV445" s="1106"/>
      <c r="KW445" s="1106"/>
      <c r="KX445" s="1106"/>
      <c r="KY445" s="1106"/>
      <c r="KZ445" s="1106"/>
      <c r="LA445" s="1106"/>
      <c r="LB445" s="1106"/>
      <c r="LC445" s="1106"/>
      <c r="LD445" s="1106"/>
      <c r="LE445" s="1106"/>
      <c r="LF445" s="1106"/>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106"/>
      <c r="ML445" s="1106"/>
      <c r="MM445" s="1106"/>
      <c r="MN445" s="1106"/>
      <c r="MO445" s="1106"/>
      <c r="MP445" s="254"/>
      <c r="MQ445" s="254"/>
      <c r="MR445" s="254"/>
      <c r="MS445" s="254"/>
      <c r="MT445" s="254"/>
    </row>
    <row r="446" spans="1:358" s="253" customFormat="1" ht="12.6" customHeight="1">
      <c r="A446" s="2252"/>
      <c r="B446" s="2254" t="s">
        <v>1099</v>
      </c>
      <c r="I446" s="1213"/>
      <c r="J446" s="2254" t="s">
        <v>1100</v>
      </c>
      <c r="K446" s="2254" t="s">
        <v>1101</v>
      </c>
      <c r="N446" s="2261" t="s">
        <v>1102</v>
      </c>
      <c r="O446" s="2107" t="str">
        <f>'Part V-Revenues &amp; Expenses'!O8</f>
        <v>HUD</v>
      </c>
      <c r="P446" s="2107"/>
      <c r="Q446" s="2250"/>
      <c r="R446" s="1317"/>
      <c r="S446" s="2246" t="s">
        <v>1104</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455"/>
      <c r="IA446" s="1455"/>
      <c r="IB446" s="1455"/>
      <c r="IC446" s="1455"/>
      <c r="ID446" s="1455"/>
      <c r="IE446" s="1455"/>
      <c r="IF446" s="1455"/>
      <c r="IG446" s="1455"/>
      <c r="IH446" s="1455"/>
      <c r="II446" s="1455"/>
      <c r="IJ446" s="1455"/>
      <c r="IK446" s="1455"/>
      <c r="IL446" s="1455"/>
      <c r="IM446" s="1455"/>
      <c r="IN446" s="1455"/>
      <c r="IO446" s="1455"/>
      <c r="IP446" s="1455"/>
      <c r="IQ446" s="1455"/>
      <c r="IR446" s="1455"/>
      <c r="IS446" s="1455"/>
      <c r="IT446" s="1455"/>
      <c r="IU446" s="1455"/>
      <c r="IV446" s="1455"/>
      <c r="IW446" s="1455"/>
      <c r="IX446" s="1455"/>
      <c r="IY446" s="1445" t="s">
        <v>792</v>
      </c>
      <c r="IZ446" s="1445" t="s">
        <v>835</v>
      </c>
      <c r="JA446" s="1445" t="s">
        <v>836</v>
      </c>
      <c r="JB446" s="1445" t="s">
        <v>837</v>
      </c>
      <c r="JC446" s="1445" t="s">
        <v>838</v>
      </c>
      <c r="JD446" s="1445" t="s">
        <v>792</v>
      </c>
      <c r="JE446" s="1445" t="s">
        <v>835</v>
      </c>
      <c r="JF446" s="1445" t="s">
        <v>836</v>
      </c>
      <c r="JG446" s="1445" t="s">
        <v>837</v>
      </c>
      <c r="JH446" s="1445" t="s">
        <v>838</v>
      </c>
      <c r="JI446" s="1445" t="s">
        <v>792</v>
      </c>
      <c r="JJ446" s="1445" t="s">
        <v>835</v>
      </c>
      <c r="JK446" s="1445" t="s">
        <v>836</v>
      </c>
      <c r="JL446" s="1445" t="s">
        <v>837</v>
      </c>
      <c r="JM446" s="1445" t="s">
        <v>838</v>
      </c>
      <c r="JN446" s="1445" t="s">
        <v>792</v>
      </c>
      <c r="JO446" s="1445" t="s">
        <v>835</v>
      </c>
      <c r="JP446" s="1445" t="s">
        <v>836</v>
      </c>
      <c r="JQ446" s="1445" t="s">
        <v>837</v>
      </c>
      <c r="JR446" s="1445" t="s">
        <v>838</v>
      </c>
      <c r="JS446" s="1445" t="s">
        <v>792</v>
      </c>
      <c r="JT446" s="1445" t="s">
        <v>835</v>
      </c>
      <c r="JU446" s="1445" t="s">
        <v>836</v>
      </c>
      <c r="JV446" s="1445" t="s">
        <v>837</v>
      </c>
      <c r="JW446" s="1445" t="s">
        <v>838</v>
      </c>
      <c r="JX446" s="1445" t="s">
        <v>792</v>
      </c>
      <c r="JY446" s="1445" t="s">
        <v>835</v>
      </c>
      <c r="JZ446" s="1445" t="s">
        <v>836</v>
      </c>
      <c r="KA446" s="1445" t="s">
        <v>837</v>
      </c>
      <c r="KB446" s="1445" t="s">
        <v>838</v>
      </c>
      <c r="KC446" s="1445" t="s">
        <v>792</v>
      </c>
      <c r="KD446" s="1445" t="s">
        <v>835</v>
      </c>
      <c r="KE446" s="1445" t="s">
        <v>836</v>
      </c>
      <c r="KF446" s="1445" t="s">
        <v>837</v>
      </c>
      <c r="KG446" s="1445" t="s">
        <v>838</v>
      </c>
      <c r="KH446" s="1445" t="s">
        <v>792</v>
      </c>
      <c r="KI446" s="1445" t="s">
        <v>835</v>
      </c>
      <c r="KJ446" s="1445" t="s">
        <v>836</v>
      </c>
      <c r="KK446" s="1445" t="s">
        <v>837</v>
      </c>
      <c r="KL446" s="1445" t="s">
        <v>838</v>
      </c>
      <c r="KM446" s="1445" t="s">
        <v>792</v>
      </c>
      <c r="KN446" s="1445" t="s">
        <v>835</v>
      </c>
      <c r="KO446" s="1445" t="s">
        <v>836</v>
      </c>
      <c r="KP446" s="1445" t="s">
        <v>837</v>
      </c>
      <c r="KQ446" s="1445" t="s">
        <v>838</v>
      </c>
      <c r="KR446" s="1445" t="s">
        <v>792</v>
      </c>
      <c r="KS446" s="1445" t="s">
        <v>835</v>
      </c>
      <c r="KT446" s="1445" t="s">
        <v>836</v>
      </c>
      <c r="KU446" s="1445" t="s">
        <v>837</v>
      </c>
      <c r="KV446" s="1445" t="s">
        <v>838</v>
      </c>
      <c r="KW446" s="1445" t="s">
        <v>792</v>
      </c>
      <c r="KX446" s="1445" t="s">
        <v>835</v>
      </c>
      <c r="KY446" s="1445" t="s">
        <v>836</v>
      </c>
      <c r="KZ446" s="1445" t="s">
        <v>837</v>
      </c>
      <c r="LA446" s="1445" t="s">
        <v>838</v>
      </c>
      <c r="LB446" s="1445" t="s">
        <v>792</v>
      </c>
      <c r="LC446" s="1445" t="s">
        <v>835</v>
      </c>
      <c r="LD446" s="1445" t="s">
        <v>836</v>
      </c>
      <c r="LE446" s="1445" t="s">
        <v>837</v>
      </c>
      <c r="LF446" s="1445" t="s">
        <v>838</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106"/>
      <c r="ML446" s="1106"/>
      <c r="MM446" s="1106"/>
      <c r="MN446" s="1106"/>
      <c r="MO446" s="1106"/>
      <c r="MP446" s="254"/>
      <c r="MQ446" s="254"/>
      <c r="MR446" s="254"/>
      <c r="MS446" s="254"/>
      <c r="MT446" s="254"/>
    </row>
    <row r="447" spans="1:358" s="254" customFormat="1" ht="11.25" customHeight="1">
      <c r="A447" s="2252"/>
      <c r="B447" s="2254" t="s">
        <v>1105</v>
      </c>
      <c r="C447" s="2254" t="s">
        <v>1106</v>
      </c>
      <c r="D447" s="2254" t="s">
        <v>1107</v>
      </c>
      <c r="E447" s="2254" t="s">
        <v>1108</v>
      </c>
      <c r="F447" s="2254" t="s">
        <v>1108</v>
      </c>
      <c r="G447" s="1213" t="s">
        <v>1109</v>
      </c>
      <c r="H447" s="2251" t="s">
        <v>1110</v>
      </c>
      <c r="I447" s="1213"/>
      <c r="J447" s="2262" t="s">
        <v>1111</v>
      </c>
      <c r="K447" s="2254" t="s">
        <v>2251</v>
      </c>
      <c r="L447" s="1213" t="s">
        <v>1113</v>
      </c>
      <c r="M447" s="1213"/>
      <c r="N447" s="2254" t="s">
        <v>1114</v>
      </c>
      <c r="O447" s="2254" t="s">
        <v>1115</v>
      </c>
      <c r="P447" s="2250" t="s">
        <v>2252</v>
      </c>
      <c r="Q447" s="2250"/>
      <c r="R447" s="2254" t="s">
        <v>1117</v>
      </c>
      <c r="S447" s="2254" t="s">
        <v>1118</v>
      </c>
      <c r="T447" s="2254"/>
      <c r="HZ447" s="254" t="s">
        <v>1119</v>
      </c>
      <c r="IA447" s="1445" t="s">
        <v>835</v>
      </c>
      <c r="IB447" s="1445" t="s">
        <v>836</v>
      </c>
      <c r="IC447" s="1445" t="s">
        <v>837</v>
      </c>
      <c r="ID447" s="1445" t="s">
        <v>838</v>
      </c>
      <c r="IE447" s="254" t="s">
        <v>1120</v>
      </c>
      <c r="IF447" s="254" t="s">
        <v>1120</v>
      </c>
      <c r="IG447" s="254" t="s">
        <v>1120</v>
      </c>
      <c r="IH447" s="254" t="s">
        <v>1120</v>
      </c>
      <c r="II447" s="254" t="s">
        <v>1120</v>
      </c>
      <c r="IJ447" s="254" t="s">
        <v>1121</v>
      </c>
      <c r="IK447" s="254" t="s">
        <v>1121</v>
      </c>
      <c r="IL447" s="254" t="s">
        <v>1121</v>
      </c>
      <c r="IM447" s="254" t="s">
        <v>1121</v>
      </c>
      <c r="IN447" s="254" t="s">
        <v>1121</v>
      </c>
      <c r="IO447" s="1445" t="s">
        <v>792</v>
      </c>
      <c r="IP447" s="1445" t="s">
        <v>835</v>
      </c>
      <c r="IQ447" s="1445" t="s">
        <v>836</v>
      </c>
      <c r="IR447" s="1445" t="s">
        <v>837</v>
      </c>
      <c r="IS447" s="1445" t="s">
        <v>838</v>
      </c>
      <c r="IT447" s="1445" t="s">
        <v>792</v>
      </c>
      <c r="IU447" s="1445" t="s">
        <v>835</v>
      </c>
      <c r="IV447" s="1445" t="s">
        <v>836</v>
      </c>
      <c r="IW447" s="1445" t="s">
        <v>837</v>
      </c>
      <c r="IX447" s="1445" t="s">
        <v>838</v>
      </c>
      <c r="IY447" s="254" t="s">
        <v>1122</v>
      </c>
      <c r="IZ447" s="254" t="s">
        <v>1122</v>
      </c>
      <c r="JA447" s="254" t="s">
        <v>1122</v>
      </c>
      <c r="JB447" s="254" t="s">
        <v>1122</v>
      </c>
      <c r="JC447" s="254" t="s">
        <v>1122</v>
      </c>
      <c r="JD447" s="254" t="s">
        <v>1123</v>
      </c>
      <c r="JE447" s="254" t="s">
        <v>1123</v>
      </c>
      <c r="JF447" s="254" t="s">
        <v>1123</v>
      </c>
      <c r="JG447" s="254" t="s">
        <v>1123</v>
      </c>
      <c r="JH447" s="254" t="s">
        <v>1123</v>
      </c>
      <c r="JI447" s="254" t="s">
        <v>1124</v>
      </c>
      <c r="JJ447" s="254" t="s">
        <v>1124</v>
      </c>
      <c r="JK447" s="254" t="s">
        <v>1124</v>
      </c>
      <c r="JL447" s="254" t="s">
        <v>1124</v>
      </c>
      <c r="JM447" s="254" t="s">
        <v>1124</v>
      </c>
      <c r="JN447" s="254" t="s">
        <v>1125</v>
      </c>
      <c r="JO447" s="254" t="s">
        <v>1125</v>
      </c>
      <c r="JP447" s="254" t="s">
        <v>1125</v>
      </c>
      <c r="JQ447" s="254" t="s">
        <v>1125</v>
      </c>
      <c r="JR447" s="254" t="s">
        <v>1125</v>
      </c>
      <c r="JS447" s="254" t="s">
        <v>1126</v>
      </c>
      <c r="JT447" s="254" t="s">
        <v>1126</v>
      </c>
      <c r="JU447" s="254" t="s">
        <v>1126</v>
      </c>
      <c r="JV447" s="254" t="s">
        <v>1126</v>
      </c>
      <c r="JW447" s="254" t="s">
        <v>1126</v>
      </c>
      <c r="JX447" s="254" t="s">
        <v>1127</v>
      </c>
      <c r="JY447" s="254" t="s">
        <v>1127</v>
      </c>
      <c r="JZ447" s="254" t="s">
        <v>1127</v>
      </c>
      <c r="KA447" s="254" t="s">
        <v>1127</v>
      </c>
      <c r="KB447" s="254" t="s">
        <v>1127</v>
      </c>
      <c r="KC447" s="254" t="s">
        <v>2253</v>
      </c>
      <c r="KD447" s="254" t="s">
        <v>2253</v>
      </c>
      <c r="KE447" s="254" t="s">
        <v>2253</v>
      </c>
      <c r="KF447" s="254" t="s">
        <v>2253</v>
      </c>
      <c r="KG447" s="254" t="s">
        <v>2253</v>
      </c>
      <c r="KH447" s="254" t="s">
        <v>1130</v>
      </c>
      <c r="KI447" s="254" t="s">
        <v>1130</v>
      </c>
      <c r="KJ447" s="254" t="s">
        <v>1130</v>
      </c>
      <c r="KK447" s="254" t="s">
        <v>1130</v>
      </c>
      <c r="KL447" s="254" t="s">
        <v>1130</v>
      </c>
      <c r="KM447" s="254" t="s">
        <v>1131</v>
      </c>
      <c r="KN447" s="254" t="s">
        <v>1131</v>
      </c>
      <c r="KO447" s="254" t="s">
        <v>1131</v>
      </c>
      <c r="KP447" s="254" t="s">
        <v>1131</v>
      </c>
      <c r="KQ447" s="254" t="s">
        <v>1131</v>
      </c>
      <c r="KR447" s="254" t="s">
        <v>1132</v>
      </c>
      <c r="KS447" s="254" t="s">
        <v>1132</v>
      </c>
      <c r="KT447" s="254" t="s">
        <v>1132</v>
      </c>
      <c r="KU447" s="254" t="s">
        <v>1132</v>
      </c>
      <c r="KV447" s="254" t="s">
        <v>1132</v>
      </c>
      <c r="KW447" s="254" t="s">
        <v>1133</v>
      </c>
      <c r="KX447" s="254" t="s">
        <v>1133</v>
      </c>
      <c r="KY447" s="254" t="s">
        <v>1133</v>
      </c>
      <c r="KZ447" s="254" t="s">
        <v>1133</v>
      </c>
      <c r="LA447" s="254" t="s">
        <v>1133</v>
      </c>
      <c r="LB447" s="254" t="s">
        <v>1134</v>
      </c>
      <c r="LC447" s="254" t="s">
        <v>1134</v>
      </c>
      <c r="LD447" s="254" t="s">
        <v>1134</v>
      </c>
      <c r="LE447" s="254" t="s">
        <v>1134</v>
      </c>
      <c r="LF447" s="254" t="s">
        <v>1134</v>
      </c>
      <c r="MK447" s="1106"/>
      <c r="ML447" s="1106"/>
      <c r="MM447" s="1106"/>
      <c r="MN447" s="1106"/>
      <c r="MO447" s="1106"/>
    </row>
    <row r="448" spans="1:358" s="254" customFormat="1" ht="11.25" customHeight="1">
      <c r="A448" s="2252"/>
      <c r="B448" s="2263" t="s">
        <v>1135</v>
      </c>
      <c r="C448" s="2254" t="s">
        <v>816</v>
      </c>
      <c r="D448" s="2254" t="s">
        <v>817</v>
      </c>
      <c r="E448" s="2254" t="s">
        <v>1136</v>
      </c>
      <c r="F448" s="2254" t="s">
        <v>1137</v>
      </c>
      <c r="G448" s="1213"/>
      <c r="H448" s="2254" t="s">
        <v>1138</v>
      </c>
      <c r="I448" s="1213"/>
      <c r="J448" s="2262"/>
      <c r="K448" s="2264" t="s">
        <v>1139</v>
      </c>
      <c r="L448" s="2254" t="s">
        <v>1140</v>
      </c>
      <c r="M448" s="2254" t="s">
        <v>299</v>
      </c>
      <c r="N448" s="2254" t="s">
        <v>1108</v>
      </c>
      <c r="O448" s="2254" t="s">
        <v>1141</v>
      </c>
      <c r="P448" s="2250"/>
      <c r="Q448" s="2250"/>
      <c r="R448" s="2254" t="s">
        <v>1142</v>
      </c>
      <c r="S448" s="2254" t="s">
        <v>1143</v>
      </c>
      <c r="T448" s="255" t="s">
        <v>814</v>
      </c>
      <c r="W448" s="255"/>
      <c r="IA448" s="1445" t="s">
        <v>1144</v>
      </c>
      <c r="IB448" s="1445" t="s">
        <v>1144</v>
      </c>
      <c r="IC448" s="1445" t="s">
        <v>1144</v>
      </c>
      <c r="ID448" s="1445" t="s">
        <v>1144</v>
      </c>
      <c r="IO448" s="1445" t="s">
        <v>1145</v>
      </c>
      <c r="IP448" s="1445" t="s">
        <v>1145</v>
      </c>
      <c r="IQ448" s="1445" t="s">
        <v>1145</v>
      </c>
      <c r="IR448" s="1445" t="s">
        <v>1145</v>
      </c>
      <c r="IS448" s="1445" t="s">
        <v>1145</v>
      </c>
      <c r="IT448" s="1445" t="s">
        <v>1146</v>
      </c>
      <c r="IU448" s="1445" t="s">
        <v>1146</v>
      </c>
      <c r="IV448" s="1445" t="s">
        <v>1146</v>
      </c>
      <c r="IW448" s="1445" t="s">
        <v>1146</v>
      </c>
      <c r="IX448" s="1445" t="s">
        <v>1146</v>
      </c>
      <c r="MK448" s="1106"/>
      <c r="ML448" s="1106"/>
      <c r="MM448" s="1106"/>
      <c r="MN448" s="1106"/>
      <c r="MO448" s="1106"/>
    </row>
    <row r="449" spans="1:380" ht="13.9" customHeight="1">
      <c r="A449" s="2246" t="str">
        <f t="shared" ref="A449:A486" si="0">IF(AND(E449&gt;0,OR(B449="",C449="",D449="",F449="",G449="", H449="",I449="",N449="",O449="",P449="",Q449="")),1,"")</f>
        <v/>
      </c>
      <c r="B449" s="2265" t="str">
        <f>'Part V-Revenues &amp; Expenses'!B11</f>
        <v>N/A-CS</v>
      </c>
      <c r="C449" s="2266">
        <f>'Part V-Revenues &amp; Expenses'!C11</f>
        <v>0</v>
      </c>
      <c r="D449" s="2267">
        <f>'Part V-Revenues &amp; Expenses'!D11</f>
        <v>0</v>
      </c>
      <c r="E449" s="2268">
        <f>'Part V-Revenues &amp; Expenses'!E11</f>
        <v>0</v>
      </c>
      <c r="F449" s="2268">
        <f>'Part V-Revenues &amp; Expenses'!F11</f>
        <v>0</v>
      </c>
      <c r="G449" s="2268">
        <f>'Part V-Revenues &amp; Expenses'!G11</f>
        <v>0</v>
      </c>
      <c r="H449" s="2268">
        <f>'Part V-Revenues &amp; Expenses'!H11</f>
        <v>0</v>
      </c>
      <c r="I449" s="2268">
        <f>'Part V-Revenues &amp; Expenses'!I11</f>
        <v>0</v>
      </c>
      <c r="J449" s="2268">
        <f>'Part V-Revenues &amp; Expenses'!J11</f>
        <v>0</v>
      </c>
      <c r="K449" s="2269">
        <f>'Part V-Revenues &amp; Expenses'!K11</f>
        <v>0</v>
      </c>
      <c r="L449" s="2270">
        <f t="shared" ref="L449:L486" si="1">MAX(0,H449-I449-J449)</f>
        <v>0</v>
      </c>
      <c r="M449" s="2270">
        <f t="shared" ref="M449:M486" si="2">MAX(0,E449*L449)</f>
        <v>0</v>
      </c>
      <c r="N449" s="2139">
        <f>'Part V-Revenues &amp; Expenses'!N11</f>
        <v>0</v>
      </c>
      <c r="O449" s="963">
        <f>'Part V-Revenues &amp; Expenses'!O11</f>
        <v>0</v>
      </c>
      <c r="P449" s="2139">
        <f>'Part V-Revenues &amp; Expenses'!P11</f>
        <v>0</v>
      </c>
      <c r="Q449" s="1455">
        <f>'Part V-Revenues &amp; Expenses'!Q11</f>
        <v>0</v>
      </c>
      <c r="R449" s="2271"/>
      <c r="S449" s="2272"/>
      <c r="T449" s="2273"/>
      <c r="U449" s="2273"/>
      <c r="V449" s="2273"/>
      <c r="W449" s="2273"/>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456" t="str">
        <f t="shared" ref="HZ449:HZ486" si="213">IF(AND($C449="Efficiency", NOT(OR($O449="SF Detached",$O449="Mfd Home",$O449="Semi-Detached",$O449="Row House/TH"))),$E449,"")</f>
        <v/>
      </c>
      <c r="IA449" s="1456" t="str">
        <f t="shared" ref="IA449:IA486" si="214">IF(AND($C449=1, NOT(OR($O449="SF Detached",$O449="Mfd Home",$O449="Semi-Detached",$O449="Row House/TH"))),$E449,"")</f>
        <v/>
      </c>
      <c r="IB449" s="1456" t="str">
        <f t="shared" ref="IB449:IB486" si="215">IF(AND($C449=2, NOT(OR($O449="SF Detached",$O449="Mfd Home",$O449="Semi-Detached",$O449="Row House/TH"))),$E449,"")</f>
        <v/>
      </c>
      <c r="IC449" s="1456" t="str">
        <f t="shared" ref="IC449:IC486" si="216">IF(AND($C449=3, NOT(OR($O449="SF Detached",$O449="Mfd Home",$O449="Semi-Detached",$O449="Row House/TH"))),$E449,"")</f>
        <v/>
      </c>
      <c r="ID449" s="1456" t="str">
        <f t="shared" ref="ID449:ID486" si="217">IF(AND($C449=4, NOT(OR($O449="SF Detached",$O449="Mfd Home",$O449="Semi-Detached",$O449="Row House/TH"))),$E449,"")</f>
        <v/>
      </c>
      <c r="IE449" s="1456" t="str">
        <f t="shared" ref="IE449:IE486" si="218">IF(AND($C449="Efficiency", $O449="SF Detached",NOT($Q449="Yes")),$E449,"")</f>
        <v/>
      </c>
      <c r="IF449" s="1456" t="str">
        <f t="shared" ref="IF449:IF486" si="219">IF(AND($C449=1, $O449="SF Detached",NOT($Q449="Yes")),$E449,"")</f>
        <v/>
      </c>
      <c r="IG449" s="1456" t="str">
        <f t="shared" ref="IG449:IG486" si="220">IF(AND($C449=2, $O449="SF Detached",NOT($Q449="Yes")),$E449,"")</f>
        <v/>
      </c>
      <c r="IH449" s="1456" t="str">
        <f t="shared" ref="IH449:IH486" si="221">IF(AND($C449=3, $O449="SF Detached",NOT($Q449="Yes")),$E449,"")</f>
        <v/>
      </c>
      <c r="II449" s="1456" t="str">
        <f t="shared" ref="II449:II486" si="222">IF(AND($C449=4, $O449="SF Detached",NOT($Q449="Yes")),$E449,"")</f>
        <v/>
      </c>
      <c r="IJ449" s="1456" t="str">
        <f t="shared" ref="IJ449:IJ486" si="223">IF(AND($C449="Efficiency", $O449="SF Detached",$Q449="Yes"),$E449,"")</f>
        <v/>
      </c>
      <c r="IK449" s="1456" t="str">
        <f t="shared" ref="IK449:IK486" si="224">IF(AND($C449=1, $O449="SF Detached",$Q449="Yes"),$E449,"")</f>
        <v/>
      </c>
      <c r="IL449" s="1456" t="str">
        <f t="shared" ref="IL449:IL486" si="225">IF(AND($C449=2, $O449="SF Detached",$Q449="Yes"),$E449,"")</f>
        <v/>
      </c>
      <c r="IM449" s="1456" t="str">
        <f t="shared" ref="IM449:IM486" si="226">IF(AND($C449=3, $O449="SF Detached",$Q449="Yes"),$E449,"")</f>
        <v/>
      </c>
      <c r="IN449" s="1456" t="str">
        <f t="shared" ref="IN449:IN486" si="227">IF(AND($C449=4, $O449="SF Detached",$Q449="Yes"),$E449,"")</f>
        <v/>
      </c>
      <c r="IO449" s="1456" t="str">
        <f t="shared" ref="IO449:IO486" si="228">IF(AND($C449="Efficiency", $O449="Mfd Home",NOT($Q449="Yes")),$E449,"")</f>
        <v/>
      </c>
      <c r="IP449" s="1456" t="str">
        <f t="shared" ref="IP449:IP486" si="229">IF(AND($C449=1, $O449="Mfd Home",NOT($Q449="Yes")),$E449,"")</f>
        <v/>
      </c>
      <c r="IQ449" s="1456" t="str">
        <f t="shared" ref="IQ449:IQ486" si="230">IF(AND($C449=2, $O449="Mfd Home",NOT($Q449="Yes")),$E449,"")</f>
        <v/>
      </c>
      <c r="IR449" s="1456" t="str">
        <f t="shared" ref="IR449:IR486" si="231">IF(AND($C449=3, $O449="Mfd Home",NOT($Q449="Yes")),$E449,"")</f>
        <v/>
      </c>
      <c r="IS449" s="1456" t="str">
        <f t="shared" ref="IS449:IS486" si="232">IF(AND($C449=4, $O449="Mfd Home",NOT($Q449="Yes")),$E449,"")</f>
        <v/>
      </c>
      <c r="IT449" s="1456" t="str">
        <f t="shared" ref="IT449:IT486" si="233">IF(AND($C449="Efficiency", $O449="Mfd Home",$Q449="Yes"),$E449,"")</f>
        <v/>
      </c>
      <c r="IU449" s="1456" t="str">
        <f t="shared" ref="IU449:IU486" si="234">IF(AND($C449=1, $O449="Mfd Home",$Q449="Yes"),$E449,"")</f>
        <v/>
      </c>
      <c r="IV449" s="1456" t="str">
        <f t="shared" ref="IV449:IV486" si="235">IF(AND($C449=2, $O449="Mfd Home",$Q449="Yes"),$E449,"")</f>
        <v/>
      </c>
      <c r="IW449" s="1456" t="str">
        <f t="shared" ref="IW449:IW486" si="236">IF(AND($C449=3, $O449="Mfd Home",$Q449="Yes"),$E449,"")</f>
        <v/>
      </c>
      <c r="IX449" s="1456" t="str">
        <f t="shared" ref="IX449:IX486" si="237">IF(AND($C449=4, $O449="Mfd Home",$Q449="Yes"),$E449,"")</f>
        <v/>
      </c>
      <c r="IY449" s="1456" t="str">
        <f t="shared" ref="IY449:IY486" si="238">IF(AND($C449="Efficiency", $O449="Semi-Detached",NOT($Q449="Yes")),$E449,"")</f>
        <v/>
      </c>
      <c r="IZ449" s="1456" t="str">
        <f t="shared" ref="IZ449:IZ486" si="239">IF(AND($C449=1, $O449="Semi-Detached",NOT($Q449="Yes")),$E449,"")</f>
        <v/>
      </c>
      <c r="JA449" s="1456" t="str">
        <f t="shared" ref="JA449:JA486" si="240">IF(AND($C449=2, $O449="Semi-Detached",NOT($Q449="Yes")),$E449,"")</f>
        <v/>
      </c>
      <c r="JB449" s="1456" t="str">
        <f t="shared" ref="JB449:JB486" si="241">IF(AND($C449=3, $O449="Semi-Detached",NOT($Q449="Yes")),$E449,"")</f>
        <v/>
      </c>
      <c r="JC449" s="1456" t="str">
        <f t="shared" ref="JC449:JC486" si="242">IF(AND($C449=4, $O449="Semi-Detached",NOT($Q449="Yes")),$E449,"")</f>
        <v/>
      </c>
      <c r="JD449" s="1456" t="str">
        <f t="shared" ref="JD449:JD486" si="243">IF(AND($C449="Efficiency", $O449="Semi-Detached",$Q449="Yes"),$E449,"")</f>
        <v/>
      </c>
      <c r="JE449" s="1456" t="str">
        <f t="shared" ref="JE449:JE486" si="244">IF(AND($C449=1, $O449="Semi-Detached",$Q449="Yes"),$E449,"")</f>
        <v/>
      </c>
      <c r="JF449" s="1456" t="str">
        <f t="shared" ref="JF449:JF486" si="245">IF(AND($C449=2, $O449="Semi-Detached",$Q449="Yes"),$E449,"")</f>
        <v/>
      </c>
      <c r="JG449" s="1456" t="str">
        <f t="shared" ref="JG449:JG486" si="246">IF(AND($C449=3, $O449="Semi-Detached",$Q449="Yes"),$E449,"")</f>
        <v/>
      </c>
      <c r="JH449" s="1456" t="str">
        <f t="shared" ref="JH449:JH486" si="247">IF(AND($C449=4, $O449="Semi-Detached",$Q449="Yes"),$E449,"")</f>
        <v/>
      </c>
      <c r="JI449" s="1456" t="str">
        <f t="shared" ref="JI449:JI486" si="248">IF(AND($C449="Efficiency", $O449="Row House/TH",NOT($Q449="Yes")),$E449,"")</f>
        <v/>
      </c>
      <c r="JJ449" s="1456" t="str">
        <f t="shared" ref="JJ449:JJ486" si="249">IF(AND($C449=1, $O449="Row House/TH",NOT($Q449="Yes")),$E449,"")</f>
        <v/>
      </c>
      <c r="JK449" s="1456" t="str">
        <f t="shared" ref="JK449:JK486" si="250">IF(AND($C449=2, $O449="Row House/TH",NOT($Q449="Yes")),$E449,"")</f>
        <v/>
      </c>
      <c r="JL449" s="1456" t="str">
        <f t="shared" ref="JL449:JL486" si="251">IF(AND($C449=3, $O449="Row House/TH",NOT($Q449="Yes")),$E449,"")</f>
        <v/>
      </c>
      <c r="JM449" s="1456" t="str">
        <f t="shared" ref="JM449:JM486" si="252">IF(AND($C449=4, $O449="Row House/TH",NOT($Q449="Yes")),$E449,"")</f>
        <v/>
      </c>
      <c r="JN449" s="1456" t="str">
        <f t="shared" ref="JN449:JN486" si="253">IF(AND($C449="Efficiency", $O449="Row House/TH",$Q449="Yes"),$E449,"")</f>
        <v/>
      </c>
      <c r="JO449" s="1456" t="str">
        <f t="shared" ref="JO449:JO486" si="254">IF(AND($C449=1, $O449="Row House/TH",$Q449="Yes"),$E449,"")</f>
        <v/>
      </c>
      <c r="JP449" s="1456" t="str">
        <f t="shared" ref="JP449:JP486" si="255">IF(AND($C449=2, $O449="Row House/TH",$Q449="Yes"),$E449,"")</f>
        <v/>
      </c>
      <c r="JQ449" s="1456" t="str">
        <f t="shared" ref="JQ449:JQ486" si="256">IF(AND($C449=3, $O449="Row House/TH",$Q449="Yes"),$E449,"")</f>
        <v/>
      </c>
      <c r="JR449" s="1456" t="str">
        <f t="shared" ref="JR449:JR486" si="257">IF(AND($C449=4, $O449="Row House/TH",$Q449="Yes"),$E449,"")</f>
        <v/>
      </c>
      <c r="JS449" s="1456" t="str">
        <f t="shared" ref="JS449:JS486" si="258">IF(AND($C449="Efficiency", $O449="Low-Rise Apt",NOT($Q449="Yes")),$E449,"")</f>
        <v/>
      </c>
      <c r="JT449" s="1456" t="str">
        <f t="shared" ref="JT449:JT486" si="259">IF(AND($C449=1, $O449="Low-Rise Apt",NOT($Q449="Yes")),$E449,"")</f>
        <v/>
      </c>
      <c r="JU449" s="1456" t="str">
        <f t="shared" ref="JU449:JU486" si="260">IF(AND($C449=2, $O449="Low-Rise Apt",NOT($Q449="Yes")),$E449,"")</f>
        <v/>
      </c>
      <c r="JV449" s="1456" t="str">
        <f t="shared" ref="JV449:JV486" si="261">IF(AND($C449=3, $O449="Low-Rise Apt",NOT($Q449="Yes")),$E449,"")</f>
        <v/>
      </c>
      <c r="JW449" s="1456" t="str">
        <f t="shared" ref="JW449:JW486" si="262">IF(AND($C449=4, $O449="Low-Rise Apt",NOT($Q449="Yes")),$E449,"")</f>
        <v/>
      </c>
      <c r="JX449" s="1456" t="str">
        <f t="shared" ref="JX449:JX486" si="263">IF(AND($C449="Efficiency", $O449="Low-Rise Elevator",NOT($Q449="Yes")),$E449,"")</f>
        <v/>
      </c>
      <c r="JY449" s="1456" t="str">
        <f t="shared" ref="JY449:JY486" si="264">IF(AND($C449=1, $O449="Low-Rise Elevator",NOT($Q449="Yes")),$E449,"")</f>
        <v/>
      </c>
      <c r="JZ449" s="1456" t="str">
        <f t="shared" ref="JZ449:JZ486" si="265">IF(AND($C449=2, $O449="Low-Rise Elevator",NOT($Q449="Yes")),$E449,"")</f>
        <v/>
      </c>
      <c r="KA449" s="1456" t="str">
        <f t="shared" ref="KA449:KA486" si="266">IF(AND($C449=3, $O449="Low-Rise Elevator",NOT($Q449="Yes")),$E449,"")</f>
        <v/>
      </c>
      <c r="KB449" s="1456" t="str">
        <f t="shared" ref="KB449:KB486" si="267">IF(AND($C449=4, $O449="Low-Rise Elevator",NOT($Q449="Yes")),$E449,"")</f>
        <v/>
      </c>
      <c r="KC449" s="1456" t="str">
        <f t="shared" ref="KC449:KC486" si="268">IF(AND($C449="Efficiency", $O449="Low-Rise Apt",$Q449="Yes"),$E449,"")</f>
        <v/>
      </c>
      <c r="KD449" s="1456" t="str">
        <f t="shared" ref="KD449:KD486" si="269">IF(AND($C449=1, $O449="Low-Rise Apt",$Q449="Yes"),$E449,"")</f>
        <v/>
      </c>
      <c r="KE449" s="1456" t="str">
        <f t="shared" ref="KE449:KE486" si="270">IF(AND($C449=2, $O449="Low-Rise Apt",$Q449="Yes"),$E449,"")</f>
        <v/>
      </c>
      <c r="KF449" s="1456" t="str">
        <f t="shared" ref="KF449:KF486" si="271">IF(AND($C449=3, $O449="Low-Rise Apt",$Q449="Yes"),$E449,"")</f>
        <v/>
      </c>
      <c r="KG449" s="1456" t="str">
        <f t="shared" ref="KG449:KG486" si="272">IF(AND($C449=4, $O449="Low-Rise Apt",$Q449="Yes"),$E449,"")</f>
        <v/>
      </c>
      <c r="KH449" s="1456" t="str">
        <f t="shared" ref="KH449:KH486" si="273">IF(AND($C449="Efficiency", $O449="Low-Rise Elevator",$Q449="Yes"),$E449,"")</f>
        <v/>
      </c>
      <c r="KI449" s="1456" t="str">
        <f t="shared" ref="KI449:KI486" si="274">IF(AND($C449=1, $O449="Low-Rise Elevator",$Q449="Yes"),$E449,"")</f>
        <v/>
      </c>
      <c r="KJ449" s="1456" t="str">
        <f t="shared" ref="KJ449:KJ486" si="275">IF(AND($C449=2, $O449="Low-Rise Elevator",$Q449="Yes"),$E449,"")</f>
        <v/>
      </c>
      <c r="KK449" s="1456" t="str">
        <f t="shared" ref="KK449:KK486" si="276">IF(AND($C449=3, $O449="Low-Rise Elevator",$Q449="Yes"),$E449,"")</f>
        <v/>
      </c>
      <c r="KL449" s="1456" t="str">
        <f t="shared" ref="KL449:KL486" si="277">IF(AND($C449=4, $O449="Low-Rise Elevator",$Q449="Yes"),$E449,"")</f>
        <v/>
      </c>
      <c r="KM449" s="1456" t="str">
        <f t="shared" ref="KM449:KM486" si="278">IF(AND($C449="Efficiency", $O449="High-Rise Apt",NOT($Q449="Yes")),$E449,"")</f>
        <v/>
      </c>
      <c r="KN449" s="1456" t="str">
        <f t="shared" ref="KN449:KN486" si="279">IF(AND($C449=1, $O449="High-Rise Apt",NOT($Q449="Yes")),$E449,"")</f>
        <v/>
      </c>
      <c r="KO449" s="1456" t="str">
        <f t="shared" ref="KO449:KO486" si="280">IF(AND($C449=2, $O449="High-Rise Apt",NOT($Q449="Yes")),$E449,"")</f>
        <v/>
      </c>
      <c r="KP449" s="1456" t="str">
        <f t="shared" ref="KP449:KP486" si="281">IF(AND($C449=3, $O449="High-Rise Apt",NOT($Q449="Yes")),$E449,"")</f>
        <v/>
      </c>
      <c r="KQ449" s="1456" t="str">
        <f t="shared" ref="KQ449:KQ486" si="282">IF(AND($C449=4, $O449="High-Rise Apt",NOT($Q449="Yes")),$E449,"")</f>
        <v/>
      </c>
      <c r="KR449" s="1456" t="str">
        <f t="shared" ref="KR449:KR486" si="283">IF(AND($C449="Efficiency", $O449="High-Rise Elevator",NOT($Q449="Yes")),$E449,"")</f>
        <v/>
      </c>
      <c r="KS449" s="1456" t="str">
        <f t="shared" ref="KS449:KS486" si="284">IF(AND($C449=1, $O449="High-Rise Elevator",NOT($Q449="Yes")),$E449,"")</f>
        <v/>
      </c>
      <c r="KT449" s="1456" t="str">
        <f t="shared" ref="KT449:KT486" si="285">IF(AND($C449=2, $O449="High-Rise Elevator",NOT($Q449="Yes")),$E449,"")</f>
        <v/>
      </c>
      <c r="KU449" s="1456" t="str">
        <f t="shared" ref="KU449:KU486" si="286">IF(AND($C449=3, $O449="High-Rise Elevator",NOT($Q449="Yes")),$E449,"")</f>
        <v/>
      </c>
      <c r="KV449" s="1456" t="str">
        <f t="shared" ref="KV449:KV486" si="287">IF(AND($C449=4, $O449="High-Rise Elevator",NOT($Q449="Yes")),$E449,"")</f>
        <v/>
      </c>
      <c r="KW449" s="1456" t="str">
        <f t="shared" ref="KW449:KW486" si="288">IF(AND($C449="Efficiency", $O449="High-Rise Apt",$Q449="Yes"),$E449,"")</f>
        <v/>
      </c>
      <c r="KX449" s="1456" t="str">
        <f t="shared" ref="KX449:KX486" si="289">IF(AND($C449=1, $O449="High-Rise Apt",$Q449="Yes"),$E449,"")</f>
        <v/>
      </c>
      <c r="KY449" s="1456" t="str">
        <f t="shared" ref="KY449:KY486" si="290">IF(AND($C449=2, $O449="High-Rise Apt",$Q449="Yes"),$E449,"")</f>
        <v/>
      </c>
      <c r="KZ449" s="1456" t="str">
        <f t="shared" ref="KZ449:KZ486" si="291">IF(AND($C449=3, $O449="High-Rise Apt",$Q449="Yes"),$E449,"")</f>
        <v/>
      </c>
      <c r="LA449" s="1456" t="str">
        <f t="shared" ref="LA449:LA486" si="292">IF(AND($C449=4, $O449="High-Rise Apt",$Q449="Yes"),$E449,"")</f>
        <v/>
      </c>
      <c r="LB449" s="1456" t="str">
        <f t="shared" ref="LB449:LB486" si="293">IF(AND($C449="Efficiency", $O449="High-Rise Elevator",$Q449="Yes"),$E449,"")</f>
        <v/>
      </c>
      <c r="LC449" s="1456" t="str">
        <f t="shared" ref="LC449:LC486" si="294">IF(AND($C449=1, $O449="High-Rise Elevator",$Q449="Yes"),$E449,"")</f>
        <v/>
      </c>
      <c r="LD449" s="1456" t="str">
        <f t="shared" ref="LD449:LD486" si="295">IF(AND($C449=2, $O449="High-Rise Elevator",$Q449="Yes"),$E449,"")</f>
        <v/>
      </c>
      <c r="LE449" s="1456" t="str">
        <f t="shared" ref="LE449:LE486" si="296">IF(AND($C449=3, $O449="High-Rise Elevator",$Q449="Yes"),$E449,"")</f>
        <v/>
      </c>
      <c r="LF449" s="1456" t="str">
        <f t="shared" ref="LF449:LF486" si="297">IF(AND($C449=4, $O449="High-Rise Elevator",$Q449="Yes"),$E449,"")</f>
        <v/>
      </c>
      <c r="LG449" s="1446" t="str">
        <f t="shared" ref="LG449:LG486" si="298">IF(AND($B449="NSP 120% AMI",$C449="Efficiency", NOT($N449="Common Space")),$E449,"")</f>
        <v/>
      </c>
      <c r="LH449" s="1446" t="str">
        <f t="shared" ref="LH449:LH486" si="299">IF(AND($B449="NSP 120% AMI",$C449=1,NOT($N449="Common Space")),$E449,"")</f>
        <v/>
      </c>
      <c r="LI449" s="1446" t="str">
        <f t="shared" ref="LI449:LI486" si="300">IF(AND($B449="NSP 120% AMI",$C449=2,NOT($N449="Common Space")),$E449,"")</f>
        <v/>
      </c>
      <c r="LJ449" s="1446" t="str">
        <f t="shared" ref="LJ449:LJ486" si="301">IF(AND($B449="NSP 120% AMI",$C449=3,NOT($N449="Common Space")),$E449,"")</f>
        <v/>
      </c>
      <c r="LK449" s="1446"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318">
        <f t="shared" ref="MF449:MF486" si="323">IF(AND($C449="Efficiency",$E449&gt;0,OR($O449="Low-Rise Apt",$O449="Low-Rise Elevator",$O449="High-Rise Apt",$O449="High-Rise Elevator",$O449="Row House/TH"),OR($P449="Acquisition/Rehab",$P449="Rehabilitation"),NOT($Q449="Yes")),$E449,0)</f>
        <v>0</v>
      </c>
      <c r="MG449" s="1318">
        <f t="shared" ref="MG449:MG486" si="324">IF(AND($C449=1,$E449&gt;0,OR($O449="Low-Rise Apt",$O449="Low-Rise Elevator",$O449="High-Rise Apt",$O449="High-Rise Elevator",$O449="Row House/TH"),OR($P449="Acquisition/Rehab",$P449="Rehabilitation"),NOT($Q449="Yes")),$E449,0)</f>
        <v>0</v>
      </c>
      <c r="MH449" s="1318">
        <f t="shared" ref="MH449:MH486" si="325">IF(AND($C449=2,$E449&gt;0,OR($O449="Low-Rise Apt",$O449="Low-Rise Elevator",$O449="High-Rise Apt",$O449="High-Rise Elevator",$O449="Row House/TH"),OR($P449="Acquisition/Rehab",$P449="Rehabilitation"),NOT($Q449="Yes")),$E449,0)</f>
        <v>0</v>
      </c>
      <c r="MI449" s="1318">
        <f t="shared" ref="MI449:MI486" si="326">IF(AND($C449=3,$E449&gt;0,OR($O449="Low-Rise Apt",$O449="Low-Rise Elevator",$O449="High-Rise Apt",$O449="High-Rise Elevator",$O449="Row House/TH"),OR($P449="Acquisition/Rehab",$P449="Rehabilitation"),NOT($Q449="Yes")),$E449,0)</f>
        <v>0</v>
      </c>
      <c r="MJ449" s="1318">
        <f t="shared" ref="MJ449:MJ486" si="327">IF(AND($C449=4,$E449&gt;0,OR($O449="Low-Rise Apt",$O449="Low-Rise Elevator",$O449="High-Rise Apt",$O449="High-Rise Elevator",$O449="Row House/TH"),OR($P449="Acquisition/Rehab",$P449="Rehabilitation"),NOT($Q449="Yes")),$E449,0)</f>
        <v>0</v>
      </c>
      <c r="MK449" s="1318">
        <f>IF(AND($C449="Efficiency",$E449&gt;0,OR($O449="Low-Rise Apt",$O449="Low-Rise Elevator",$O449="High-Rise Apt",$O449="High-Rise Elevator",$O449="Row House/TH"),$P449="New Construction"),$E449,0)</f>
        <v>0</v>
      </c>
      <c r="ML449" s="1318">
        <f>IF(AND($C449=1,$E449&gt;0,OR($O449="Low-Rise Apt",$O449="Low-Rise Elevator",$O449="High-Rise Apt",$O449="High-Rise Elevator",$O449="Row House/TH"),$P449="New Construction"),$E449,0)</f>
        <v>0</v>
      </c>
      <c r="MM449" s="1318">
        <f>IF(AND($C449=2,$E449&gt;0,OR($O449="Low-Rise Apt",$O449="Low-Rise Elevator",$O449="High-Rise Apt",$O449="High-Rise Elevator",$O449="Row House/TH"),$P449="New Construction"),$E449,0)</f>
        <v>0</v>
      </c>
      <c r="MN449" s="1318">
        <f>IF(AND($C449=3,$E449&gt;0,OR($O449="Low-Rise Apt",$O449="Low-Rise Elevator",$O449="High-Rise Apt",$O449="High-Rise Elevator",$O449="Row House/TH"),$P449="New Construction"),$E449,0)</f>
        <v>0</v>
      </c>
      <c r="MO449" s="1318">
        <f>IF(AND($C449=4,$E449&gt;0,OR($O449="Low-Rise Apt",$O449="Low-Rise Elevator",$O449="High-Rise Apt",$O449="High-Rise Elevator",$O449="Row House/TH"),$P449="New Construction"),$E449,0)</f>
        <v>0</v>
      </c>
      <c r="MP449" s="1318">
        <f t="shared" ref="MP449:MP486" si="328">IF(AND($C449="Efficiency",$E449&gt;0,OR($O449="SF Detached",$O449="Semi-Detached",$O449="Mfd Home"),NOT($Q449="Yes")),$E449,0)</f>
        <v>0</v>
      </c>
      <c r="MQ449" s="1318">
        <f t="shared" ref="MQ449:MQ486" si="329">IF(AND($C449=1,$E449&gt;0,OR($O449="SF Detached",$O449="Semi-Detached",$O449="Mfd Home"),NOT($Q449="Yes")),$E449,0)</f>
        <v>0</v>
      </c>
      <c r="MR449" s="1318">
        <f t="shared" ref="MR449:MR486" si="330">IF(AND($C449=2,$E449&gt;0,OR($O449="SF Detached",$O449="Semi-Detached",$O449="Mfd Home"),NOT($Q449="Yes")),$E449,0)</f>
        <v>0</v>
      </c>
      <c r="MS449" s="1318">
        <f t="shared" ref="MS449:MS486" si="331">IF(AND($C449=3,$E449&gt;0,OR($O449="SF Detached",$O449="Semi-Detached",$O449="Mfd Home"),NOT($Q449="Yes")),$E449,0)</f>
        <v>0</v>
      </c>
      <c r="MT449" s="1318">
        <f t="shared" ref="MT449:MT486" si="332">IF(AND($C449=4,$E449&gt;0,OR($O449="SF Detached",$O449="Semi-Detached",$O449="Mfd Home"),NOT($Q449="Yes")),$E449,0)</f>
        <v>0</v>
      </c>
      <c r="NP449" s="251" t="s">
        <v>1148</v>
      </c>
    </row>
    <row r="450" spans="1:380" ht="13.9" customHeight="1">
      <c r="A450" s="2246" t="str">
        <f t="shared" si="0"/>
        <v/>
      </c>
      <c r="B450" s="2265" t="str">
        <f>'Part V-Revenues &amp; Expenses'!B12</f>
        <v>N/A-CS</v>
      </c>
      <c r="C450" s="2266">
        <f>'Part V-Revenues &amp; Expenses'!C12</f>
        <v>0</v>
      </c>
      <c r="D450" s="2267">
        <f>'Part V-Revenues &amp; Expenses'!D12</f>
        <v>0</v>
      </c>
      <c r="E450" s="2268">
        <f>'Part V-Revenues &amp; Expenses'!E12</f>
        <v>0</v>
      </c>
      <c r="F450" s="2268">
        <f>'Part V-Revenues &amp; Expenses'!F12</f>
        <v>0</v>
      </c>
      <c r="G450" s="2268">
        <f>'Part V-Revenues &amp; Expenses'!G12</f>
        <v>0</v>
      </c>
      <c r="H450" s="2268">
        <f>'Part V-Revenues &amp; Expenses'!H12</f>
        <v>0</v>
      </c>
      <c r="I450" s="2268">
        <f>'Part V-Revenues &amp; Expenses'!I12</f>
        <v>0</v>
      </c>
      <c r="J450" s="2268">
        <f>'Part V-Revenues &amp; Expenses'!J12</f>
        <v>0</v>
      </c>
      <c r="K450" s="2269">
        <f>'Part V-Revenues &amp; Expenses'!K12</f>
        <v>0</v>
      </c>
      <c r="L450" s="2270">
        <f t="shared" si="1"/>
        <v>0</v>
      </c>
      <c r="M450" s="2270">
        <f t="shared" si="2"/>
        <v>0</v>
      </c>
      <c r="N450" s="2139">
        <f>'Part V-Revenues &amp; Expenses'!N12</f>
        <v>0</v>
      </c>
      <c r="O450" s="963">
        <f>'Part V-Revenues &amp; Expenses'!O12</f>
        <v>0</v>
      </c>
      <c r="P450" s="2139">
        <f>'Part V-Revenues &amp; Expenses'!P12</f>
        <v>0</v>
      </c>
      <c r="Q450" s="1455">
        <f>'Part V-Revenues &amp; Expenses'!Q12</f>
        <v>0</v>
      </c>
      <c r="R450" s="2271"/>
      <c r="S450" s="2272"/>
      <c r="T450" s="2273"/>
      <c r="U450" s="2273"/>
      <c r="V450" s="2273"/>
      <c r="W450" s="2273"/>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456" t="str">
        <f t="shared" si="213"/>
        <v/>
      </c>
      <c r="IA450" s="1456" t="str">
        <f t="shared" si="214"/>
        <v/>
      </c>
      <c r="IB450" s="1456" t="str">
        <f t="shared" si="215"/>
        <v/>
      </c>
      <c r="IC450" s="1456" t="str">
        <f t="shared" si="216"/>
        <v/>
      </c>
      <c r="ID450" s="1456" t="str">
        <f t="shared" si="217"/>
        <v/>
      </c>
      <c r="IE450" s="1456" t="str">
        <f t="shared" si="218"/>
        <v/>
      </c>
      <c r="IF450" s="1456" t="str">
        <f t="shared" si="219"/>
        <v/>
      </c>
      <c r="IG450" s="1456" t="str">
        <f t="shared" si="220"/>
        <v/>
      </c>
      <c r="IH450" s="1456" t="str">
        <f t="shared" si="221"/>
        <v/>
      </c>
      <c r="II450" s="1456" t="str">
        <f t="shared" si="222"/>
        <v/>
      </c>
      <c r="IJ450" s="1456" t="str">
        <f t="shared" si="223"/>
        <v/>
      </c>
      <c r="IK450" s="1456" t="str">
        <f t="shared" si="224"/>
        <v/>
      </c>
      <c r="IL450" s="1456" t="str">
        <f t="shared" si="225"/>
        <v/>
      </c>
      <c r="IM450" s="1456" t="str">
        <f t="shared" si="226"/>
        <v/>
      </c>
      <c r="IN450" s="1456" t="str">
        <f t="shared" si="227"/>
        <v/>
      </c>
      <c r="IO450" s="1456" t="str">
        <f t="shared" si="228"/>
        <v/>
      </c>
      <c r="IP450" s="1456" t="str">
        <f t="shared" si="229"/>
        <v/>
      </c>
      <c r="IQ450" s="1456" t="str">
        <f t="shared" si="230"/>
        <v/>
      </c>
      <c r="IR450" s="1456" t="str">
        <f t="shared" si="231"/>
        <v/>
      </c>
      <c r="IS450" s="1456" t="str">
        <f t="shared" si="232"/>
        <v/>
      </c>
      <c r="IT450" s="1456" t="str">
        <f t="shared" si="233"/>
        <v/>
      </c>
      <c r="IU450" s="1456" t="str">
        <f t="shared" si="234"/>
        <v/>
      </c>
      <c r="IV450" s="1456" t="str">
        <f t="shared" si="235"/>
        <v/>
      </c>
      <c r="IW450" s="1456" t="str">
        <f t="shared" si="236"/>
        <v/>
      </c>
      <c r="IX450" s="1456" t="str">
        <f t="shared" si="237"/>
        <v/>
      </c>
      <c r="IY450" s="1456" t="str">
        <f t="shared" si="238"/>
        <v/>
      </c>
      <c r="IZ450" s="1456" t="str">
        <f t="shared" si="239"/>
        <v/>
      </c>
      <c r="JA450" s="1456" t="str">
        <f t="shared" si="240"/>
        <v/>
      </c>
      <c r="JB450" s="1456" t="str">
        <f t="shared" si="241"/>
        <v/>
      </c>
      <c r="JC450" s="1456" t="str">
        <f t="shared" si="242"/>
        <v/>
      </c>
      <c r="JD450" s="1456" t="str">
        <f t="shared" si="243"/>
        <v/>
      </c>
      <c r="JE450" s="1456" t="str">
        <f t="shared" si="244"/>
        <v/>
      </c>
      <c r="JF450" s="1456" t="str">
        <f t="shared" si="245"/>
        <v/>
      </c>
      <c r="JG450" s="1456" t="str">
        <f t="shared" si="246"/>
        <v/>
      </c>
      <c r="JH450" s="1456" t="str">
        <f t="shared" si="247"/>
        <v/>
      </c>
      <c r="JI450" s="1456" t="str">
        <f t="shared" si="248"/>
        <v/>
      </c>
      <c r="JJ450" s="1456" t="str">
        <f t="shared" si="249"/>
        <v/>
      </c>
      <c r="JK450" s="1456" t="str">
        <f t="shared" si="250"/>
        <v/>
      </c>
      <c r="JL450" s="1456" t="str">
        <f t="shared" si="251"/>
        <v/>
      </c>
      <c r="JM450" s="1456" t="str">
        <f t="shared" si="252"/>
        <v/>
      </c>
      <c r="JN450" s="1456" t="str">
        <f t="shared" si="253"/>
        <v/>
      </c>
      <c r="JO450" s="1456" t="str">
        <f t="shared" si="254"/>
        <v/>
      </c>
      <c r="JP450" s="1456" t="str">
        <f t="shared" si="255"/>
        <v/>
      </c>
      <c r="JQ450" s="1456" t="str">
        <f t="shared" si="256"/>
        <v/>
      </c>
      <c r="JR450" s="1456" t="str">
        <f t="shared" si="257"/>
        <v/>
      </c>
      <c r="JS450" s="1456" t="str">
        <f t="shared" si="258"/>
        <v/>
      </c>
      <c r="JT450" s="1456" t="str">
        <f t="shared" si="259"/>
        <v/>
      </c>
      <c r="JU450" s="1456" t="str">
        <f t="shared" si="260"/>
        <v/>
      </c>
      <c r="JV450" s="1456" t="str">
        <f t="shared" si="261"/>
        <v/>
      </c>
      <c r="JW450" s="1456" t="str">
        <f t="shared" si="262"/>
        <v/>
      </c>
      <c r="JX450" s="1456" t="str">
        <f t="shared" si="263"/>
        <v/>
      </c>
      <c r="JY450" s="1456" t="str">
        <f t="shared" si="264"/>
        <v/>
      </c>
      <c r="JZ450" s="1456" t="str">
        <f t="shared" si="265"/>
        <v/>
      </c>
      <c r="KA450" s="1456" t="str">
        <f t="shared" si="266"/>
        <v/>
      </c>
      <c r="KB450" s="1456" t="str">
        <f t="shared" si="267"/>
        <v/>
      </c>
      <c r="KC450" s="1456" t="str">
        <f t="shared" si="268"/>
        <v/>
      </c>
      <c r="KD450" s="1456" t="str">
        <f t="shared" si="269"/>
        <v/>
      </c>
      <c r="KE450" s="1456" t="str">
        <f t="shared" si="270"/>
        <v/>
      </c>
      <c r="KF450" s="1456" t="str">
        <f t="shared" si="271"/>
        <v/>
      </c>
      <c r="KG450" s="1456" t="str">
        <f t="shared" si="272"/>
        <v/>
      </c>
      <c r="KH450" s="1456" t="str">
        <f t="shared" si="273"/>
        <v/>
      </c>
      <c r="KI450" s="1456" t="str">
        <f t="shared" si="274"/>
        <v/>
      </c>
      <c r="KJ450" s="1456" t="str">
        <f t="shared" si="275"/>
        <v/>
      </c>
      <c r="KK450" s="1456" t="str">
        <f t="shared" si="276"/>
        <v/>
      </c>
      <c r="KL450" s="1456" t="str">
        <f t="shared" si="277"/>
        <v/>
      </c>
      <c r="KM450" s="1456" t="str">
        <f t="shared" si="278"/>
        <v/>
      </c>
      <c r="KN450" s="1456" t="str">
        <f t="shared" si="279"/>
        <v/>
      </c>
      <c r="KO450" s="1456" t="str">
        <f t="shared" si="280"/>
        <v/>
      </c>
      <c r="KP450" s="1456" t="str">
        <f t="shared" si="281"/>
        <v/>
      </c>
      <c r="KQ450" s="1456" t="str">
        <f t="shared" si="282"/>
        <v/>
      </c>
      <c r="KR450" s="1456" t="str">
        <f t="shared" si="283"/>
        <v/>
      </c>
      <c r="KS450" s="1456" t="str">
        <f t="shared" si="284"/>
        <v/>
      </c>
      <c r="KT450" s="1456" t="str">
        <f t="shared" si="285"/>
        <v/>
      </c>
      <c r="KU450" s="1456" t="str">
        <f t="shared" si="286"/>
        <v/>
      </c>
      <c r="KV450" s="1456" t="str">
        <f t="shared" si="287"/>
        <v/>
      </c>
      <c r="KW450" s="1456" t="str">
        <f t="shared" si="288"/>
        <v/>
      </c>
      <c r="KX450" s="1456" t="str">
        <f t="shared" si="289"/>
        <v/>
      </c>
      <c r="KY450" s="1456" t="str">
        <f t="shared" si="290"/>
        <v/>
      </c>
      <c r="KZ450" s="1456" t="str">
        <f t="shared" si="291"/>
        <v/>
      </c>
      <c r="LA450" s="1456" t="str">
        <f t="shared" si="292"/>
        <v/>
      </c>
      <c r="LB450" s="1456" t="str">
        <f t="shared" si="293"/>
        <v/>
      </c>
      <c r="LC450" s="1456" t="str">
        <f t="shared" si="294"/>
        <v/>
      </c>
      <c r="LD450" s="1456" t="str">
        <f t="shared" si="295"/>
        <v/>
      </c>
      <c r="LE450" s="1456" t="str">
        <f t="shared" si="296"/>
        <v/>
      </c>
      <c r="LF450" s="1456" t="str">
        <f t="shared" si="297"/>
        <v/>
      </c>
      <c r="LG450" s="1446" t="str">
        <f t="shared" si="298"/>
        <v/>
      </c>
      <c r="LH450" s="1446" t="str">
        <f t="shared" si="299"/>
        <v/>
      </c>
      <c r="LI450" s="1446" t="str">
        <f t="shared" si="300"/>
        <v/>
      </c>
      <c r="LJ450" s="1446" t="str">
        <f t="shared" si="301"/>
        <v/>
      </c>
      <c r="LK450" s="1446"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318">
        <f t="shared" si="323"/>
        <v>0</v>
      </c>
      <c r="MG450" s="1318">
        <f t="shared" si="324"/>
        <v>0</v>
      </c>
      <c r="MH450" s="1318">
        <f t="shared" si="325"/>
        <v>0</v>
      </c>
      <c r="MI450" s="1318">
        <f t="shared" si="326"/>
        <v>0</v>
      </c>
      <c r="MJ450" s="1318">
        <f t="shared" si="327"/>
        <v>0</v>
      </c>
      <c r="MK450" s="1318">
        <f t="shared" ref="MK450:MK486" si="333">IF(AND($C450="Efficiency",$E450&gt;0,OR($O450="Low-Rise Apt",$O450="Low-Rise Elevator",$O450="High-Rise Apt",$O450="High-Rise Elevator",$O450="Row House/TH"),$P450="New Construction"),$E450,0)</f>
        <v>0</v>
      </c>
      <c r="ML450" s="1318">
        <f t="shared" ref="ML450:ML486" si="334">IF(AND($C450=1,$E450&gt;0,OR($O450="Low-Rise Apt",$O450="Low-Rise Elevator",$O450="High-Rise Apt",$O450="High-Rise Elevator",$O450="Row House/TH"),$P450="New Construction"),$E450,0)</f>
        <v>0</v>
      </c>
      <c r="MM450" s="1318">
        <f t="shared" ref="MM450:MM486" si="335">IF(AND($C450=2,$E450&gt;0,OR($O450="Low-Rise Apt",$O450="Low-Rise Elevator",$O450="High-Rise Apt",$O450="High-Rise Elevator",$O450="Row House/TH"),$P450="New Construction"),$E450,0)</f>
        <v>0</v>
      </c>
      <c r="MN450" s="1318">
        <f t="shared" ref="MN450:MN486" si="336">IF(AND($C450=3,$E450&gt;0,OR($O450="Low-Rise Apt",$O450="Low-Rise Elevator",$O450="High-Rise Apt",$O450="High-Rise Elevator",$O450="Row House/TH"),$P450="New Construction"),$E450,0)</f>
        <v>0</v>
      </c>
      <c r="MO450" s="1318">
        <f t="shared" ref="MO450:MO486" si="337">IF(AND($C450=4,$E450&gt;0,OR($O450="Low-Rise Apt",$O450="Low-Rise Elevator",$O450="High-Rise Apt",$O450="High-Rise Elevator",$O450="Row House/TH"),$P450="New Construction"),$E450,0)</f>
        <v>0</v>
      </c>
      <c r="MP450" s="1318">
        <f t="shared" si="328"/>
        <v>0</v>
      </c>
      <c r="MQ450" s="1318">
        <f t="shared" si="329"/>
        <v>0</v>
      </c>
      <c r="MR450" s="1318">
        <f t="shared" si="330"/>
        <v>0</v>
      </c>
      <c r="MS450" s="1318">
        <f t="shared" si="331"/>
        <v>0</v>
      </c>
      <c r="MT450" s="1318">
        <f t="shared" si="332"/>
        <v>0</v>
      </c>
      <c r="NP450" s="251" t="s">
        <v>1149</v>
      </c>
    </row>
    <row r="451" spans="1:380" ht="13.9" customHeight="1">
      <c r="A451" s="2246" t="str">
        <f t="shared" si="0"/>
        <v/>
      </c>
      <c r="B451" s="2265" t="str">
        <f>'Part V-Revenues &amp; Expenses'!B13</f>
        <v>Unrestricted</v>
      </c>
      <c r="C451" s="2266">
        <f>'Part V-Revenues &amp; Expenses'!C13</f>
        <v>0</v>
      </c>
      <c r="D451" s="2267">
        <f>'Part V-Revenues &amp; Expenses'!D13</f>
        <v>0</v>
      </c>
      <c r="E451" s="2268">
        <f>'Part V-Revenues &amp; Expenses'!E13</f>
        <v>0</v>
      </c>
      <c r="F451" s="2268">
        <f>'Part V-Revenues &amp; Expenses'!F13</f>
        <v>0</v>
      </c>
      <c r="G451" s="2268">
        <f>'Part V-Revenues &amp; Expenses'!G13</f>
        <v>0</v>
      </c>
      <c r="H451" s="2268">
        <f>'Part V-Revenues &amp; Expenses'!H13</f>
        <v>0</v>
      </c>
      <c r="I451" s="2268">
        <f>'Part V-Revenues &amp; Expenses'!I13</f>
        <v>0</v>
      </c>
      <c r="J451" s="2268">
        <f>'Part V-Revenues &amp; Expenses'!J13</f>
        <v>0</v>
      </c>
      <c r="K451" s="2269">
        <f>'Part V-Revenues &amp; Expenses'!K13</f>
        <v>0</v>
      </c>
      <c r="L451" s="2270">
        <f t="shared" si="1"/>
        <v>0</v>
      </c>
      <c r="M451" s="2270">
        <f t="shared" si="2"/>
        <v>0</v>
      </c>
      <c r="N451" s="2139">
        <f>'Part V-Revenues &amp; Expenses'!N13</f>
        <v>0</v>
      </c>
      <c r="O451" s="963">
        <f>'Part V-Revenues &amp; Expenses'!O13</f>
        <v>0</v>
      </c>
      <c r="P451" s="2139">
        <f>'Part V-Revenues &amp; Expenses'!P13</f>
        <v>0</v>
      </c>
      <c r="Q451" s="1455">
        <f>'Part V-Revenues &amp; Expenses'!Q13</f>
        <v>0</v>
      </c>
      <c r="R451" s="2271"/>
      <c r="S451" s="2272"/>
      <c r="T451" s="2273"/>
      <c r="U451" s="2273"/>
      <c r="V451" s="2273"/>
      <c r="W451" s="2273"/>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t="str">
        <f t="shared" si="39"/>
        <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t="str">
        <f t="shared" si="154"/>
        <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t="str">
        <f t="shared" si="174"/>
        <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456" t="str">
        <f t="shared" si="213"/>
        <v/>
      </c>
      <c r="IA451" s="1456" t="str">
        <f t="shared" si="214"/>
        <v/>
      </c>
      <c r="IB451" s="1456" t="str">
        <f t="shared" si="215"/>
        <v/>
      </c>
      <c r="IC451" s="1456" t="str">
        <f t="shared" si="216"/>
        <v/>
      </c>
      <c r="ID451" s="1456" t="str">
        <f t="shared" si="217"/>
        <v/>
      </c>
      <c r="IE451" s="1456" t="str">
        <f t="shared" si="218"/>
        <v/>
      </c>
      <c r="IF451" s="1456" t="str">
        <f t="shared" si="219"/>
        <v/>
      </c>
      <c r="IG451" s="1456" t="str">
        <f t="shared" si="220"/>
        <v/>
      </c>
      <c r="IH451" s="1456" t="str">
        <f t="shared" si="221"/>
        <v/>
      </c>
      <c r="II451" s="1456" t="str">
        <f t="shared" si="222"/>
        <v/>
      </c>
      <c r="IJ451" s="1456" t="str">
        <f t="shared" si="223"/>
        <v/>
      </c>
      <c r="IK451" s="1456" t="str">
        <f t="shared" si="224"/>
        <v/>
      </c>
      <c r="IL451" s="1456" t="str">
        <f t="shared" si="225"/>
        <v/>
      </c>
      <c r="IM451" s="1456" t="str">
        <f t="shared" si="226"/>
        <v/>
      </c>
      <c r="IN451" s="1456" t="str">
        <f t="shared" si="227"/>
        <v/>
      </c>
      <c r="IO451" s="1456" t="str">
        <f t="shared" si="228"/>
        <v/>
      </c>
      <c r="IP451" s="1456" t="str">
        <f t="shared" si="229"/>
        <v/>
      </c>
      <c r="IQ451" s="1456" t="str">
        <f t="shared" si="230"/>
        <v/>
      </c>
      <c r="IR451" s="1456" t="str">
        <f t="shared" si="231"/>
        <v/>
      </c>
      <c r="IS451" s="1456" t="str">
        <f t="shared" si="232"/>
        <v/>
      </c>
      <c r="IT451" s="1456" t="str">
        <f t="shared" si="233"/>
        <v/>
      </c>
      <c r="IU451" s="1456" t="str">
        <f t="shared" si="234"/>
        <v/>
      </c>
      <c r="IV451" s="1456" t="str">
        <f t="shared" si="235"/>
        <v/>
      </c>
      <c r="IW451" s="1456" t="str">
        <f t="shared" si="236"/>
        <v/>
      </c>
      <c r="IX451" s="1456" t="str">
        <f t="shared" si="237"/>
        <v/>
      </c>
      <c r="IY451" s="1456" t="str">
        <f t="shared" si="238"/>
        <v/>
      </c>
      <c r="IZ451" s="1456" t="str">
        <f t="shared" si="239"/>
        <v/>
      </c>
      <c r="JA451" s="1456" t="str">
        <f t="shared" si="240"/>
        <v/>
      </c>
      <c r="JB451" s="1456" t="str">
        <f t="shared" si="241"/>
        <v/>
      </c>
      <c r="JC451" s="1456" t="str">
        <f t="shared" si="242"/>
        <v/>
      </c>
      <c r="JD451" s="1456" t="str">
        <f t="shared" si="243"/>
        <v/>
      </c>
      <c r="JE451" s="1456" t="str">
        <f t="shared" si="244"/>
        <v/>
      </c>
      <c r="JF451" s="1456" t="str">
        <f t="shared" si="245"/>
        <v/>
      </c>
      <c r="JG451" s="1456" t="str">
        <f t="shared" si="246"/>
        <v/>
      </c>
      <c r="JH451" s="1456" t="str">
        <f t="shared" si="247"/>
        <v/>
      </c>
      <c r="JI451" s="1456" t="str">
        <f t="shared" si="248"/>
        <v/>
      </c>
      <c r="JJ451" s="1456" t="str">
        <f t="shared" si="249"/>
        <v/>
      </c>
      <c r="JK451" s="1456" t="str">
        <f t="shared" si="250"/>
        <v/>
      </c>
      <c r="JL451" s="1456" t="str">
        <f t="shared" si="251"/>
        <v/>
      </c>
      <c r="JM451" s="1456" t="str">
        <f t="shared" si="252"/>
        <v/>
      </c>
      <c r="JN451" s="1456" t="str">
        <f t="shared" si="253"/>
        <v/>
      </c>
      <c r="JO451" s="1456" t="str">
        <f t="shared" si="254"/>
        <v/>
      </c>
      <c r="JP451" s="1456" t="str">
        <f t="shared" si="255"/>
        <v/>
      </c>
      <c r="JQ451" s="1456" t="str">
        <f t="shared" si="256"/>
        <v/>
      </c>
      <c r="JR451" s="1456" t="str">
        <f t="shared" si="257"/>
        <v/>
      </c>
      <c r="JS451" s="1456" t="str">
        <f t="shared" si="258"/>
        <v/>
      </c>
      <c r="JT451" s="1456" t="str">
        <f t="shared" si="259"/>
        <v/>
      </c>
      <c r="JU451" s="1456" t="str">
        <f t="shared" si="260"/>
        <v/>
      </c>
      <c r="JV451" s="1456" t="str">
        <f t="shared" si="261"/>
        <v/>
      </c>
      <c r="JW451" s="1456" t="str">
        <f t="shared" si="262"/>
        <v/>
      </c>
      <c r="JX451" s="1456" t="str">
        <f t="shared" si="263"/>
        <v/>
      </c>
      <c r="JY451" s="1456" t="str">
        <f t="shared" si="264"/>
        <v/>
      </c>
      <c r="JZ451" s="1456" t="str">
        <f t="shared" si="265"/>
        <v/>
      </c>
      <c r="KA451" s="1456" t="str">
        <f t="shared" si="266"/>
        <v/>
      </c>
      <c r="KB451" s="1456" t="str">
        <f t="shared" si="267"/>
        <v/>
      </c>
      <c r="KC451" s="1456" t="str">
        <f t="shared" si="268"/>
        <v/>
      </c>
      <c r="KD451" s="1456" t="str">
        <f t="shared" si="269"/>
        <v/>
      </c>
      <c r="KE451" s="1456" t="str">
        <f t="shared" si="270"/>
        <v/>
      </c>
      <c r="KF451" s="1456" t="str">
        <f t="shared" si="271"/>
        <v/>
      </c>
      <c r="KG451" s="1456" t="str">
        <f t="shared" si="272"/>
        <v/>
      </c>
      <c r="KH451" s="1456" t="str">
        <f t="shared" si="273"/>
        <v/>
      </c>
      <c r="KI451" s="1456" t="str">
        <f t="shared" si="274"/>
        <v/>
      </c>
      <c r="KJ451" s="1456" t="str">
        <f t="shared" si="275"/>
        <v/>
      </c>
      <c r="KK451" s="1456" t="str">
        <f t="shared" si="276"/>
        <v/>
      </c>
      <c r="KL451" s="1456" t="str">
        <f t="shared" si="277"/>
        <v/>
      </c>
      <c r="KM451" s="1456" t="str">
        <f t="shared" si="278"/>
        <v/>
      </c>
      <c r="KN451" s="1456" t="str">
        <f t="shared" si="279"/>
        <v/>
      </c>
      <c r="KO451" s="1456" t="str">
        <f t="shared" si="280"/>
        <v/>
      </c>
      <c r="KP451" s="1456" t="str">
        <f t="shared" si="281"/>
        <v/>
      </c>
      <c r="KQ451" s="1456" t="str">
        <f t="shared" si="282"/>
        <v/>
      </c>
      <c r="KR451" s="1456" t="str">
        <f t="shared" si="283"/>
        <v/>
      </c>
      <c r="KS451" s="1456" t="str">
        <f t="shared" si="284"/>
        <v/>
      </c>
      <c r="KT451" s="1456" t="str">
        <f t="shared" si="285"/>
        <v/>
      </c>
      <c r="KU451" s="1456" t="str">
        <f t="shared" si="286"/>
        <v/>
      </c>
      <c r="KV451" s="1456" t="str">
        <f t="shared" si="287"/>
        <v/>
      </c>
      <c r="KW451" s="1456" t="str">
        <f t="shared" si="288"/>
        <v/>
      </c>
      <c r="KX451" s="1456" t="str">
        <f t="shared" si="289"/>
        <v/>
      </c>
      <c r="KY451" s="1456" t="str">
        <f t="shared" si="290"/>
        <v/>
      </c>
      <c r="KZ451" s="1456" t="str">
        <f t="shared" si="291"/>
        <v/>
      </c>
      <c r="LA451" s="1456" t="str">
        <f t="shared" si="292"/>
        <v/>
      </c>
      <c r="LB451" s="1456" t="str">
        <f t="shared" si="293"/>
        <v/>
      </c>
      <c r="LC451" s="1456" t="str">
        <f t="shared" si="294"/>
        <v/>
      </c>
      <c r="LD451" s="1456" t="str">
        <f t="shared" si="295"/>
        <v/>
      </c>
      <c r="LE451" s="1456" t="str">
        <f t="shared" si="296"/>
        <v/>
      </c>
      <c r="LF451" s="1456" t="str">
        <f t="shared" si="297"/>
        <v/>
      </c>
      <c r="LG451" s="1446" t="str">
        <f t="shared" si="298"/>
        <v/>
      </c>
      <c r="LH451" s="1446" t="str">
        <f t="shared" si="299"/>
        <v/>
      </c>
      <c r="LI451" s="1446" t="str">
        <f t="shared" si="300"/>
        <v/>
      </c>
      <c r="LJ451" s="1446" t="str">
        <f t="shared" si="301"/>
        <v/>
      </c>
      <c r="LK451" s="1446"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318">
        <f t="shared" si="323"/>
        <v>0</v>
      </c>
      <c r="MG451" s="1318">
        <f t="shared" si="324"/>
        <v>0</v>
      </c>
      <c r="MH451" s="1318">
        <f t="shared" si="325"/>
        <v>0</v>
      </c>
      <c r="MI451" s="1318">
        <f t="shared" si="326"/>
        <v>0</v>
      </c>
      <c r="MJ451" s="1318">
        <f t="shared" si="327"/>
        <v>0</v>
      </c>
      <c r="MK451" s="1318">
        <f t="shared" si="333"/>
        <v>0</v>
      </c>
      <c r="ML451" s="1318">
        <f t="shared" si="334"/>
        <v>0</v>
      </c>
      <c r="MM451" s="1318">
        <f t="shared" si="335"/>
        <v>0</v>
      </c>
      <c r="MN451" s="1318">
        <f t="shared" si="336"/>
        <v>0</v>
      </c>
      <c r="MO451" s="1318">
        <f t="shared" si="337"/>
        <v>0</v>
      </c>
      <c r="MP451" s="1318">
        <f t="shared" si="328"/>
        <v>0</v>
      </c>
      <c r="MQ451" s="1318">
        <f t="shared" si="329"/>
        <v>0</v>
      </c>
      <c r="MR451" s="1318">
        <f t="shared" si="330"/>
        <v>0</v>
      </c>
      <c r="MS451" s="1318">
        <f t="shared" si="331"/>
        <v>0</v>
      </c>
      <c r="MT451" s="1318">
        <f t="shared" si="332"/>
        <v>0</v>
      </c>
      <c r="NP451" s="251" t="s">
        <v>1151</v>
      </c>
    </row>
    <row r="452" spans="1:380" ht="13.9" customHeight="1">
      <c r="A452" s="2246" t="str">
        <f t="shared" si="0"/>
        <v/>
      </c>
      <c r="B452" s="2265" t="str">
        <f>'Part V-Revenues &amp; Expenses'!B14</f>
        <v>Unrestricted</v>
      </c>
      <c r="C452" s="2266">
        <f>'Part V-Revenues &amp; Expenses'!C14</f>
        <v>0</v>
      </c>
      <c r="D452" s="2267">
        <f>'Part V-Revenues &amp; Expenses'!D14</f>
        <v>0</v>
      </c>
      <c r="E452" s="2268">
        <f>'Part V-Revenues &amp; Expenses'!E14</f>
        <v>0</v>
      </c>
      <c r="F452" s="2268">
        <f>'Part V-Revenues &amp; Expenses'!F14</f>
        <v>0</v>
      </c>
      <c r="G452" s="2268">
        <f>'Part V-Revenues &amp; Expenses'!G14</f>
        <v>0</v>
      </c>
      <c r="H452" s="2268">
        <f>'Part V-Revenues &amp; Expenses'!H14</f>
        <v>0</v>
      </c>
      <c r="I452" s="2268">
        <f>'Part V-Revenues &amp; Expenses'!I14</f>
        <v>0</v>
      </c>
      <c r="J452" s="2268">
        <f>'Part V-Revenues &amp; Expenses'!J14</f>
        <v>0</v>
      </c>
      <c r="K452" s="2269">
        <f>'Part V-Revenues &amp; Expenses'!K14</f>
        <v>0</v>
      </c>
      <c r="L452" s="2270">
        <f t="shared" si="1"/>
        <v>0</v>
      </c>
      <c r="M452" s="2270">
        <f t="shared" si="2"/>
        <v>0</v>
      </c>
      <c r="N452" s="2139">
        <f>'Part V-Revenues &amp; Expenses'!N14</f>
        <v>0</v>
      </c>
      <c r="O452" s="963">
        <f>'Part V-Revenues &amp; Expenses'!O14</f>
        <v>0</v>
      </c>
      <c r="P452" s="2139">
        <f>'Part V-Revenues &amp; Expenses'!P14</f>
        <v>0</v>
      </c>
      <c r="Q452" s="1455">
        <f>'Part V-Revenues &amp; Expenses'!Q14</f>
        <v>0</v>
      </c>
      <c r="R452" s="2271"/>
      <c r="S452" s="2272"/>
      <c r="T452" s="2273"/>
      <c r="U452" s="2273"/>
      <c r="V452" s="2273"/>
      <c r="W452" s="2273"/>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t="str">
        <f t="shared" si="40"/>
        <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t="str">
        <f t="shared" si="155"/>
        <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t="str">
        <f t="shared" si="175"/>
        <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456" t="str">
        <f t="shared" si="213"/>
        <v/>
      </c>
      <c r="IA452" s="1456" t="str">
        <f t="shared" si="214"/>
        <v/>
      </c>
      <c r="IB452" s="1456" t="str">
        <f t="shared" si="215"/>
        <v/>
      </c>
      <c r="IC452" s="1456" t="str">
        <f t="shared" si="216"/>
        <v/>
      </c>
      <c r="ID452" s="1456" t="str">
        <f t="shared" si="217"/>
        <v/>
      </c>
      <c r="IE452" s="1456" t="str">
        <f t="shared" si="218"/>
        <v/>
      </c>
      <c r="IF452" s="1456" t="str">
        <f t="shared" si="219"/>
        <v/>
      </c>
      <c r="IG452" s="1456" t="str">
        <f t="shared" si="220"/>
        <v/>
      </c>
      <c r="IH452" s="1456" t="str">
        <f t="shared" si="221"/>
        <v/>
      </c>
      <c r="II452" s="1456" t="str">
        <f t="shared" si="222"/>
        <v/>
      </c>
      <c r="IJ452" s="1456" t="str">
        <f t="shared" si="223"/>
        <v/>
      </c>
      <c r="IK452" s="1456" t="str">
        <f t="shared" si="224"/>
        <v/>
      </c>
      <c r="IL452" s="1456" t="str">
        <f t="shared" si="225"/>
        <v/>
      </c>
      <c r="IM452" s="1456" t="str">
        <f t="shared" si="226"/>
        <v/>
      </c>
      <c r="IN452" s="1456" t="str">
        <f t="shared" si="227"/>
        <v/>
      </c>
      <c r="IO452" s="1456" t="str">
        <f t="shared" si="228"/>
        <v/>
      </c>
      <c r="IP452" s="1456" t="str">
        <f t="shared" si="229"/>
        <v/>
      </c>
      <c r="IQ452" s="1456" t="str">
        <f t="shared" si="230"/>
        <v/>
      </c>
      <c r="IR452" s="1456" t="str">
        <f t="shared" si="231"/>
        <v/>
      </c>
      <c r="IS452" s="1456" t="str">
        <f t="shared" si="232"/>
        <v/>
      </c>
      <c r="IT452" s="1456" t="str">
        <f t="shared" si="233"/>
        <v/>
      </c>
      <c r="IU452" s="1456" t="str">
        <f t="shared" si="234"/>
        <v/>
      </c>
      <c r="IV452" s="1456" t="str">
        <f t="shared" si="235"/>
        <v/>
      </c>
      <c r="IW452" s="1456" t="str">
        <f t="shared" si="236"/>
        <v/>
      </c>
      <c r="IX452" s="1456" t="str">
        <f t="shared" si="237"/>
        <v/>
      </c>
      <c r="IY452" s="1456" t="str">
        <f t="shared" si="238"/>
        <v/>
      </c>
      <c r="IZ452" s="1456" t="str">
        <f t="shared" si="239"/>
        <v/>
      </c>
      <c r="JA452" s="1456" t="str">
        <f t="shared" si="240"/>
        <v/>
      </c>
      <c r="JB452" s="1456" t="str">
        <f t="shared" si="241"/>
        <v/>
      </c>
      <c r="JC452" s="1456" t="str">
        <f t="shared" si="242"/>
        <v/>
      </c>
      <c r="JD452" s="1456" t="str">
        <f t="shared" si="243"/>
        <v/>
      </c>
      <c r="JE452" s="1456" t="str">
        <f t="shared" si="244"/>
        <v/>
      </c>
      <c r="JF452" s="1456" t="str">
        <f t="shared" si="245"/>
        <v/>
      </c>
      <c r="JG452" s="1456" t="str">
        <f t="shared" si="246"/>
        <v/>
      </c>
      <c r="JH452" s="1456" t="str">
        <f t="shared" si="247"/>
        <v/>
      </c>
      <c r="JI452" s="1456" t="str">
        <f t="shared" si="248"/>
        <v/>
      </c>
      <c r="JJ452" s="1456" t="str">
        <f t="shared" si="249"/>
        <v/>
      </c>
      <c r="JK452" s="1456" t="str">
        <f t="shared" si="250"/>
        <v/>
      </c>
      <c r="JL452" s="1456" t="str">
        <f t="shared" si="251"/>
        <v/>
      </c>
      <c r="JM452" s="1456" t="str">
        <f t="shared" si="252"/>
        <v/>
      </c>
      <c r="JN452" s="1456" t="str">
        <f t="shared" si="253"/>
        <v/>
      </c>
      <c r="JO452" s="1456" t="str">
        <f t="shared" si="254"/>
        <v/>
      </c>
      <c r="JP452" s="1456" t="str">
        <f t="shared" si="255"/>
        <v/>
      </c>
      <c r="JQ452" s="1456" t="str">
        <f t="shared" si="256"/>
        <v/>
      </c>
      <c r="JR452" s="1456" t="str">
        <f t="shared" si="257"/>
        <v/>
      </c>
      <c r="JS452" s="1456" t="str">
        <f t="shared" si="258"/>
        <v/>
      </c>
      <c r="JT452" s="1456" t="str">
        <f t="shared" si="259"/>
        <v/>
      </c>
      <c r="JU452" s="1456" t="str">
        <f t="shared" si="260"/>
        <v/>
      </c>
      <c r="JV452" s="1456" t="str">
        <f t="shared" si="261"/>
        <v/>
      </c>
      <c r="JW452" s="1456" t="str">
        <f t="shared" si="262"/>
        <v/>
      </c>
      <c r="JX452" s="1456" t="str">
        <f t="shared" si="263"/>
        <v/>
      </c>
      <c r="JY452" s="1456" t="str">
        <f t="shared" si="264"/>
        <v/>
      </c>
      <c r="JZ452" s="1456" t="str">
        <f t="shared" si="265"/>
        <v/>
      </c>
      <c r="KA452" s="1456" t="str">
        <f t="shared" si="266"/>
        <v/>
      </c>
      <c r="KB452" s="1456" t="str">
        <f t="shared" si="267"/>
        <v/>
      </c>
      <c r="KC452" s="1456" t="str">
        <f t="shared" si="268"/>
        <v/>
      </c>
      <c r="KD452" s="1456" t="str">
        <f t="shared" si="269"/>
        <v/>
      </c>
      <c r="KE452" s="1456" t="str">
        <f t="shared" si="270"/>
        <v/>
      </c>
      <c r="KF452" s="1456" t="str">
        <f t="shared" si="271"/>
        <v/>
      </c>
      <c r="KG452" s="1456" t="str">
        <f t="shared" si="272"/>
        <v/>
      </c>
      <c r="KH452" s="1456" t="str">
        <f t="shared" si="273"/>
        <v/>
      </c>
      <c r="KI452" s="1456" t="str">
        <f t="shared" si="274"/>
        <v/>
      </c>
      <c r="KJ452" s="1456" t="str">
        <f t="shared" si="275"/>
        <v/>
      </c>
      <c r="KK452" s="1456" t="str">
        <f t="shared" si="276"/>
        <v/>
      </c>
      <c r="KL452" s="1456" t="str">
        <f t="shared" si="277"/>
        <v/>
      </c>
      <c r="KM452" s="1456" t="str">
        <f t="shared" si="278"/>
        <v/>
      </c>
      <c r="KN452" s="1456" t="str">
        <f t="shared" si="279"/>
        <v/>
      </c>
      <c r="KO452" s="1456" t="str">
        <f t="shared" si="280"/>
        <v/>
      </c>
      <c r="KP452" s="1456" t="str">
        <f t="shared" si="281"/>
        <v/>
      </c>
      <c r="KQ452" s="1456" t="str">
        <f t="shared" si="282"/>
        <v/>
      </c>
      <c r="KR452" s="1456" t="str">
        <f t="shared" si="283"/>
        <v/>
      </c>
      <c r="KS452" s="1456" t="str">
        <f t="shared" si="284"/>
        <v/>
      </c>
      <c r="KT452" s="1456" t="str">
        <f t="shared" si="285"/>
        <v/>
      </c>
      <c r="KU452" s="1456" t="str">
        <f t="shared" si="286"/>
        <v/>
      </c>
      <c r="KV452" s="1456" t="str">
        <f t="shared" si="287"/>
        <v/>
      </c>
      <c r="KW452" s="1456" t="str">
        <f t="shared" si="288"/>
        <v/>
      </c>
      <c r="KX452" s="1456" t="str">
        <f t="shared" si="289"/>
        <v/>
      </c>
      <c r="KY452" s="1456" t="str">
        <f t="shared" si="290"/>
        <v/>
      </c>
      <c r="KZ452" s="1456" t="str">
        <f t="shared" si="291"/>
        <v/>
      </c>
      <c r="LA452" s="1456" t="str">
        <f t="shared" si="292"/>
        <v/>
      </c>
      <c r="LB452" s="1456" t="str">
        <f t="shared" si="293"/>
        <v/>
      </c>
      <c r="LC452" s="1456" t="str">
        <f t="shared" si="294"/>
        <v/>
      </c>
      <c r="LD452" s="1456" t="str">
        <f t="shared" si="295"/>
        <v/>
      </c>
      <c r="LE452" s="1456" t="str">
        <f t="shared" si="296"/>
        <v/>
      </c>
      <c r="LF452" s="1456" t="str">
        <f t="shared" si="297"/>
        <v/>
      </c>
      <c r="LG452" s="1446" t="str">
        <f t="shared" si="298"/>
        <v/>
      </c>
      <c r="LH452" s="1446" t="str">
        <f t="shared" si="299"/>
        <v/>
      </c>
      <c r="LI452" s="1446" t="str">
        <f t="shared" si="300"/>
        <v/>
      </c>
      <c r="LJ452" s="1446" t="str">
        <f t="shared" si="301"/>
        <v/>
      </c>
      <c r="LK452" s="1446"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318">
        <f t="shared" si="323"/>
        <v>0</v>
      </c>
      <c r="MG452" s="1318">
        <f t="shared" si="324"/>
        <v>0</v>
      </c>
      <c r="MH452" s="1318">
        <f t="shared" si="325"/>
        <v>0</v>
      </c>
      <c r="MI452" s="1318">
        <f t="shared" si="326"/>
        <v>0</v>
      </c>
      <c r="MJ452" s="1318">
        <f t="shared" si="327"/>
        <v>0</v>
      </c>
      <c r="MK452" s="1318">
        <f t="shared" si="333"/>
        <v>0</v>
      </c>
      <c r="ML452" s="1318">
        <f t="shared" si="334"/>
        <v>0</v>
      </c>
      <c r="MM452" s="1318">
        <f t="shared" si="335"/>
        <v>0</v>
      </c>
      <c r="MN452" s="1318">
        <f t="shared" si="336"/>
        <v>0</v>
      </c>
      <c r="MO452" s="1318">
        <f t="shared" si="337"/>
        <v>0</v>
      </c>
      <c r="MP452" s="1318">
        <f t="shared" si="328"/>
        <v>0</v>
      </c>
      <c r="MQ452" s="1318">
        <f t="shared" si="329"/>
        <v>0</v>
      </c>
      <c r="MR452" s="1318">
        <f t="shared" si="330"/>
        <v>0</v>
      </c>
      <c r="MS452" s="1318">
        <f t="shared" si="331"/>
        <v>0</v>
      </c>
      <c r="MT452" s="1318">
        <f t="shared" si="332"/>
        <v>0</v>
      </c>
      <c r="NP452" s="251" t="s">
        <v>1152</v>
      </c>
    </row>
    <row r="453" spans="1:380" ht="13.9" customHeight="1">
      <c r="A453" s="2246" t="str">
        <f t="shared" si="0"/>
        <v/>
      </c>
      <c r="B453" s="2265" t="str">
        <f>'Part V-Revenues &amp; Expenses'!B15</f>
        <v>Unrestricted</v>
      </c>
      <c r="C453" s="2266">
        <f>'Part V-Revenues &amp; Expenses'!C15</f>
        <v>0</v>
      </c>
      <c r="D453" s="2267">
        <f>'Part V-Revenues &amp; Expenses'!D15</f>
        <v>0</v>
      </c>
      <c r="E453" s="2268">
        <f>'Part V-Revenues &amp; Expenses'!E15</f>
        <v>0</v>
      </c>
      <c r="F453" s="2268">
        <f>'Part V-Revenues &amp; Expenses'!F15</f>
        <v>0</v>
      </c>
      <c r="G453" s="2268">
        <f>'Part V-Revenues &amp; Expenses'!G15</f>
        <v>0</v>
      </c>
      <c r="H453" s="2268">
        <f>'Part V-Revenues &amp; Expenses'!H15</f>
        <v>0</v>
      </c>
      <c r="I453" s="2268">
        <f>'Part V-Revenues &amp; Expenses'!I15</f>
        <v>0</v>
      </c>
      <c r="J453" s="2268">
        <f>'Part V-Revenues &amp; Expenses'!J15</f>
        <v>0</v>
      </c>
      <c r="K453" s="2269">
        <f>'Part V-Revenues &amp; Expenses'!K15</f>
        <v>0</v>
      </c>
      <c r="L453" s="2270">
        <f t="shared" si="1"/>
        <v>0</v>
      </c>
      <c r="M453" s="2270">
        <f t="shared" si="2"/>
        <v>0</v>
      </c>
      <c r="N453" s="2139">
        <f>'Part V-Revenues &amp; Expenses'!N15</f>
        <v>0</v>
      </c>
      <c r="O453" s="963">
        <f>'Part V-Revenues &amp; Expenses'!O15</f>
        <v>0</v>
      </c>
      <c r="P453" s="2139">
        <f>'Part V-Revenues &amp; Expenses'!P15</f>
        <v>0</v>
      </c>
      <c r="Q453" s="1455">
        <f>'Part V-Revenues &amp; Expenses'!Q15</f>
        <v>0</v>
      </c>
      <c r="R453" s="2271"/>
      <c r="S453" s="2272"/>
      <c r="T453" s="2273"/>
      <c r="U453" s="2273"/>
      <c r="V453" s="2273"/>
      <c r="W453" s="2273"/>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t="str">
        <f t="shared" si="41"/>
        <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t="str">
        <f t="shared" si="156"/>
        <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t="str">
        <f t="shared" si="176"/>
        <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456" t="str">
        <f t="shared" si="213"/>
        <v/>
      </c>
      <c r="IA453" s="1456" t="str">
        <f t="shared" si="214"/>
        <v/>
      </c>
      <c r="IB453" s="1456" t="str">
        <f t="shared" si="215"/>
        <v/>
      </c>
      <c r="IC453" s="1456" t="str">
        <f t="shared" si="216"/>
        <v/>
      </c>
      <c r="ID453" s="1456" t="str">
        <f t="shared" si="217"/>
        <v/>
      </c>
      <c r="IE453" s="1456" t="str">
        <f t="shared" si="218"/>
        <v/>
      </c>
      <c r="IF453" s="1456" t="str">
        <f t="shared" si="219"/>
        <v/>
      </c>
      <c r="IG453" s="1456" t="str">
        <f t="shared" si="220"/>
        <v/>
      </c>
      <c r="IH453" s="1456" t="str">
        <f t="shared" si="221"/>
        <v/>
      </c>
      <c r="II453" s="1456" t="str">
        <f t="shared" si="222"/>
        <v/>
      </c>
      <c r="IJ453" s="1456" t="str">
        <f t="shared" si="223"/>
        <v/>
      </c>
      <c r="IK453" s="1456" t="str">
        <f t="shared" si="224"/>
        <v/>
      </c>
      <c r="IL453" s="1456" t="str">
        <f t="shared" si="225"/>
        <v/>
      </c>
      <c r="IM453" s="1456" t="str">
        <f t="shared" si="226"/>
        <v/>
      </c>
      <c r="IN453" s="1456" t="str">
        <f t="shared" si="227"/>
        <v/>
      </c>
      <c r="IO453" s="1456" t="str">
        <f t="shared" si="228"/>
        <v/>
      </c>
      <c r="IP453" s="1456" t="str">
        <f t="shared" si="229"/>
        <v/>
      </c>
      <c r="IQ453" s="1456" t="str">
        <f t="shared" si="230"/>
        <v/>
      </c>
      <c r="IR453" s="1456" t="str">
        <f t="shared" si="231"/>
        <v/>
      </c>
      <c r="IS453" s="1456" t="str">
        <f t="shared" si="232"/>
        <v/>
      </c>
      <c r="IT453" s="1456" t="str">
        <f t="shared" si="233"/>
        <v/>
      </c>
      <c r="IU453" s="1456" t="str">
        <f t="shared" si="234"/>
        <v/>
      </c>
      <c r="IV453" s="1456" t="str">
        <f t="shared" si="235"/>
        <v/>
      </c>
      <c r="IW453" s="1456" t="str">
        <f t="shared" si="236"/>
        <v/>
      </c>
      <c r="IX453" s="1456" t="str">
        <f t="shared" si="237"/>
        <v/>
      </c>
      <c r="IY453" s="1456" t="str">
        <f t="shared" si="238"/>
        <v/>
      </c>
      <c r="IZ453" s="1456" t="str">
        <f t="shared" si="239"/>
        <v/>
      </c>
      <c r="JA453" s="1456" t="str">
        <f t="shared" si="240"/>
        <v/>
      </c>
      <c r="JB453" s="1456" t="str">
        <f t="shared" si="241"/>
        <v/>
      </c>
      <c r="JC453" s="1456" t="str">
        <f t="shared" si="242"/>
        <v/>
      </c>
      <c r="JD453" s="1456" t="str">
        <f t="shared" si="243"/>
        <v/>
      </c>
      <c r="JE453" s="1456" t="str">
        <f t="shared" si="244"/>
        <v/>
      </c>
      <c r="JF453" s="1456" t="str">
        <f t="shared" si="245"/>
        <v/>
      </c>
      <c r="JG453" s="1456" t="str">
        <f t="shared" si="246"/>
        <v/>
      </c>
      <c r="JH453" s="1456" t="str">
        <f t="shared" si="247"/>
        <v/>
      </c>
      <c r="JI453" s="1456" t="str">
        <f t="shared" si="248"/>
        <v/>
      </c>
      <c r="JJ453" s="1456" t="str">
        <f t="shared" si="249"/>
        <v/>
      </c>
      <c r="JK453" s="1456" t="str">
        <f t="shared" si="250"/>
        <v/>
      </c>
      <c r="JL453" s="1456" t="str">
        <f t="shared" si="251"/>
        <v/>
      </c>
      <c r="JM453" s="1456" t="str">
        <f t="shared" si="252"/>
        <v/>
      </c>
      <c r="JN453" s="1456" t="str">
        <f t="shared" si="253"/>
        <v/>
      </c>
      <c r="JO453" s="1456" t="str">
        <f t="shared" si="254"/>
        <v/>
      </c>
      <c r="JP453" s="1456" t="str">
        <f t="shared" si="255"/>
        <v/>
      </c>
      <c r="JQ453" s="1456" t="str">
        <f t="shared" si="256"/>
        <v/>
      </c>
      <c r="JR453" s="1456" t="str">
        <f t="shared" si="257"/>
        <v/>
      </c>
      <c r="JS453" s="1456" t="str">
        <f t="shared" si="258"/>
        <v/>
      </c>
      <c r="JT453" s="1456" t="str">
        <f t="shared" si="259"/>
        <v/>
      </c>
      <c r="JU453" s="1456" t="str">
        <f t="shared" si="260"/>
        <v/>
      </c>
      <c r="JV453" s="1456" t="str">
        <f t="shared" si="261"/>
        <v/>
      </c>
      <c r="JW453" s="1456" t="str">
        <f t="shared" si="262"/>
        <v/>
      </c>
      <c r="JX453" s="1456" t="str">
        <f t="shared" si="263"/>
        <v/>
      </c>
      <c r="JY453" s="1456" t="str">
        <f t="shared" si="264"/>
        <v/>
      </c>
      <c r="JZ453" s="1456" t="str">
        <f t="shared" si="265"/>
        <v/>
      </c>
      <c r="KA453" s="1456" t="str">
        <f t="shared" si="266"/>
        <v/>
      </c>
      <c r="KB453" s="1456" t="str">
        <f t="shared" si="267"/>
        <v/>
      </c>
      <c r="KC453" s="1456" t="str">
        <f t="shared" si="268"/>
        <v/>
      </c>
      <c r="KD453" s="1456" t="str">
        <f t="shared" si="269"/>
        <v/>
      </c>
      <c r="KE453" s="1456" t="str">
        <f t="shared" si="270"/>
        <v/>
      </c>
      <c r="KF453" s="1456" t="str">
        <f t="shared" si="271"/>
        <v/>
      </c>
      <c r="KG453" s="1456" t="str">
        <f t="shared" si="272"/>
        <v/>
      </c>
      <c r="KH453" s="1456" t="str">
        <f t="shared" si="273"/>
        <v/>
      </c>
      <c r="KI453" s="1456" t="str">
        <f t="shared" si="274"/>
        <v/>
      </c>
      <c r="KJ453" s="1456" t="str">
        <f t="shared" si="275"/>
        <v/>
      </c>
      <c r="KK453" s="1456" t="str">
        <f t="shared" si="276"/>
        <v/>
      </c>
      <c r="KL453" s="1456" t="str">
        <f t="shared" si="277"/>
        <v/>
      </c>
      <c r="KM453" s="1456" t="str">
        <f t="shared" si="278"/>
        <v/>
      </c>
      <c r="KN453" s="1456" t="str">
        <f t="shared" si="279"/>
        <v/>
      </c>
      <c r="KO453" s="1456" t="str">
        <f t="shared" si="280"/>
        <v/>
      </c>
      <c r="KP453" s="1456" t="str">
        <f t="shared" si="281"/>
        <v/>
      </c>
      <c r="KQ453" s="1456" t="str">
        <f t="shared" si="282"/>
        <v/>
      </c>
      <c r="KR453" s="1456" t="str">
        <f t="shared" si="283"/>
        <v/>
      </c>
      <c r="KS453" s="1456" t="str">
        <f t="shared" si="284"/>
        <v/>
      </c>
      <c r="KT453" s="1456" t="str">
        <f t="shared" si="285"/>
        <v/>
      </c>
      <c r="KU453" s="1456" t="str">
        <f t="shared" si="286"/>
        <v/>
      </c>
      <c r="KV453" s="1456" t="str">
        <f t="shared" si="287"/>
        <v/>
      </c>
      <c r="KW453" s="1456" t="str">
        <f t="shared" si="288"/>
        <v/>
      </c>
      <c r="KX453" s="1456" t="str">
        <f t="shared" si="289"/>
        <v/>
      </c>
      <c r="KY453" s="1456" t="str">
        <f t="shared" si="290"/>
        <v/>
      </c>
      <c r="KZ453" s="1456" t="str">
        <f t="shared" si="291"/>
        <v/>
      </c>
      <c r="LA453" s="1456" t="str">
        <f t="shared" si="292"/>
        <v/>
      </c>
      <c r="LB453" s="1456" t="str">
        <f t="shared" si="293"/>
        <v/>
      </c>
      <c r="LC453" s="1456" t="str">
        <f t="shared" si="294"/>
        <v/>
      </c>
      <c r="LD453" s="1456" t="str">
        <f t="shared" si="295"/>
        <v/>
      </c>
      <c r="LE453" s="1456" t="str">
        <f t="shared" si="296"/>
        <v/>
      </c>
      <c r="LF453" s="1456" t="str">
        <f t="shared" si="297"/>
        <v/>
      </c>
      <c r="LG453" s="1446" t="str">
        <f t="shared" si="298"/>
        <v/>
      </c>
      <c r="LH453" s="1446" t="str">
        <f t="shared" si="299"/>
        <v/>
      </c>
      <c r="LI453" s="1446" t="str">
        <f t="shared" si="300"/>
        <v/>
      </c>
      <c r="LJ453" s="1446" t="str">
        <f t="shared" si="301"/>
        <v/>
      </c>
      <c r="LK453" s="1446"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318">
        <f t="shared" si="323"/>
        <v>0</v>
      </c>
      <c r="MG453" s="1318">
        <f t="shared" si="324"/>
        <v>0</v>
      </c>
      <c r="MH453" s="1318">
        <f t="shared" si="325"/>
        <v>0</v>
      </c>
      <c r="MI453" s="1318">
        <f t="shared" si="326"/>
        <v>0</v>
      </c>
      <c r="MJ453" s="1318">
        <f t="shared" si="327"/>
        <v>0</v>
      </c>
      <c r="MK453" s="1318">
        <f t="shared" si="333"/>
        <v>0</v>
      </c>
      <c r="ML453" s="1318">
        <f t="shared" si="334"/>
        <v>0</v>
      </c>
      <c r="MM453" s="1318">
        <f t="shared" si="335"/>
        <v>0</v>
      </c>
      <c r="MN453" s="1318">
        <f t="shared" si="336"/>
        <v>0</v>
      </c>
      <c r="MO453" s="1318">
        <f t="shared" si="337"/>
        <v>0</v>
      </c>
      <c r="MP453" s="1318">
        <f t="shared" si="328"/>
        <v>0</v>
      </c>
      <c r="MQ453" s="1318">
        <f t="shared" si="329"/>
        <v>0</v>
      </c>
      <c r="MR453" s="1318">
        <f t="shared" si="330"/>
        <v>0</v>
      </c>
      <c r="MS453" s="1318">
        <f t="shared" si="331"/>
        <v>0</v>
      </c>
      <c r="MT453" s="1318">
        <f t="shared" si="332"/>
        <v>0</v>
      </c>
      <c r="NP453" s="251" t="s">
        <v>1153</v>
      </c>
    </row>
    <row r="454" spans="1:380" ht="13.9" customHeight="1">
      <c r="A454" s="2246" t="str">
        <f t="shared" si="0"/>
        <v/>
      </c>
      <c r="B454" s="2265" t="str">
        <f>'Part V-Revenues &amp; Expenses'!B16</f>
        <v>Unrestricted</v>
      </c>
      <c r="C454" s="2266">
        <f>'Part V-Revenues &amp; Expenses'!C16</f>
        <v>1</v>
      </c>
      <c r="D454" s="2267">
        <f>'Part V-Revenues &amp; Expenses'!D16</f>
        <v>1</v>
      </c>
      <c r="E454" s="2268">
        <f>'Part V-Revenues &amp; Expenses'!E16</f>
        <v>4</v>
      </c>
      <c r="F454" s="2268">
        <f>'Part V-Revenues &amp; Expenses'!F16</f>
        <v>653</v>
      </c>
      <c r="G454" s="2268" t="str">
        <f>'Part V-Revenues &amp; Expenses'!G16</f>
        <v>N/A</v>
      </c>
      <c r="H454" s="2268">
        <f>'Part V-Revenues &amp; Expenses'!H16</f>
        <v>1050</v>
      </c>
      <c r="I454" s="2268">
        <f>'Part V-Revenues &amp; Expenses'!I16</f>
        <v>0</v>
      </c>
      <c r="J454" s="2268">
        <f>'Part V-Revenues &amp; Expenses'!J16</f>
        <v>0</v>
      </c>
      <c r="K454" s="2269">
        <f>'Part V-Revenues &amp; Expenses'!K16</f>
        <v>0</v>
      </c>
      <c r="L454" s="2270">
        <f t="shared" si="1"/>
        <v>1050</v>
      </c>
      <c r="M454" s="2270">
        <f t="shared" si="2"/>
        <v>4200</v>
      </c>
      <c r="N454" s="2139" t="str">
        <f>'Part V-Revenues &amp; Expenses'!N16</f>
        <v>No</v>
      </c>
      <c r="O454" s="963" t="str">
        <f>'Part V-Revenues &amp; Expenses'!O16</f>
        <v>Low-Rise Elevator</v>
      </c>
      <c r="P454" s="2139" t="str">
        <f>'Part V-Revenues &amp; Expenses'!P16</f>
        <v>New Construction</v>
      </c>
      <c r="Q454" s="1455" t="str">
        <f>'Part V-Revenues &amp; Expenses'!Q16</f>
        <v>No</v>
      </c>
      <c r="R454" s="2271"/>
      <c r="S454" s="2272"/>
      <c r="T454" s="2273"/>
      <c r="U454" s="2273"/>
      <c r="V454" s="2273"/>
      <c r="W454" s="2273"/>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f t="shared" si="39"/>
        <v>4</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f t="shared" si="154"/>
        <v>2612</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f t="shared" si="174"/>
        <v>4</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456" t="str">
        <f t="shared" si="213"/>
        <v/>
      </c>
      <c r="IA454" s="1456">
        <f t="shared" si="214"/>
        <v>4</v>
      </c>
      <c r="IB454" s="1456" t="str">
        <f t="shared" si="215"/>
        <v/>
      </c>
      <c r="IC454" s="1456" t="str">
        <f t="shared" si="216"/>
        <v/>
      </c>
      <c r="ID454" s="1456" t="str">
        <f t="shared" si="217"/>
        <v/>
      </c>
      <c r="IE454" s="1456" t="str">
        <f t="shared" si="218"/>
        <v/>
      </c>
      <c r="IF454" s="1456" t="str">
        <f t="shared" si="219"/>
        <v/>
      </c>
      <c r="IG454" s="1456" t="str">
        <f t="shared" si="220"/>
        <v/>
      </c>
      <c r="IH454" s="1456" t="str">
        <f t="shared" si="221"/>
        <v/>
      </c>
      <c r="II454" s="1456" t="str">
        <f t="shared" si="222"/>
        <v/>
      </c>
      <c r="IJ454" s="1456" t="str">
        <f t="shared" si="223"/>
        <v/>
      </c>
      <c r="IK454" s="1456" t="str">
        <f t="shared" si="224"/>
        <v/>
      </c>
      <c r="IL454" s="1456" t="str">
        <f t="shared" si="225"/>
        <v/>
      </c>
      <c r="IM454" s="1456" t="str">
        <f t="shared" si="226"/>
        <v/>
      </c>
      <c r="IN454" s="1456" t="str">
        <f t="shared" si="227"/>
        <v/>
      </c>
      <c r="IO454" s="1456" t="str">
        <f t="shared" si="228"/>
        <v/>
      </c>
      <c r="IP454" s="1456" t="str">
        <f t="shared" si="229"/>
        <v/>
      </c>
      <c r="IQ454" s="1456" t="str">
        <f t="shared" si="230"/>
        <v/>
      </c>
      <c r="IR454" s="1456" t="str">
        <f t="shared" si="231"/>
        <v/>
      </c>
      <c r="IS454" s="1456" t="str">
        <f t="shared" si="232"/>
        <v/>
      </c>
      <c r="IT454" s="1456" t="str">
        <f t="shared" si="233"/>
        <v/>
      </c>
      <c r="IU454" s="1456" t="str">
        <f t="shared" si="234"/>
        <v/>
      </c>
      <c r="IV454" s="1456" t="str">
        <f t="shared" si="235"/>
        <v/>
      </c>
      <c r="IW454" s="1456" t="str">
        <f t="shared" si="236"/>
        <v/>
      </c>
      <c r="IX454" s="1456" t="str">
        <f t="shared" si="237"/>
        <v/>
      </c>
      <c r="IY454" s="1456" t="str">
        <f t="shared" si="238"/>
        <v/>
      </c>
      <c r="IZ454" s="1456" t="str">
        <f t="shared" si="239"/>
        <v/>
      </c>
      <c r="JA454" s="1456" t="str">
        <f t="shared" si="240"/>
        <v/>
      </c>
      <c r="JB454" s="1456" t="str">
        <f t="shared" si="241"/>
        <v/>
      </c>
      <c r="JC454" s="1456" t="str">
        <f t="shared" si="242"/>
        <v/>
      </c>
      <c r="JD454" s="1456" t="str">
        <f t="shared" si="243"/>
        <v/>
      </c>
      <c r="JE454" s="1456" t="str">
        <f t="shared" si="244"/>
        <v/>
      </c>
      <c r="JF454" s="1456" t="str">
        <f t="shared" si="245"/>
        <v/>
      </c>
      <c r="JG454" s="1456" t="str">
        <f t="shared" si="246"/>
        <v/>
      </c>
      <c r="JH454" s="1456" t="str">
        <f t="shared" si="247"/>
        <v/>
      </c>
      <c r="JI454" s="1456" t="str">
        <f t="shared" si="248"/>
        <v/>
      </c>
      <c r="JJ454" s="1456" t="str">
        <f t="shared" si="249"/>
        <v/>
      </c>
      <c r="JK454" s="1456" t="str">
        <f t="shared" si="250"/>
        <v/>
      </c>
      <c r="JL454" s="1456" t="str">
        <f t="shared" si="251"/>
        <v/>
      </c>
      <c r="JM454" s="1456" t="str">
        <f t="shared" si="252"/>
        <v/>
      </c>
      <c r="JN454" s="1456" t="str">
        <f t="shared" si="253"/>
        <v/>
      </c>
      <c r="JO454" s="1456" t="str">
        <f t="shared" si="254"/>
        <v/>
      </c>
      <c r="JP454" s="1456" t="str">
        <f t="shared" si="255"/>
        <v/>
      </c>
      <c r="JQ454" s="1456" t="str">
        <f t="shared" si="256"/>
        <v/>
      </c>
      <c r="JR454" s="1456" t="str">
        <f t="shared" si="257"/>
        <v/>
      </c>
      <c r="JS454" s="1456" t="str">
        <f t="shared" si="258"/>
        <v/>
      </c>
      <c r="JT454" s="1456" t="str">
        <f t="shared" si="259"/>
        <v/>
      </c>
      <c r="JU454" s="1456" t="str">
        <f t="shared" si="260"/>
        <v/>
      </c>
      <c r="JV454" s="1456" t="str">
        <f t="shared" si="261"/>
        <v/>
      </c>
      <c r="JW454" s="1456" t="str">
        <f t="shared" si="262"/>
        <v/>
      </c>
      <c r="JX454" s="1456" t="str">
        <f t="shared" si="263"/>
        <v/>
      </c>
      <c r="JY454" s="1456">
        <f t="shared" si="264"/>
        <v>4</v>
      </c>
      <c r="JZ454" s="1456" t="str">
        <f t="shared" si="265"/>
        <v/>
      </c>
      <c r="KA454" s="1456" t="str">
        <f t="shared" si="266"/>
        <v/>
      </c>
      <c r="KB454" s="1456" t="str">
        <f t="shared" si="267"/>
        <v/>
      </c>
      <c r="KC454" s="1456" t="str">
        <f t="shared" si="268"/>
        <v/>
      </c>
      <c r="KD454" s="1456" t="str">
        <f t="shared" si="269"/>
        <v/>
      </c>
      <c r="KE454" s="1456" t="str">
        <f t="shared" si="270"/>
        <v/>
      </c>
      <c r="KF454" s="1456" t="str">
        <f t="shared" si="271"/>
        <v/>
      </c>
      <c r="KG454" s="1456" t="str">
        <f t="shared" si="272"/>
        <v/>
      </c>
      <c r="KH454" s="1456" t="str">
        <f t="shared" si="273"/>
        <v/>
      </c>
      <c r="KI454" s="1456" t="str">
        <f t="shared" si="274"/>
        <v/>
      </c>
      <c r="KJ454" s="1456" t="str">
        <f t="shared" si="275"/>
        <v/>
      </c>
      <c r="KK454" s="1456" t="str">
        <f t="shared" si="276"/>
        <v/>
      </c>
      <c r="KL454" s="1456" t="str">
        <f t="shared" si="277"/>
        <v/>
      </c>
      <c r="KM454" s="1456" t="str">
        <f t="shared" si="278"/>
        <v/>
      </c>
      <c r="KN454" s="1456" t="str">
        <f t="shared" si="279"/>
        <v/>
      </c>
      <c r="KO454" s="1456" t="str">
        <f t="shared" si="280"/>
        <v/>
      </c>
      <c r="KP454" s="1456" t="str">
        <f t="shared" si="281"/>
        <v/>
      </c>
      <c r="KQ454" s="1456" t="str">
        <f t="shared" si="282"/>
        <v/>
      </c>
      <c r="KR454" s="1456" t="str">
        <f t="shared" si="283"/>
        <v/>
      </c>
      <c r="KS454" s="1456" t="str">
        <f t="shared" si="284"/>
        <v/>
      </c>
      <c r="KT454" s="1456" t="str">
        <f t="shared" si="285"/>
        <v/>
      </c>
      <c r="KU454" s="1456" t="str">
        <f t="shared" si="286"/>
        <v/>
      </c>
      <c r="KV454" s="1456" t="str">
        <f t="shared" si="287"/>
        <v/>
      </c>
      <c r="KW454" s="1456" t="str">
        <f t="shared" si="288"/>
        <v/>
      </c>
      <c r="KX454" s="1456" t="str">
        <f t="shared" si="289"/>
        <v/>
      </c>
      <c r="KY454" s="1456" t="str">
        <f t="shared" si="290"/>
        <v/>
      </c>
      <c r="KZ454" s="1456" t="str">
        <f t="shared" si="291"/>
        <v/>
      </c>
      <c r="LA454" s="1456" t="str">
        <f t="shared" si="292"/>
        <v/>
      </c>
      <c r="LB454" s="1456" t="str">
        <f t="shared" si="293"/>
        <v/>
      </c>
      <c r="LC454" s="1456" t="str">
        <f t="shared" si="294"/>
        <v/>
      </c>
      <c r="LD454" s="1456" t="str">
        <f t="shared" si="295"/>
        <v/>
      </c>
      <c r="LE454" s="1456" t="str">
        <f t="shared" si="296"/>
        <v/>
      </c>
      <c r="LF454" s="1456" t="str">
        <f t="shared" si="297"/>
        <v/>
      </c>
      <c r="LG454" s="1446" t="str">
        <f t="shared" si="298"/>
        <v/>
      </c>
      <c r="LH454" s="1446" t="str">
        <f t="shared" si="299"/>
        <v/>
      </c>
      <c r="LI454" s="1446" t="str">
        <f t="shared" si="300"/>
        <v/>
      </c>
      <c r="LJ454" s="1446" t="str">
        <f t="shared" si="301"/>
        <v/>
      </c>
      <c r="LK454" s="1446"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318">
        <f t="shared" si="323"/>
        <v>0</v>
      </c>
      <c r="MG454" s="1318">
        <f t="shared" si="324"/>
        <v>0</v>
      </c>
      <c r="MH454" s="1318">
        <f t="shared" si="325"/>
        <v>0</v>
      </c>
      <c r="MI454" s="1318">
        <f t="shared" si="326"/>
        <v>0</v>
      </c>
      <c r="MJ454" s="1318">
        <f t="shared" si="327"/>
        <v>0</v>
      </c>
      <c r="MK454" s="1318">
        <f t="shared" si="333"/>
        <v>0</v>
      </c>
      <c r="ML454" s="1318">
        <f t="shared" si="334"/>
        <v>4</v>
      </c>
      <c r="MM454" s="1318">
        <f t="shared" si="335"/>
        <v>0</v>
      </c>
      <c r="MN454" s="1318">
        <f t="shared" si="336"/>
        <v>0</v>
      </c>
      <c r="MO454" s="1318">
        <f t="shared" si="337"/>
        <v>0</v>
      </c>
      <c r="MP454" s="1318">
        <f t="shared" si="328"/>
        <v>0</v>
      </c>
      <c r="MQ454" s="1318">
        <f t="shared" si="329"/>
        <v>0</v>
      </c>
      <c r="MR454" s="1318">
        <f t="shared" si="330"/>
        <v>0</v>
      </c>
      <c r="MS454" s="1318">
        <f t="shared" si="331"/>
        <v>0</v>
      </c>
      <c r="MT454" s="1318">
        <f t="shared" si="332"/>
        <v>0</v>
      </c>
      <c r="NP454" s="251" t="s">
        <v>1156</v>
      </c>
    </row>
    <row r="455" spans="1:380" ht="13.9" customHeight="1">
      <c r="A455" s="2246" t="str">
        <f t="shared" si="0"/>
        <v/>
      </c>
      <c r="B455" s="2265" t="str">
        <f>'Part V-Revenues &amp; Expenses'!B17</f>
        <v>Unrestricted</v>
      </c>
      <c r="C455" s="2266">
        <f>'Part V-Revenues &amp; Expenses'!C17</f>
        <v>2</v>
      </c>
      <c r="D455" s="2267">
        <f>'Part V-Revenues &amp; Expenses'!D17</f>
        <v>2</v>
      </c>
      <c r="E455" s="2268">
        <f>'Part V-Revenues &amp; Expenses'!E17</f>
        <v>2</v>
      </c>
      <c r="F455" s="2268">
        <f>'Part V-Revenues &amp; Expenses'!F17</f>
        <v>963</v>
      </c>
      <c r="G455" s="2268" t="str">
        <f>'Part V-Revenues &amp; Expenses'!G17</f>
        <v>N/A</v>
      </c>
      <c r="H455" s="2268">
        <f>'Part V-Revenues &amp; Expenses'!H17</f>
        <v>1250</v>
      </c>
      <c r="I455" s="2268">
        <f>'Part V-Revenues &amp; Expenses'!I17</f>
        <v>0</v>
      </c>
      <c r="J455" s="2268">
        <f>'Part V-Revenues &amp; Expenses'!J17</f>
        <v>0</v>
      </c>
      <c r="K455" s="2269">
        <f>'Part V-Revenues &amp; Expenses'!K17</f>
        <v>0</v>
      </c>
      <c r="L455" s="2270">
        <f t="shared" si="1"/>
        <v>1250</v>
      </c>
      <c r="M455" s="2270">
        <f t="shared" si="2"/>
        <v>2500</v>
      </c>
      <c r="N455" s="2139" t="str">
        <f>'Part V-Revenues &amp; Expenses'!N17</f>
        <v>No</v>
      </c>
      <c r="O455" s="963" t="str">
        <f>'Part V-Revenues &amp; Expenses'!O17</f>
        <v>Low-Rise Elevator</v>
      </c>
      <c r="P455" s="2139" t="str">
        <f>'Part V-Revenues &amp; Expenses'!P17</f>
        <v>New Construction</v>
      </c>
      <c r="Q455" s="1455" t="str">
        <f>'Part V-Revenues &amp; Expenses'!Q17</f>
        <v>No</v>
      </c>
      <c r="R455" s="2271"/>
      <c r="S455" s="2272"/>
      <c r="T455" s="2273"/>
      <c r="U455" s="2273"/>
      <c r="V455" s="2273"/>
      <c r="W455" s="2273"/>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f t="shared" si="40"/>
        <v>2</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f t="shared" si="155"/>
        <v>1926</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f t="shared" si="175"/>
        <v>2</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456" t="str">
        <f t="shared" si="213"/>
        <v/>
      </c>
      <c r="IA455" s="1456" t="str">
        <f t="shared" si="214"/>
        <v/>
      </c>
      <c r="IB455" s="1456">
        <f t="shared" si="215"/>
        <v>2</v>
      </c>
      <c r="IC455" s="1456" t="str">
        <f t="shared" si="216"/>
        <v/>
      </c>
      <c r="ID455" s="1456" t="str">
        <f t="shared" si="217"/>
        <v/>
      </c>
      <c r="IE455" s="1456" t="str">
        <f t="shared" si="218"/>
        <v/>
      </c>
      <c r="IF455" s="1456" t="str">
        <f t="shared" si="219"/>
        <v/>
      </c>
      <c r="IG455" s="1456" t="str">
        <f t="shared" si="220"/>
        <v/>
      </c>
      <c r="IH455" s="1456" t="str">
        <f t="shared" si="221"/>
        <v/>
      </c>
      <c r="II455" s="1456" t="str">
        <f t="shared" si="222"/>
        <v/>
      </c>
      <c r="IJ455" s="1456" t="str">
        <f t="shared" si="223"/>
        <v/>
      </c>
      <c r="IK455" s="1456" t="str">
        <f t="shared" si="224"/>
        <v/>
      </c>
      <c r="IL455" s="1456" t="str">
        <f t="shared" si="225"/>
        <v/>
      </c>
      <c r="IM455" s="1456" t="str">
        <f t="shared" si="226"/>
        <v/>
      </c>
      <c r="IN455" s="1456" t="str">
        <f t="shared" si="227"/>
        <v/>
      </c>
      <c r="IO455" s="1456" t="str">
        <f t="shared" si="228"/>
        <v/>
      </c>
      <c r="IP455" s="1456" t="str">
        <f t="shared" si="229"/>
        <v/>
      </c>
      <c r="IQ455" s="1456" t="str">
        <f t="shared" si="230"/>
        <v/>
      </c>
      <c r="IR455" s="1456" t="str">
        <f t="shared" si="231"/>
        <v/>
      </c>
      <c r="IS455" s="1456" t="str">
        <f t="shared" si="232"/>
        <v/>
      </c>
      <c r="IT455" s="1456" t="str">
        <f t="shared" si="233"/>
        <v/>
      </c>
      <c r="IU455" s="1456" t="str">
        <f t="shared" si="234"/>
        <v/>
      </c>
      <c r="IV455" s="1456" t="str">
        <f t="shared" si="235"/>
        <v/>
      </c>
      <c r="IW455" s="1456" t="str">
        <f t="shared" si="236"/>
        <v/>
      </c>
      <c r="IX455" s="1456" t="str">
        <f t="shared" si="237"/>
        <v/>
      </c>
      <c r="IY455" s="1456" t="str">
        <f t="shared" si="238"/>
        <v/>
      </c>
      <c r="IZ455" s="1456" t="str">
        <f t="shared" si="239"/>
        <v/>
      </c>
      <c r="JA455" s="1456" t="str">
        <f t="shared" si="240"/>
        <v/>
      </c>
      <c r="JB455" s="1456" t="str">
        <f t="shared" si="241"/>
        <v/>
      </c>
      <c r="JC455" s="1456" t="str">
        <f t="shared" si="242"/>
        <v/>
      </c>
      <c r="JD455" s="1456" t="str">
        <f t="shared" si="243"/>
        <v/>
      </c>
      <c r="JE455" s="1456" t="str">
        <f t="shared" si="244"/>
        <v/>
      </c>
      <c r="JF455" s="1456" t="str">
        <f t="shared" si="245"/>
        <v/>
      </c>
      <c r="JG455" s="1456" t="str">
        <f t="shared" si="246"/>
        <v/>
      </c>
      <c r="JH455" s="1456" t="str">
        <f t="shared" si="247"/>
        <v/>
      </c>
      <c r="JI455" s="1456" t="str">
        <f t="shared" si="248"/>
        <v/>
      </c>
      <c r="JJ455" s="1456" t="str">
        <f t="shared" si="249"/>
        <v/>
      </c>
      <c r="JK455" s="1456" t="str">
        <f t="shared" si="250"/>
        <v/>
      </c>
      <c r="JL455" s="1456" t="str">
        <f t="shared" si="251"/>
        <v/>
      </c>
      <c r="JM455" s="1456" t="str">
        <f t="shared" si="252"/>
        <v/>
      </c>
      <c r="JN455" s="1456" t="str">
        <f t="shared" si="253"/>
        <v/>
      </c>
      <c r="JO455" s="1456" t="str">
        <f t="shared" si="254"/>
        <v/>
      </c>
      <c r="JP455" s="1456" t="str">
        <f t="shared" si="255"/>
        <v/>
      </c>
      <c r="JQ455" s="1456" t="str">
        <f t="shared" si="256"/>
        <v/>
      </c>
      <c r="JR455" s="1456" t="str">
        <f t="shared" si="257"/>
        <v/>
      </c>
      <c r="JS455" s="1456" t="str">
        <f t="shared" si="258"/>
        <v/>
      </c>
      <c r="JT455" s="1456" t="str">
        <f t="shared" si="259"/>
        <v/>
      </c>
      <c r="JU455" s="1456" t="str">
        <f t="shared" si="260"/>
        <v/>
      </c>
      <c r="JV455" s="1456" t="str">
        <f t="shared" si="261"/>
        <v/>
      </c>
      <c r="JW455" s="1456" t="str">
        <f t="shared" si="262"/>
        <v/>
      </c>
      <c r="JX455" s="1456" t="str">
        <f t="shared" si="263"/>
        <v/>
      </c>
      <c r="JY455" s="1456" t="str">
        <f t="shared" si="264"/>
        <v/>
      </c>
      <c r="JZ455" s="1456">
        <f t="shared" si="265"/>
        <v>2</v>
      </c>
      <c r="KA455" s="1456" t="str">
        <f t="shared" si="266"/>
        <v/>
      </c>
      <c r="KB455" s="1456" t="str">
        <f t="shared" si="267"/>
        <v/>
      </c>
      <c r="KC455" s="1456" t="str">
        <f t="shared" si="268"/>
        <v/>
      </c>
      <c r="KD455" s="1456" t="str">
        <f t="shared" si="269"/>
        <v/>
      </c>
      <c r="KE455" s="1456" t="str">
        <f t="shared" si="270"/>
        <v/>
      </c>
      <c r="KF455" s="1456" t="str">
        <f t="shared" si="271"/>
        <v/>
      </c>
      <c r="KG455" s="1456" t="str">
        <f t="shared" si="272"/>
        <v/>
      </c>
      <c r="KH455" s="1456" t="str">
        <f t="shared" si="273"/>
        <v/>
      </c>
      <c r="KI455" s="1456" t="str">
        <f t="shared" si="274"/>
        <v/>
      </c>
      <c r="KJ455" s="1456" t="str">
        <f t="shared" si="275"/>
        <v/>
      </c>
      <c r="KK455" s="1456" t="str">
        <f t="shared" si="276"/>
        <v/>
      </c>
      <c r="KL455" s="1456" t="str">
        <f t="shared" si="277"/>
        <v/>
      </c>
      <c r="KM455" s="1456" t="str">
        <f t="shared" si="278"/>
        <v/>
      </c>
      <c r="KN455" s="1456" t="str">
        <f t="shared" si="279"/>
        <v/>
      </c>
      <c r="KO455" s="1456" t="str">
        <f t="shared" si="280"/>
        <v/>
      </c>
      <c r="KP455" s="1456" t="str">
        <f t="shared" si="281"/>
        <v/>
      </c>
      <c r="KQ455" s="1456" t="str">
        <f t="shared" si="282"/>
        <v/>
      </c>
      <c r="KR455" s="1456" t="str">
        <f t="shared" si="283"/>
        <v/>
      </c>
      <c r="KS455" s="1456" t="str">
        <f t="shared" si="284"/>
        <v/>
      </c>
      <c r="KT455" s="1456" t="str">
        <f t="shared" si="285"/>
        <v/>
      </c>
      <c r="KU455" s="1456" t="str">
        <f t="shared" si="286"/>
        <v/>
      </c>
      <c r="KV455" s="1456" t="str">
        <f t="shared" si="287"/>
        <v/>
      </c>
      <c r="KW455" s="1456" t="str">
        <f t="shared" si="288"/>
        <v/>
      </c>
      <c r="KX455" s="1456" t="str">
        <f t="shared" si="289"/>
        <v/>
      </c>
      <c r="KY455" s="1456" t="str">
        <f t="shared" si="290"/>
        <v/>
      </c>
      <c r="KZ455" s="1456" t="str">
        <f t="shared" si="291"/>
        <v/>
      </c>
      <c r="LA455" s="1456" t="str">
        <f t="shared" si="292"/>
        <v/>
      </c>
      <c r="LB455" s="1456" t="str">
        <f t="shared" si="293"/>
        <v/>
      </c>
      <c r="LC455" s="1456" t="str">
        <f t="shared" si="294"/>
        <v/>
      </c>
      <c r="LD455" s="1456" t="str">
        <f t="shared" si="295"/>
        <v/>
      </c>
      <c r="LE455" s="1456" t="str">
        <f t="shared" si="296"/>
        <v/>
      </c>
      <c r="LF455" s="1456" t="str">
        <f t="shared" si="297"/>
        <v/>
      </c>
      <c r="LG455" s="1446" t="str">
        <f t="shared" si="298"/>
        <v/>
      </c>
      <c r="LH455" s="1446" t="str">
        <f t="shared" si="299"/>
        <v/>
      </c>
      <c r="LI455" s="1446" t="str">
        <f t="shared" si="300"/>
        <v/>
      </c>
      <c r="LJ455" s="1446" t="str">
        <f t="shared" si="301"/>
        <v/>
      </c>
      <c r="LK455" s="1446"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318">
        <f t="shared" si="323"/>
        <v>0</v>
      </c>
      <c r="MG455" s="1318">
        <f t="shared" si="324"/>
        <v>0</v>
      </c>
      <c r="MH455" s="1318">
        <f t="shared" si="325"/>
        <v>0</v>
      </c>
      <c r="MI455" s="1318">
        <f t="shared" si="326"/>
        <v>0</v>
      </c>
      <c r="MJ455" s="1318">
        <f t="shared" si="327"/>
        <v>0</v>
      </c>
      <c r="MK455" s="1318">
        <f t="shared" si="333"/>
        <v>0</v>
      </c>
      <c r="ML455" s="1318">
        <f t="shared" si="334"/>
        <v>0</v>
      </c>
      <c r="MM455" s="1318">
        <f t="shared" si="335"/>
        <v>2</v>
      </c>
      <c r="MN455" s="1318">
        <f t="shared" si="336"/>
        <v>0</v>
      </c>
      <c r="MO455" s="1318">
        <f t="shared" si="337"/>
        <v>0</v>
      </c>
      <c r="MP455" s="1318">
        <f t="shared" si="328"/>
        <v>0</v>
      </c>
      <c r="MQ455" s="1318">
        <f t="shared" si="329"/>
        <v>0</v>
      </c>
      <c r="MR455" s="1318">
        <f t="shared" si="330"/>
        <v>0</v>
      </c>
      <c r="MS455" s="1318">
        <f t="shared" si="331"/>
        <v>0</v>
      </c>
      <c r="MT455" s="1318">
        <f t="shared" si="332"/>
        <v>0</v>
      </c>
      <c r="NP455" s="251" t="s">
        <v>1157</v>
      </c>
    </row>
    <row r="456" spans="1:380" ht="13.9" customHeight="1">
      <c r="A456" s="2246" t="str">
        <f t="shared" si="0"/>
        <v/>
      </c>
      <c r="B456" s="2265">
        <f>'Part V-Revenues &amp; Expenses'!B18</f>
        <v>30</v>
      </c>
      <c r="C456" s="2266">
        <f>'Part V-Revenues &amp; Expenses'!C18</f>
        <v>1</v>
      </c>
      <c r="D456" s="2267">
        <f>'Part V-Revenues &amp; Expenses'!D18</f>
        <v>1</v>
      </c>
      <c r="E456" s="2268">
        <f>'Part V-Revenues &amp; Expenses'!E18</f>
        <v>6</v>
      </c>
      <c r="F456" s="2268">
        <f>'Part V-Revenues &amp; Expenses'!F18</f>
        <v>653</v>
      </c>
      <c r="G456" s="2268">
        <f>'Part V-Revenues &amp; Expenses'!G18</f>
        <v>604</v>
      </c>
      <c r="H456" s="2268">
        <f>'Part V-Revenues &amp; Expenses'!H18</f>
        <v>1441</v>
      </c>
      <c r="I456" s="2268">
        <f>'Part V-Revenues &amp; Expenses'!I18</f>
        <v>0</v>
      </c>
      <c r="J456" s="2268">
        <f>'Part V-Revenues &amp; Expenses'!J18</f>
        <v>90</v>
      </c>
      <c r="K456" s="2269" t="str">
        <f>'Part V-Revenues &amp; Expenses'!K18</f>
        <v>PHA PBRA</v>
      </c>
      <c r="L456" s="2270">
        <f t="shared" si="1"/>
        <v>1351</v>
      </c>
      <c r="M456" s="2270">
        <f t="shared" si="2"/>
        <v>8106</v>
      </c>
      <c r="N456" s="2139" t="str">
        <f>'Part V-Revenues &amp; Expenses'!N18</f>
        <v>No</v>
      </c>
      <c r="O456" s="963" t="str">
        <f>'Part V-Revenues &amp; Expenses'!O18</f>
        <v>Low-Rise Elevator</v>
      </c>
      <c r="P456" s="2139" t="str">
        <f>'Part V-Revenues &amp; Expenses'!P18</f>
        <v>New Construction</v>
      </c>
      <c r="Q456" s="1455" t="str">
        <f>'Part V-Revenues &amp; Expenses'!Q18</f>
        <v>No</v>
      </c>
      <c r="R456" s="2271"/>
      <c r="S456" s="2272"/>
      <c r="T456" s="2273"/>
      <c r="U456" s="2273"/>
      <c r="V456" s="2273"/>
      <c r="W456" s="2273"/>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t="str">
        <f t="shared" si="19"/>
        <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f t="shared" si="29"/>
        <v>6</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f t="shared" si="49"/>
        <v>6</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t="str">
        <f t="shared" si="134"/>
        <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f t="shared" si="144"/>
        <v>3918</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f t="shared" si="159"/>
        <v>3918</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6</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456" t="str">
        <f t="shared" si="213"/>
        <v/>
      </c>
      <c r="IA456" s="1456">
        <f t="shared" si="214"/>
        <v>6</v>
      </c>
      <c r="IB456" s="1456" t="str">
        <f t="shared" si="215"/>
        <v/>
      </c>
      <c r="IC456" s="1456" t="str">
        <f t="shared" si="216"/>
        <v/>
      </c>
      <c r="ID456" s="1456" t="str">
        <f t="shared" si="217"/>
        <v/>
      </c>
      <c r="IE456" s="1456" t="str">
        <f t="shared" si="218"/>
        <v/>
      </c>
      <c r="IF456" s="1456" t="str">
        <f t="shared" si="219"/>
        <v/>
      </c>
      <c r="IG456" s="1456" t="str">
        <f t="shared" si="220"/>
        <v/>
      </c>
      <c r="IH456" s="1456" t="str">
        <f t="shared" si="221"/>
        <v/>
      </c>
      <c r="II456" s="1456" t="str">
        <f t="shared" si="222"/>
        <v/>
      </c>
      <c r="IJ456" s="1456" t="str">
        <f t="shared" si="223"/>
        <v/>
      </c>
      <c r="IK456" s="1456" t="str">
        <f t="shared" si="224"/>
        <v/>
      </c>
      <c r="IL456" s="1456" t="str">
        <f t="shared" si="225"/>
        <v/>
      </c>
      <c r="IM456" s="1456" t="str">
        <f t="shared" si="226"/>
        <v/>
      </c>
      <c r="IN456" s="1456" t="str">
        <f t="shared" si="227"/>
        <v/>
      </c>
      <c r="IO456" s="1456" t="str">
        <f t="shared" si="228"/>
        <v/>
      </c>
      <c r="IP456" s="1456" t="str">
        <f t="shared" si="229"/>
        <v/>
      </c>
      <c r="IQ456" s="1456" t="str">
        <f t="shared" si="230"/>
        <v/>
      </c>
      <c r="IR456" s="1456" t="str">
        <f t="shared" si="231"/>
        <v/>
      </c>
      <c r="IS456" s="1456" t="str">
        <f t="shared" si="232"/>
        <v/>
      </c>
      <c r="IT456" s="1456" t="str">
        <f t="shared" si="233"/>
        <v/>
      </c>
      <c r="IU456" s="1456" t="str">
        <f t="shared" si="234"/>
        <v/>
      </c>
      <c r="IV456" s="1456" t="str">
        <f t="shared" si="235"/>
        <v/>
      </c>
      <c r="IW456" s="1456" t="str">
        <f t="shared" si="236"/>
        <v/>
      </c>
      <c r="IX456" s="1456" t="str">
        <f t="shared" si="237"/>
        <v/>
      </c>
      <c r="IY456" s="1456" t="str">
        <f t="shared" si="238"/>
        <v/>
      </c>
      <c r="IZ456" s="1456" t="str">
        <f t="shared" si="239"/>
        <v/>
      </c>
      <c r="JA456" s="1456" t="str">
        <f t="shared" si="240"/>
        <v/>
      </c>
      <c r="JB456" s="1456" t="str">
        <f t="shared" si="241"/>
        <v/>
      </c>
      <c r="JC456" s="1456" t="str">
        <f t="shared" si="242"/>
        <v/>
      </c>
      <c r="JD456" s="1456" t="str">
        <f t="shared" si="243"/>
        <v/>
      </c>
      <c r="JE456" s="1456" t="str">
        <f t="shared" si="244"/>
        <v/>
      </c>
      <c r="JF456" s="1456" t="str">
        <f t="shared" si="245"/>
        <v/>
      </c>
      <c r="JG456" s="1456" t="str">
        <f t="shared" si="246"/>
        <v/>
      </c>
      <c r="JH456" s="1456" t="str">
        <f t="shared" si="247"/>
        <v/>
      </c>
      <c r="JI456" s="1456" t="str">
        <f t="shared" si="248"/>
        <v/>
      </c>
      <c r="JJ456" s="1456" t="str">
        <f t="shared" si="249"/>
        <v/>
      </c>
      <c r="JK456" s="1456" t="str">
        <f t="shared" si="250"/>
        <v/>
      </c>
      <c r="JL456" s="1456" t="str">
        <f t="shared" si="251"/>
        <v/>
      </c>
      <c r="JM456" s="1456" t="str">
        <f t="shared" si="252"/>
        <v/>
      </c>
      <c r="JN456" s="1456" t="str">
        <f t="shared" si="253"/>
        <v/>
      </c>
      <c r="JO456" s="1456" t="str">
        <f t="shared" si="254"/>
        <v/>
      </c>
      <c r="JP456" s="1456" t="str">
        <f t="shared" si="255"/>
        <v/>
      </c>
      <c r="JQ456" s="1456" t="str">
        <f t="shared" si="256"/>
        <v/>
      </c>
      <c r="JR456" s="1456" t="str">
        <f t="shared" si="257"/>
        <v/>
      </c>
      <c r="JS456" s="1456" t="str">
        <f t="shared" si="258"/>
        <v/>
      </c>
      <c r="JT456" s="1456" t="str">
        <f t="shared" si="259"/>
        <v/>
      </c>
      <c r="JU456" s="1456" t="str">
        <f t="shared" si="260"/>
        <v/>
      </c>
      <c r="JV456" s="1456" t="str">
        <f t="shared" si="261"/>
        <v/>
      </c>
      <c r="JW456" s="1456" t="str">
        <f t="shared" si="262"/>
        <v/>
      </c>
      <c r="JX456" s="1456" t="str">
        <f t="shared" si="263"/>
        <v/>
      </c>
      <c r="JY456" s="1456">
        <f t="shared" si="264"/>
        <v>6</v>
      </c>
      <c r="JZ456" s="1456" t="str">
        <f t="shared" si="265"/>
        <v/>
      </c>
      <c r="KA456" s="1456" t="str">
        <f t="shared" si="266"/>
        <v/>
      </c>
      <c r="KB456" s="1456" t="str">
        <f t="shared" si="267"/>
        <v/>
      </c>
      <c r="KC456" s="1456" t="str">
        <f t="shared" si="268"/>
        <v/>
      </c>
      <c r="KD456" s="1456" t="str">
        <f t="shared" si="269"/>
        <v/>
      </c>
      <c r="KE456" s="1456" t="str">
        <f t="shared" si="270"/>
        <v/>
      </c>
      <c r="KF456" s="1456" t="str">
        <f t="shared" si="271"/>
        <v/>
      </c>
      <c r="KG456" s="1456" t="str">
        <f t="shared" si="272"/>
        <v/>
      </c>
      <c r="KH456" s="1456" t="str">
        <f t="shared" si="273"/>
        <v/>
      </c>
      <c r="KI456" s="1456" t="str">
        <f t="shared" si="274"/>
        <v/>
      </c>
      <c r="KJ456" s="1456" t="str">
        <f t="shared" si="275"/>
        <v/>
      </c>
      <c r="KK456" s="1456" t="str">
        <f t="shared" si="276"/>
        <v/>
      </c>
      <c r="KL456" s="1456" t="str">
        <f t="shared" si="277"/>
        <v/>
      </c>
      <c r="KM456" s="1456" t="str">
        <f t="shared" si="278"/>
        <v/>
      </c>
      <c r="KN456" s="1456" t="str">
        <f t="shared" si="279"/>
        <v/>
      </c>
      <c r="KO456" s="1456" t="str">
        <f t="shared" si="280"/>
        <v/>
      </c>
      <c r="KP456" s="1456" t="str">
        <f t="shared" si="281"/>
        <v/>
      </c>
      <c r="KQ456" s="1456" t="str">
        <f t="shared" si="282"/>
        <v/>
      </c>
      <c r="KR456" s="1456" t="str">
        <f t="shared" si="283"/>
        <v/>
      </c>
      <c r="KS456" s="1456" t="str">
        <f t="shared" si="284"/>
        <v/>
      </c>
      <c r="KT456" s="1456" t="str">
        <f t="shared" si="285"/>
        <v/>
      </c>
      <c r="KU456" s="1456" t="str">
        <f t="shared" si="286"/>
        <v/>
      </c>
      <c r="KV456" s="1456" t="str">
        <f t="shared" si="287"/>
        <v/>
      </c>
      <c r="KW456" s="1456" t="str">
        <f t="shared" si="288"/>
        <v/>
      </c>
      <c r="KX456" s="1456" t="str">
        <f t="shared" si="289"/>
        <v/>
      </c>
      <c r="KY456" s="1456" t="str">
        <f t="shared" si="290"/>
        <v/>
      </c>
      <c r="KZ456" s="1456" t="str">
        <f t="shared" si="291"/>
        <v/>
      </c>
      <c r="LA456" s="1456" t="str">
        <f t="shared" si="292"/>
        <v/>
      </c>
      <c r="LB456" s="1456" t="str">
        <f t="shared" si="293"/>
        <v/>
      </c>
      <c r="LC456" s="1456" t="str">
        <f t="shared" si="294"/>
        <v/>
      </c>
      <c r="LD456" s="1456" t="str">
        <f t="shared" si="295"/>
        <v/>
      </c>
      <c r="LE456" s="1456" t="str">
        <f t="shared" si="296"/>
        <v/>
      </c>
      <c r="LF456" s="1456" t="str">
        <f t="shared" si="297"/>
        <v/>
      </c>
      <c r="LG456" s="1446" t="str">
        <f t="shared" si="298"/>
        <v/>
      </c>
      <c r="LH456" s="1446" t="str">
        <f t="shared" si="299"/>
        <v/>
      </c>
      <c r="LI456" s="1446" t="str">
        <f t="shared" si="300"/>
        <v/>
      </c>
      <c r="LJ456" s="1446" t="str">
        <f t="shared" si="301"/>
        <v/>
      </c>
      <c r="LK456" s="1446"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318">
        <f t="shared" si="323"/>
        <v>0</v>
      </c>
      <c r="MG456" s="1318">
        <f t="shared" si="324"/>
        <v>0</v>
      </c>
      <c r="MH456" s="1318">
        <f t="shared" si="325"/>
        <v>0</v>
      </c>
      <c r="MI456" s="1318">
        <f t="shared" si="326"/>
        <v>0</v>
      </c>
      <c r="MJ456" s="1318">
        <f t="shared" si="327"/>
        <v>0</v>
      </c>
      <c r="MK456" s="1318">
        <f t="shared" si="333"/>
        <v>0</v>
      </c>
      <c r="ML456" s="1318">
        <f t="shared" si="334"/>
        <v>6</v>
      </c>
      <c r="MM456" s="1318">
        <f t="shared" si="335"/>
        <v>0</v>
      </c>
      <c r="MN456" s="1318">
        <f t="shared" si="336"/>
        <v>0</v>
      </c>
      <c r="MO456" s="1318">
        <f t="shared" si="337"/>
        <v>0</v>
      </c>
      <c r="MP456" s="1318">
        <f t="shared" si="328"/>
        <v>0</v>
      </c>
      <c r="MQ456" s="1318">
        <f t="shared" si="329"/>
        <v>0</v>
      </c>
      <c r="MR456" s="1318">
        <f t="shared" si="330"/>
        <v>0</v>
      </c>
      <c r="MS456" s="1318">
        <f t="shared" si="331"/>
        <v>0</v>
      </c>
      <c r="MT456" s="1318">
        <f t="shared" si="332"/>
        <v>0</v>
      </c>
      <c r="NP456" s="251" t="s">
        <v>1159</v>
      </c>
    </row>
    <row r="457" spans="1:380" ht="13.9" customHeight="1">
      <c r="A457" s="2246" t="str">
        <f t="shared" si="0"/>
        <v/>
      </c>
      <c r="B457" s="2265">
        <f>'Part V-Revenues &amp; Expenses'!B19</f>
        <v>50</v>
      </c>
      <c r="C457" s="2266">
        <f>'Part V-Revenues &amp; Expenses'!C19</f>
        <v>1</v>
      </c>
      <c r="D457" s="2267">
        <f>'Part V-Revenues &amp; Expenses'!D19</f>
        <v>1</v>
      </c>
      <c r="E457" s="2268">
        <f>'Part V-Revenues &amp; Expenses'!E19</f>
        <v>17</v>
      </c>
      <c r="F457" s="2268">
        <f>'Part V-Revenues &amp; Expenses'!F19</f>
        <v>653</v>
      </c>
      <c r="G457" s="2268">
        <f>'Part V-Revenues &amp; Expenses'!G19</f>
        <v>1008</v>
      </c>
      <c r="H457" s="2268">
        <f>'Part V-Revenues &amp; Expenses'!H19</f>
        <v>1441</v>
      </c>
      <c r="I457" s="2268">
        <f>'Part V-Revenues &amp; Expenses'!I19</f>
        <v>0</v>
      </c>
      <c r="J457" s="2268">
        <f>'Part V-Revenues &amp; Expenses'!J19</f>
        <v>90</v>
      </c>
      <c r="K457" s="2269" t="str">
        <f>'Part V-Revenues &amp; Expenses'!K19</f>
        <v>PHA PBRA</v>
      </c>
      <c r="L457" s="2270">
        <f t="shared" si="1"/>
        <v>1351</v>
      </c>
      <c r="M457" s="2270">
        <f t="shared" si="2"/>
        <v>22967</v>
      </c>
      <c r="N457" s="2139" t="str">
        <f>'Part V-Revenues &amp; Expenses'!N19</f>
        <v>No</v>
      </c>
      <c r="O457" s="963" t="str">
        <f>'Part V-Revenues &amp; Expenses'!O19</f>
        <v>Low-Rise Elevator</v>
      </c>
      <c r="P457" s="2139" t="str">
        <f>'Part V-Revenues &amp; Expenses'!P19</f>
        <v>New Construction</v>
      </c>
      <c r="Q457" s="1455" t="str">
        <f>'Part V-Revenues &amp; Expenses'!Q19</f>
        <v>No</v>
      </c>
      <c r="R457" s="2271"/>
      <c r="S457" s="2272"/>
      <c r="T457" s="2273"/>
      <c r="U457" s="2273"/>
      <c r="V457" s="2273"/>
      <c r="W457" s="2273"/>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f t="shared" si="19"/>
        <v>17</v>
      </c>
      <c r="AO457" s="251" t="str">
        <f t="shared" si="20"/>
        <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f t="shared" si="59"/>
        <v>17</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f t="shared" si="134"/>
        <v>11101</v>
      </c>
      <c r="EZ457" s="251" t="str">
        <f t="shared" si="135"/>
        <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f t="shared" si="159"/>
        <v>11101</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f t="shared" si="169"/>
        <v>17</v>
      </c>
      <c r="GI457" s="251" t="str">
        <f t="shared" si="170"/>
        <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456" t="str">
        <f t="shared" si="213"/>
        <v/>
      </c>
      <c r="IA457" s="1456">
        <f t="shared" si="214"/>
        <v>17</v>
      </c>
      <c r="IB457" s="1456" t="str">
        <f t="shared" si="215"/>
        <v/>
      </c>
      <c r="IC457" s="1456" t="str">
        <f t="shared" si="216"/>
        <v/>
      </c>
      <c r="ID457" s="1456" t="str">
        <f t="shared" si="217"/>
        <v/>
      </c>
      <c r="IE457" s="1456" t="str">
        <f t="shared" si="218"/>
        <v/>
      </c>
      <c r="IF457" s="1456" t="str">
        <f t="shared" si="219"/>
        <v/>
      </c>
      <c r="IG457" s="1456" t="str">
        <f t="shared" si="220"/>
        <v/>
      </c>
      <c r="IH457" s="1456" t="str">
        <f t="shared" si="221"/>
        <v/>
      </c>
      <c r="II457" s="1456" t="str">
        <f t="shared" si="222"/>
        <v/>
      </c>
      <c r="IJ457" s="1456" t="str">
        <f t="shared" si="223"/>
        <v/>
      </c>
      <c r="IK457" s="1456" t="str">
        <f t="shared" si="224"/>
        <v/>
      </c>
      <c r="IL457" s="1456" t="str">
        <f t="shared" si="225"/>
        <v/>
      </c>
      <c r="IM457" s="1456" t="str">
        <f t="shared" si="226"/>
        <v/>
      </c>
      <c r="IN457" s="1456" t="str">
        <f t="shared" si="227"/>
        <v/>
      </c>
      <c r="IO457" s="1456" t="str">
        <f t="shared" si="228"/>
        <v/>
      </c>
      <c r="IP457" s="1456" t="str">
        <f t="shared" si="229"/>
        <v/>
      </c>
      <c r="IQ457" s="1456" t="str">
        <f t="shared" si="230"/>
        <v/>
      </c>
      <c r="IR457" s="1456" t="str">
        <f t="shared" si="231"/>
        <v/>
      </c>
      <c r="IS457" s="1456" t="str">
        <f t="shared" si="232"/>
        <v/>
      </c>
      <c r="IT457" s="1456" t="str">
        <f t="shared" si="233"/>
        <v/>
      </c>
      <c r="IU457" s="1456" t="str">
        <f t="shared" si="234"/>
        <v/>
      </c>
      <c r="IV457" s="1456" t="str">
        <f t="shared" si="235"/>
        <v/>
      </c>
      <c r="IW457" s="1456" t="str">
        <f t="shared" si="236"/>
        <v/>
      </c>
      <c r="IX457" s="1456" t="str">
        <f t="shared" si="237"/>
        <v/>
      </c>
      <c r="IY457" s="1456" t="str">
        <f t="shared" si="238"/>
        <v/>
      </c>
      <c r="IZ457" s="1456" t="str">
        <f t="shared" si="239"/>
        <v/>
      </c>
      <c r="JA457" s="1456" t="str">
        <f t="shared" si="240"/>
        <v/>
      </c>
      <c r="JB457" s="1456" t="str">
        <f t="shared" si="241"/>
        <v/>
      </c>
      <c r="JC457" s="1456" t="str">
        <f t="shared" si="242"/>
        <v/>
      </c>
      <c r="JD457" s="1456" t="str">
        <f t="shared" si="243"/>
        <v/>
      </c>
      <c r="JE457" s="1456" t="str">
        <f t="shared" si="244"/>
        <v/>
      </c>
      <c r="JF457" s="1456" t="str">
        <f t="shared" si="245"/>
        <v/>
      </c>
      <c r="JG457" s="1456" t="str">
        <f t="shared" si="246"/>
        <v/>
      </c>
      <c r="JH457" s="1456" t="str">
        <f t="shared" si="247"/>
        <v/>
      </c>
      <c r="JI457" s="1456" t="str">
        <f t="shared" si="248"/>
        <v/>
      </c>
      <c r="JJ457" s="1456" t="str">
        <f t="shared" si="249"/>
        <v/>
      </c>
      <c r="JK457" s="1456" t="str">
        <f t="shared" si="250"/>
        <v/>
      </c>
      <c r="JL457" s="1456" t="str">
        <f t="shared" si="251"/>
        <v/>
      </c>
      <c r="JM457" s="1456" t="str">
        <f t="shared" si="252"/>
        <v/>
      </c>
      <c r="JN457" s="1456" t="str">
        <f t="shared" si="253"/>
        <v/>
      </c>
      <c r="JO457" s="1456" t="str">
        <f t="shared" si="254"/>
        <v/>
      </c>
      <c r="JP457" s="1456" t="str">
        <f t="shared" si="255"/>
        <v/>
      </c>
      <c r="JQ457" s="1456" t="str">
        <f t="shared" si="256"/>
        <v/>
      </c>
      <c r="JR457" s="1456" t="str">
        <f t="shared" si="257"/>
        <v/>
      </c>
      <c r="JS457" s="1456" t="str">
        <f t="shared" si="258"/>
        <v/>
      </c>
      <c r="JT457" s="1456" t="str">
        <f t="shared" si="259"/>
        <v/>
      </c>
      <c r="JU457" s="1456" t="str">
        <f t="shared" si="260"/>
        <v/>
      </c>
      <c r="JV457" s="1456" t="str">
        <f t="shared" si="261"/>
        <v/>
      </c>
      <c r="JW457" s="1456" t="str">
        <f t="shared" si="262"/>
        <v/>
      </c>
      <c r="JX457" s="1456" t="str">
        <f t="shared" si="263"/>
        <v/>
      </c>
      <c r="JY457" s="1456">
        <f t="shared" si="264"/>
        <v>17</v>
      </c>
      <c r="JZ457" s="1456" t="str">
        <f t="shared" si="265"/>
        <v/>
      </c>
      <c r="KA457" s="1456" t="str">
        <f t="shared" si="266"/>
        <v/>
      </c>
      <c r="KB457" s="1456" t="str">
        <f t="shared" si="267"/>
        <v/>
      </c>
      <c r="KC457" s="1456" t="str">
        <f t="shared" si="268"/>
        <v/>
      </c>
      <c r="KD457" s="1456" t="str">
        <f t="shared" si="269"/>
        <v/>
      </c>
      <c r="KE457" s="1456" t="str">
        <f t="shared" si="270"/>
        <v/>
      </c>
      <c r="KF457" s="1456" t="str">
        <f t="shared" si="271"/>
        <v/>
      </c>
      <c r="KG457" s="1456" t="str">
        <f t="shared" si="272"/>
        <v/>
      </c>
      <c r="KH457" s="1456" t="str">
        <f t="shared" si="273"/>
        <v/>
      </c>
      <c r="KI457" s="1456" t="str">
        <f t="shared" si="274"/>
        <v/>
      </c>
      <c r="KJ457" s="1456" t="str">
        <f t="shared" si="275"/>
        <v/>
      </c>
      <c r="KK457" s="1456" t="str">
        <f t="shared" si="276"/>
        <v/>
      </c>
      <c r="KL457" s="1456" t="str">
        <f t="shared" si="277"/>
        <v/>
      </c>
      <c r="KM457" s="1456" t="str">
        <f t="shared" si="278"/>
        <v/>
      </c>
      <c r="KN457" s="1456" t="str">
        <f t="shared" si="279"/>
        <v/>
      </c>
      <c r="KO457" s="1456" t="str">
        <f t="shared" si="280"/>
        <v/>
      </c>
      <c r="KP457" s="1456" t="str">
        <f t="shared" si="281"/>
        <v/>
      </c>
      <c r="KQ457" s="1456" t="str">
        <f t="shared" si="282"/>
        <v/>
      </c>
      <c r="KR457" s="1456" t="str">
        <f t="shared" si="283"/>
        <v/>
      </c>
      <c r="KS457" s="1456" t="str">
        <f t="shared" si="284"/>
        <v/>
      </c>
      <c r="KT457" s="1456" t="str">
        <f t="shared" si="285"/>
        <v/>
      </c>
      <c r="KU457" s="1456" t="str">
        <f t="shared" si="286"/>
        <v/>
      </c>
      <c r="KV457" s="1456" t="str">
        <f t="shared" si="287"/>
        <v/>
      </c>
      <c r="KW457" s="1456" t="str">
        <f t="shared" si="288"/>
        <v/>
      </c>
      <c r="KX457" s="1456" t="str">
        <f t="shared" si="289"/>
        <v/>
      </c>
      <c r="KY457" s="1456" t="str">
        <f t="shared" si="290"/>
        <v/>
      </c>
      <c r="KZ457" s="1456" t="str">
        <f t="shared" si="291"/>
        <v/>
      </c>
      <c r="LA457" s="1456" t="str">
        <f t="shared" si="292"/>
        <v/>
      </c>
      <c r="LB457" s="1456" t="str">
        <f t="shared" si="293"/>
        <v/>
      </c>
      <c r="LC457" s="1456" t="str">
        <f t="shared" si="294"/>
        <v/>
      </c>
      <c r="LD457" s="1456" t="str">
        <f t="shared" si="295"/>
        <v/>
      </c>
      <c r="LE457" s="1456" t="str">
        <f t="shared" si="296"/>
        <v/>
      </c>
      <c r="LF457" s="1456" t="str">
        <f t="shared" si="297"/>
        <v/>
      </c>
      <c r="LG457" s="1446" t="str">
        <f t="shared" si="298"/>
        <v/>
      </c>
      <c r="LH457" s="1446" t="str">
        <f t="shared" si="299"/>
        <v/>
      </c>
      <c r="LI457" s="1446" t="str">
        <f t="shared" si="300"/>
        <v/>
      </c>
      <c r="LJ457" s="1446" t="str">
        <f t="shared" si="301"/>
        <v/>
      </c>
      <c r="LK457" s="1446"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318">
        <f t="shared" si="323"/>
        <v>0</v>
      </c>
      <c r="MG457" s="1318">
        <f t="shared" si="324"/>
        <v>0</v>
      </c>
      <c r="MH457" s="1318">
        <f t="shared" si="325"/>
        <v>0</v>
      </c>
      <c r="MI457" s="1318">
        <f t="shared" si="326"/>
        <v>0</v>
      </c>
      <c r="MJ457" s="1318">
        <f t="shared" si="327"/>
        <v>0</v>
      </c>
      <c r="MK457" s="1318">
        <f t="shared" si="333"/>
        <v>0</v>
      </c>
      <c r="ML457" s="1318">
        <f t="shared" si="334"/>
        <v>17</v>
      </c>
      <c r="MM457" s="1318">
        <f t="shared" si="335"/>
        <v>0</v>
      </c>
      <c r="MN457" s="1318">
        <f t="shared" si="336"/>
        <v>0</v>
      </c>
      <c r="MO457" s="1318">
        <f t="shared" si="337"/>
        <v>0</v>
      </c>
      <c r="MP457" s="1318">
        <f t="shared" si="328"/>
        <v>0</v>
      </c>
      <c r="MQ457" s="1318">
        <f t="shared" si="329"/>
        <v>0</v>
      </c>
      <c r="MR457" s="1318">
        <f t="shared" si="330"/>
        <v>0</v>
      </c>
      <c r="MS457" s="1318">
        <f t="shared" si="331"/>
        <v>0</v>
      </c>
      <c r="MT457" s="1318">
        <f t="shared" si="332"/>
        <v>0</v>
      </c>
      <c r="NP457" s="251" t="s">
        <v>1160</v>
      </c>
    </row>
    <row r="458" spans="1:380" ht="13.9" customHeight="1">
      <c r="A458" s="2246" t="str">
        <f t="shared" si="0"/>
        <v/>
      </c>
      <c r="B458" s="2265">
        <f>'Part V-Revenues &amp; Expenses'!B20</f>
        <v>60</v>
      </c>
      <c r="C458" s="2266">
        <f>'Part V-Revenues &amp; Expenses'!C20</f>
        <v>1</v>
      </c>
      <c r="D458" s="2267">
        <f>'Part V-Revenues &amp; Expenses'!D20</f>
        <v>1</v>
      </c>
      <c r="E458" s="2268">
        <f>'Part V-Revenues &amp; Expenses'!E20</f>
        <v>14</v>
      </c>
      <c r="F458" s="2268">
        <f>'Part V-Revenues &amp; Expenses'!F20</f>
        <v>653</v>
      </c>
      <c r="G458" s="2268">
        <f>'Part V-Revenues &amp; Expenses'!G20</f>
        <v>1209</v>
      </c>
      <c r="H458" s="2268">
        <f>'Part V-Revenues &amp; Expenses'!H20</f>
        <v>1009</v>
      </c>
      <c r="I458" s="2268">
        <f>'Part V-Revenues &amp; Expenses'!I20</f>
        <v>0</v>
      </c>
      <c r="J458" s="2268">
        <f>'Part V-Revenues &amp; Expenses'!J20</f>
        <v>88</v>
      </c>
      <c r="K458" s="2269">
        <f>'Part V-Revenues &amp; Expenses'!K20</f>
        <v>0</v>
      </c>
      <c r="L458" s="2270">
        <f t="shared" si="1"/>
        <v>921</v>
      </c>
      <c r="M458" s="2270">
        <f t="shared" si="2"/>
        <v>12894</v>
      </c>
      <c r="N458" s="2139" t="str">
        <f>'Part V-Revenues &amp; Expenses'!N20</f>
        <v>No</v>
      </c>
      <c r="O458" s="963" t="str">
        <f>'Part V-Revenues &amp; Expenses'!O20</f>
        <v>Low-Rise Elevator</v>
      </c>
      <c r="P458" s="2139" t="str">
        <f>'Part V-Revenues &amp; Expenses'!P20</f>
        <v>New Construction</v>
      </c>
      <c r="Q458" s="1455" t="str">
        <f>'Part V-Revenues &amp; Expenses'!Q20</f>
        <v>No</v>
      </c>
      <c r="R458" s="2271"/>
      <c r="S458" s="2272"/>
      <c r="T458" s="2273"/>
      <c r="U458" s="2273"/>
      <c r="V458" s="2273"/>
      <c r="W458" s="2273"/>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f t="shared" si="14"/>
        <v>14</v>
      </c>
      <c r="AJ458" s="251" t="str">
        <f t="shared" si="15"/>
        <v/>
      </c>
      <c r="AK458" s="251" t="str">
        <f t="shared" si="16"/>
        <v/>
      </c>
      <c r="AL458" s="251" t="str">
        <f t="shared" si="17"/>
        <v/>
      </c>
      <c r="AM458" s="251" t="str">
        <f t="shared" si="18"/>
        <v/>
      </c>
      <c r="AN458" s="251" t="str">
        <f t="shared" si="19"/>
        <v/>
      </c>
      <c r="AO458" s="251" t="str">
        <f t="shared" si="20"/>
        <v/>
      </c>
      <c r="AP458" s="251" t="str">
        <f t="shared" si="21"/>
        <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f t="shared" si="129"/>
        <v>9142</v>
      </c>
      <c r="EU458" s="251" t="str">
        <f t="shared" si="130"/>
        <v/>
      </c>
      <c r="EV458" s="251" t="str">
        <f t="shared" si="131"/>
        <v/>
      </c>
      <c r="EW458" s="251" t="str">
        <f t="shared" si="132"/>
        <v/>
      </c>
      <c r="EX458" s="251" t="str">
        <f t="shared" si="133"/>
        <v/>
      </c>
      <c r="EY458" s="251" t="str">
        <f t="shared" si="134"/>
        <v/>
      </c>
      <c r="EZ458" s="251" t="str">
        <f t="shared" si="135"/>
        <v/>
      </c>
      <c r="FA458" s="251" t="str">
        <f t="shared" si="136"/>
        <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f t="shared" si="169"/>
        <v>14</v>
      </c>
      <c r="GI458" s="251" t="str">
        <f t="shared" si="170"/>
        <v/>
      </c>
      <c r="GJ458" s="251" t="str">
        <f t="shared" si="171"/>
        <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456" t="str">
        <f t="shared" si="213"/>
        <v/>
      </c>
      <c r="IA458" s="1456">
        <f t="shared" si="214"/>
        <v>14</v>
      </c>
      <c r="IB458" s="1456" t="str">
        <f t="shared" si="215"/>
        <v/>
      </c>
      <c r="IC458" s="1456" t="str">
        <f t="shared" si="216"/>
        <v/>
      </c>
      <c r="ID458" s="1456" t="str">
        <f t="shared" si="217"/>
        <v/>
      </c>
      <c r="IE458" s="1456" t="str">
        <f t="shared" si="218"/>
        <v/>
      </c>
      <c r="IF458" s="1456" t="str">
        <f t="shared" si="219"/>
        <v/>
      </c>
      <c r="IG458" s="1456" t="str">
        <f t="shared" si="220"/>
        <v/>
      </c>
      <c r="IH458" s="1456" t="str">
        <f t="shared" si="221"/>
        <v/>
      </c>
      <c r="II458" s="1456" t="str">
        <f t="shared" si="222"/>
        <v/>
      </c>
      <c r="IJ458" s="1456" t="str">
        <f t="shared" si="223"/>
        <v/>
      </c>
      <c r="IK458" s="1456" t="str">
        <f t="shared" si="224"/>
        <v/>
      </c>
      <c r="IL458" s="1456" t="str">
        <f t="shared" si="225"/>
        <v/>
      </c>
      <c r="IM458" s="1456" t="str">
        <f t="shared" si="226"/>
        <v/>
      </c>
      <c r="IN458" s="1456" t="str">
        <f t="shared" si="227"/>
        <v/>
      </c>
      <c r="IO458" s="1456" t="str">
        <f t="shared" si="228"/>
        <v/>
      </c>
      <c r="IP458" s="1456" t="str">
        <f t="shared" si="229"/>
        <v/>
      </c>
      <c r="IQ458" s="1456" t="str">
        <f t="shared" si="230"/>
        <v/>
      </c>
      <c r="IR458" s="1456" t="str">
        <f t="shared" si="231"/>
        <v/>
      </c>
      <c r="IS458" s="1456" t="str">
        <f t="shared" si="232"/>
        <v/>
      </c>
      <c r="IT458" s="1456" t="str">
        <f t="shared" si="233"/>
        <v/>
      </c>
      <c r="IU458" s="1456" t="str">
        <f t="shared" si="234"/>
        <v/>
      </c>
      <c r="IV458" s="1456" t="str">
        <f t="shared" si="235"/>
        <v/>
      </c>
      <c r="IW458" s="1456" t="str">
        <f t="shared" si="236"/>
        <v/>
      </c>
      <c r="IX458" s="1456" t="str">
        <f t="shared" si="237"/>
        <v/>
      </c>
      <c r="IY458" s="1456" t="str">
        <f t="shared" si="238"/>
        <v/>
      </c>
      <c r="IZ458" s="1456" t="str">
        <f t="shared" si="239"/>
        <v/>
      </c>
      <c r="JA458" s="1456" t="str">
        <f t="shared" si="240"/>
        <v/>
      </c>
      <c r="JB458" s="1456" t="str">
        <f t="shared" si="241"/>
        <v/>
      </c>
      <c r="JC458" s="1456" t="str">
        <f t="shared" si="242"/>
        <v/>
      </c>
      <c r="JD458" s="1456" t="str">
        <f t="shared" si="243"/>
        <v/>
      </c>
      <c r="JE458" s="1456" t="str">
        <f t="shared" si="244"/>
        <v/>
      </c>
      <c r="JF458" s="1456" t="str">
        <f t="shared" si="245"/>
        <v/>
      </c>
      <c r="JG458" s="1456" t="str">
        <f t="shared" si="246"/>
        <v/>
      </c>
      <c r="JH458" s="1456" t="str">
        <f t="shared" si="247"/>
        <v/>
      </c>
      <c r="JI458" s="1456" t="str">
        <f t="shared" si="248"/>
        <v/>
      </c>
      <c r="JJ458" s="1456" t="str">
        <f t="shared" si="249"/>
        <v/>
      </c>
      <c r="JK458" s="1456" t="str">
        <f t="shared" si="250"/>
        <v/>
      </c>
      <c r="JL458" s="1456" t="str">
        <f t="shared" si="251"/>
        <v/>
      </c>
      <c r="JM458" s="1456" t="str">
        <f t="shared" si="252"/>
        <v/>
      </c>
      <c r="JN458" s="1456" t="str">
        <f t="shared" si="253"/>
        <v/>
      </c>
      <c r="JO458" s="1456" t="str">
        <f t="shared" si="254"/>
        <v/>
      </c>
      <c r="JP458" s="1456" t="str">
        <f t="shared" si="255"/>
        <v/>
      </c>
      <c r="JQ458" s="1456" t="str">
        <f t="shared" si="256"/>
        <v/>
      </c>
      <c r="JR458" s="1456" t="str">
        <f t="shared" si="257"/>
        <v/>
      </c>
      <c r="JS458" s="1456" t="str">
        <f t="shared" si="258"/>
        <v/>
      </c>
      <c r="JT458" s="1456" t="str">
        <f t="shared" si="259"/>
        <v/>
      </c>
      <c r="JU458" s="1456" t="str">
        <f t="shared" si="260"/>
        <v/>
      </c>
      <c r="JV458" s="1456" t="str">
        <f t="shared" si="261"/>
        <v/>
      </c>
      <c r="JW458" s="1456" t="str">
        <f t="shared" si="262"/>
        <v/>
      </c>
      <c r="JX458" s="1456" t="str">
        <f t="shared" si="263"/>
        <v/>
      </c>
      <c r="JY458" s="1456">
        <f t="shared" si="264"/>
        <v>14</v>
      </c>
      <c r="JZ458" s="1456" t="str">
        <f t="shared" si="265"/>
        <v/>
      </c>
      <c r="KA458" s="1456" t="str">
        <f t="shared" si="266"/>
        <v/>
      </c>
      <c r="KB458" s="1456" t="str">
        <f t="shared" si="267"/>
        <v/>
      </c>
      <c r="KC458" s="1456" t="str">
        <f t="shared" si="268"/>
        <v/>
      </c>
      <c r="KD458" s="1456" t="str">
        <f t="shared" si="269"/>
        <v/>
      </c>
      <c r="KE458" s="1456" t="str">
        <f t="shared" si="270"/>
        <v/>
      </c>
      <c r="KF458" s="1456" t="str">
        <f t="shared" si="271"/>
        <v/>
      </c>
      <c r="KG458" s="1456" t="str">
        <f t="shared" si="272"/>
        <v/>
      </c>
      <c r="KH458" s="1456" t="str">
        <f t="shared" si="273"/>
        <v/>
      </c>
      <c r="KI458" s="1456" t="str">
        <f t="shared" si="274"/>
        <v/>
      </c>
      <c r="KJ458" s="1456" t="str">
        <f t="shared" si="275"/>
        <v/>
      </c>
      <c r="KK458" s="1456" t="str">
        <f t="shared" si="276"/>
        <v/>
      </c>
      <c r="KL458" s="1456" t="str">
        <f t="shared" si="277"/>
        <v/>
      </c>
      <c r="KM458" s="1456" t="str">
        <f t="shared" si="278"/>
        <v/>
      </c>
      <c r="KN458" s="1456" t="str">
        <f t="shared" si="279"/>
        <v/>
      </c>
      <c r="KO458" s="1456" t="str">
        <f t="shared" si="280"/>
        <v/>
      </c>
      <c r="KP458" s="1456" t="str">
        <f t="shared" si="281"/>
        <v/>
      </c>
      <c r="KQ458" s="1456" t="str">
        <f t="shared" si="282"/>
        <v/>
      </c>
      <c r="KR458" s="1456" t="str">
        <f t="shared" si="283"/>
        <v/>
      </c>
      <c r="KS458" s="1456" t="str">
        <f t="shared" si="284"/>
        <v/>
      </c>
      <c r="KT458" s="1456" t="str">
        <f t="shared" si="285"/>
        <v/>
      </c>
      <c r="KU458" s="1456" t="str">
        <f t="shared" si="286"/>
        <v/>
      </c>
      <c r="KV458" s="1456" t="str">
        <f t="shared" si="287"/>
        <v/>
      </c>
      <c r="KW458" s="1456" t="str">
        <f t="shared" si="288"/>
        <v/>
      </c>
      <c r="KX458" s="1456" t="str">
        <f t="shared" si="289"/>
        <v/>
      </c>
      <c r="KY458" s="1456" t="str">
        <f t="shared" si="290"/>
        <v/>
      </c>
      <c r="KZ458" s="1456" t="str">
        <f t="shared" si="291"/>
        <v/>
      </c>
      <c r="LA458" s="1456" t="str">
        <f t="shared" si="292"/>
        <v/>
      </c>
      <c r="LB458" s="1456" t="str">
        <f t="shared" si="293"/>
        <v/>
      </c>
      <c r="LC458" s="1456" t="str">
        <f t="shared" si="294"/>
        <v/>
      </c>
      <c r="LD458" s="1456" t="str">
        <f t="shared" si="295"/>
        <v/>
      </c>
      <c r="LE458" s="1456" t="str">
        <f t="shared" si="296"/>
        <v/>
      </c>
      <c r="LF458" s="1456" t="str">
        <f t="shared" si="297"/>
        <v/>
      </c>
      <c r="LG458" s="1446" t="str">
        <f t="shared" si="298"/>
        <v/>
      </c>
      <c r="LH458" s="1446" t="str">
        <f t="shared" si="299"/>
        <v/>
      </c>
      <c r="LI458" s="1446" t="str">
        <f t="shared" si="300"/>
        <v/>
      </c>
      <c r="LJ458" s="1446" t="str">
        <f t="shared" si="301"/>
        <v/>
      </c>
      <c r="LK458" s="1446"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318">
        <f t="shared" si="323"/>
        <v>0</v>
      </c>
      <c r="MG458" s="1318">
        <f t="shared" si="324"/>
        <v>0</v>
      </c>
      <c r="MH458" s="1318">
        <f t="shared" si="325"/>
        <v>0</v>
      </c>
      <c r="MI458" s="1318">
        <f t="shared" si="326"/>
        <v>0</v>
      </c>
      <c r="MJ458" s="1318">
        <f t="shared" si="327"/>
        <v>0</v>
      </c>
      <c r="MK458" s="1318">
        <f t="shared" si="333"/>
        <v>0</v>
      </c>
      <c r="ML458" s="1318">
        <f t="shared" si="334"/>
        <v>14</v>
      </c>
      <c r="MM458" s="1318">
        <f t="shared" si="335"/>
        <v>0</v>
      </c>
      <c r="MN458" s="1318">
        <f t="shared" si="336"/>
        <v>0</v>
      </c>
      <c r="MO458" s="1318">
        <f t="shared" si="337"/>
        <v>0</v>
      </c>
      <c r="MP458" s="1318">
        <f t="shared" si="328"/>
        <v>0</v>
      </c>
      <c r="MQ458" s="1318">
        <f t="shared" si="329"/>
        <v>0</v>
      </c>
      <c r="MR458" s="1318">
        <f t="shared" si="330"/>
        <v>0</v>
      </c>
      <c r="MS458" s="1318">
        <f t="shared" si="331"/>
        <v>0</v>
      </c>
      <c r="MT458" s="1318">
        <f t="shared" si="332"/>
        <v>0</v>
      </c>
      <c r="NP458" s="251" t="s">
        <v>1161</v>
      </c>
    </row>
    <row r="459" spans="1:380" ht="13.9" customHeight="1">
      <c r="A459" s="2246" t="str">
        <f t="shared" si="0"/>
        <v/>
      </c>
      <c r="B459" s="2265">
        <f>'Part V-Revenues &amp; Expenses'!B21</f>
        <v>60</v>
      </c>
      <c r="C459" s="2266">
        <f>'Part V-Revenues &amp; Expenses'!C21</f>
        <v>2</v>
      </c>
      <c r="D459" s="2267">
        <f>'Part V-Revenues &amp; Expenses'!D21</f>
        <v>2</v>
      </c>
      <c r="E459" s="2268">
        <f>'Part V-Revenues &amp; Expenses'!E21</f>
        <v>15</v>
      </c>
      <c r="F459" s="2268">
        <f>'Part V-Revenues &amp; Expenses'!F21</f>
        <v>963</v>
      </c>
      <c r="G459" s="2268">
        <f>'Part V-Revenues &amp; Expenses'!G21</f>
        <v>1452</v>
      </c>
      <c r="H459" s="2268">
        <f>'Part V-Revenues &amp; Expenses'!H21</f>
        <v>1252</v>
      </c>
      <c r="I459" s="2268">
        <f>'Part V-Revenues &amp; Expenses'!I21</f>
        <v>0</v>
      </c>
      <c r="J459" s="2268">
        <f>'Part V-Revenues &amp; Expenses'!J21</f>
        <v>113</v>
      </c>
      <c r="K459" s="2269">
        <f>'Part V-Revenues &amp; Expenses'!K21</f>
        <v>0</v>
      </c>
      <c r="L459" s="2270">
        <f t="shared" si="1"/>
        <v>1139</v>
      </c>
      <c r="M459" s="2270">
        <f t="shared" si="2"/>
        <v>17085</v>
      </c>
      <c r="N459" s="2139" t="str">
        <f>'Part V-Revenues &amp; Expenses'!N21</f>
        <v>No</v>
      </c>
      <c r="O459" s="963" t="str">
        <f>'Part V-Revenues &amp; Expenses'!O21</f>
        <v>Low-Rise Elevator</v>
      </c>
      <c r="P459" s="2139" t="str">
        <f>'Part V-Revenues &amp; Expenses'!P21</f>
        <v>New Construction</v>
      </c>
      <c r="Q459" s="1455" t="str">
        <f>'Part V-Revenues &amp; Expenses'!Q21</f>
        <v>No</v>
      </c>
      <c r="R459" s="2271"/>
      <c r="S459" s="2272"/>
      <c r="T459" s="2273"/>
      <c r="U459" s="2273"/>
      <c r="V459" s="2273"/>
      <c r="W459" s="2273"/>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f t="shared" si="15"/>
        <v>15</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f t="shared" si="130"/>
        <v>14445</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f t="shared" si="170"/>
        <v>15</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456" t="str">
        <f t="shared" si="213"/>
        <v/>
      </c>
      <c r="IA459" s="1456" t="str">
        <f t="shared" si="214"/>
        <v/>
      </c>
      <c r="IB459" s="1456">
        <f t="shared" si="215"/>
        <v>15</v>
      </c>
      <c r="IC459" s="1456" t="str">
        <f t="shared" si="216"/>
        <v/>
      </c>
      <c r="ID459" s="1456" t="str">
        <f t="shared" si="217"/>
        <v/>
      </c>
      <c r="IE459" s="1456" t="str">
        <f t="shared" si="218"/>
        <v/>
      </c>
      <c r="IF459" s="1456" t="str">
        <f t="shared" si="219"/>
        <v/>
      </c>
      <c r="IG459" s="1456" t="str">
        <f t="shared" si="220"/>
        <v/>
      </c>
      <c r="IH459" s="1456" t="str">
        <f t="shared" si="221"/>
        <v/>
      </c>
      <c r="II459" s="1456" t="str">
        <f t="shared" si="222"/>
        <v/>
      </c>
      <c r="IJ459" s="1456" t="str">
        <f t="shared" si="223"/>
        <v/>
      </c>
      <c r="IK459" s="1456" t="str">
        <f t="shared" si="224"/>
        <v/>
      </c>
      <c r="IL459" s="1456" t="str">
        <f t="shared" si="225"/>
        <v/>
      </c>
      <c r="IM459" s="1456" t="str">
        <f t="shared" si="226"/>
        <v/>
      </c>
      <c r="IN459" s="1456" t="str">
        <f t="shared" si="227"/>
        <v/>
      </c>
      <c r="IO459" s="1456" t="str">
        <f t="shared" si="228"/>
        <v/>
      </c>
      <c r="IP459" s="1456" t="str">
        <f t="shared" si="229"/>
        <v/>
      </c>
      <c r="IQ459" s="1456" t="str">
        <f t="shared" si="230"/>
        <v/>
      </c>
      <c r="IR459" s="1456" t="str">
        <f t="shared" si="231"/>
        <v/>
      </c>
      <c r="IS459" s="1456" t="str">
        <f t="shared" si="232"/>
        <v/>
      </c>
      <c r="IT459" s="1456" t="str">
        <f t="shared" si="233"/>
        <v/>
      </c>
      <c r="IU459" s="1456" t="str">
        <f t="shared" si="234"/>
        <v/>
      </c>
      <c r="IV459" s="1456" t="str">
        <f t="shared" si="235"/>
        <v/>
      </c>
      <c r="IW459" s="1456" t="str">
        <f t="shared" si="236"/>
        <v/>
      </c>
      <c r="IX459" s="1456" t="str">
        <f t="shared" si="237"/>
        <v/>
      </c>
      <c r="IY459" s="1456" t="str">
        <f t="shared" si="238"/>
        <v/>
      </c>
      <c r="IZ459" s="1456" t="str">
        <f t="shared" si="239"/>
        <v/>
      </c>
      <c r="JA459" s="1456" t="str">
        <f t="shared" si="240"/>
        <v/>
      </c>
      <c r="JB459" s="1456" t="str">
        <f t="shared" si="241"/>
        <v/>
      </c>
      <c r="JC459" s="1456" t="str">
        <f t="shared" si="242"/>
        <v/>
      </c>
      <c r="JD459" s="1456" t="str">
        <f t="shared" si="243"/>
        <v/>
      </c>
      <c r="JE459" s="1456" t="str">
        <f t="shared" si="244"/>
        <v/>
      </c>
      <c r="JF459" s="1456" t="str">
        <f t="shared" si="245"/>
        <v/>
      </c>
      <c r="JG459" s="1456" t="str">
        <f t="shared" si="246"/>
        <v/>
      </c>
      <c r="JH459" s="1456" t="str">
        <f t="shared" si="247"/>
        <v/>
      </c>
      <c r="JI459" s="1456" t="str">
        <f t="shared" si="248"/>
        <v/>
      </c>
      <c r="JJ459" s="1456" t="str">
        <f t="shared" si="249"/>
        <v/>
      </c>
      <c r="JK459" s="1456" t="str">
        <f t="shared" si="250"/>
        <v/>
      </c>
      <c r="JL459" s="1456" t="str">
        <f t="shared" si="251"/>
        <v/>
      </c>
      <c r="JM459" s="1456" t="str">
        <f t="shared" si="252"/>
        <v/>
      </c>
      <c r="JN459" s="1456" t="str">
        <f t="shared" si="253"/>
        <v/>
      </c>
      <c r="JO459" s="1456" t="str">
        <f t="shared" si="254"/>
        <v/>
      </c>
      <c r="JP459" s="1456" t="str">
        <f t="shared" si="255"/>
        <v/>
      </c>
      <c r="JQ459" s="1456" t="str">
        <f t="shared" si="256"/>
        <v/>
      </c>
      <c r="JR459" s="1456" t="str">
        <f t="shared" si="257"/>
        <v/>
      </c>
      <c r="JS459" s="1456" t="str">
        <f t="shared" si="258"/>
        <v/>
      </c>
      <c r="JT459" s="1456" t="str">
        <f t="shared" si="259"/>
        <v/>
      </c>
      <c r="JU459" s="1456" t="str">
        <f t="shared" si="260"/>
        <v/>
      </c>
      <c r="JV459" s="1456" t="str">
        <f t="shared" si="261"/>
        <v/>
      </c>
      <c r="JW459" s="1456" t="str">
        <f t="shared" si="262"/>
        <v/>
      </c>
      <c r="JX459" s="1456" t="str">
        <f t="shared" si="263"/>
        <v/>
      </c>
      <c r="JY459" s="1456" t="str">
        <f t="shared" si="264"/>
        <v/>
      </c>
      <c r="JZ459" s="1456">
        <f t="shared" si="265"/>
        <v>15</v>
      </c>
      <c r="KA459" s="1456" t="str">
        <f t="shared" si="266"/>
        <v/>
      </c>
      <c r="KB459" s="1456" t="str">
        <f t="shared" si="267"/>
        <v/>
      </c>
      <c r="KC459" s="1456" t="str">
        <f t="shared" si="268"/>
        <v/>
      </c>
      <c r="KD459" s="1456" t="str">
        <f t="shared" si="269"/>
        <v/>
      </c>
      <c r="KE459" s="1456" t="str">
        <f t="shared" si="270"/>
        <v/>
      </c>
      <c r="KF459" s="1456" t="str">
        <f t="shared" si="271"/>
        <v/>
      </c>
      <c r="KG459" s="1456" t="str">
        <f t="shared" si="272"/>
        <v/>
      </c>
      <c r="KH459" s="1456" t="str">
        <f t="shared" si="273"/>
        <v/>
      </c>
      <c r="KI459" s="1456" t="str">
        <f t="shared" si="274"/>
        <v/>
      </c>
      <c r="KJ459" s="1456" t="str">
        <f t="shared" si="275"/>
        <v/>
      </c>
      <c r="KK459" s="1456" t="str">
        <f t="shared" si="276"/>
        <v/>
      </c>
      <c r="KL459" s="1456" t="str">
        <f t="shared" si="277"/>
        <v/>
      </c>
      <c r="KM459" s="1456" t="str">
        <f t="shared" si="278"/>
        <v/>
      </c>
      <c r="KN459" s="1456" t="str">
        <f t="shared" si="279"/>
        <v/>
      </c>
      <c r="KO459" s="1456" t="str">
        <f t="shared" si="280"/>
        <v/>
      </c>
      <c r="KP459" s="1456" t="str">
        <f t="shared" si="281"/>
        <v/>
      </c>
      <c r="KQ459" s="1456" t="str">
        <f t="shared" si="282"/>
        <v/>
      </c>
      <c r="KR459" s="1456" t="str">
        <f t="shared" si="283"/>
        <v/>
      </c>
      <c r="KS459" s="1456" t="str">
        <f t="shared" si="284"/>
        <v/>
      </c>
      <c r="KT459" s="1456" t="str">
        <f t="shared" si="285"/>
        <v/>
      </c>
      <c r="KU459" s="1456" t="str">
        <f t="shared" si="286"/>
        <v/>
      </c>
      <c r="KV459" s="1456" t="str">
        <f t="shared" si="287"/>
        <v/>
      </c>
      <c r="KW459" s="1456" t="str">
        <f t="shared" si="288"/>
        <v/>
      </c>
      <c r="KX459" s="1456" t="str">
        <f t="shared" si="289"/>
        <v/>
      </c>
      <c r="KY459" s="1456" t="str">
        <f t="shared" si="290"/>
        <v/>
      </c>
      <c r="KZ459" s="1456" t="str">
        <f t="shared" si="291"/>
        <v/>
      </c>
      <c r="LA459" s="1456" t="str">
        <f t="shared" si="292"/>
        <v/>
      </c>
      <c r="LB459" s="1456" t="str">
        <f t="shared" si="293"/>
        <v/>
      </c>
      <c r="LC459" s="1456" t="str">
        <f t="shared" si="294"/>
        <v/>
      </c>
      <c r="LD459" s="1456" t="str">
        <f t="shared" si="295"/>
        <v/>
      </c>
      <c r="LE459" s="1456" t="str">
        <f t="shared" si="296"/>
        <v/>
      </c>
      <c r="LF459" s="1456" t="str">
        <f t="shared" si="297"/>
        <v/>
      </c>
      <c r="LG459" s="1446" t="str">
        <f t="shared" si="298"/>
        <v/>
      </c>
      <c r="LH459" s="1446" t="str">
        <f t="shared" si="299"/>
        <v/>
      </c>
      <c r="LI459" s="1446" t="str">
        <f t="shared" si="300"/>
        <v/>
      </c>
      <c r="LJ459" s="1446" t="str">
        <f t="shared" si="301"/>
        <v/>
      </c>
      <c r="LK459" s="1446"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318">
        <f t="shared" si="323"/>
        <v>0</v>
      </c>
      <c r="MG459" s="1318">
        <f t="shared" si="324"/>
        <v>0</v>
      </c>
      <c r="MH459" s="1318">
        <f t="shared" si="325"/>
        <v>0</v>
      </c>
      <c r="MI459" s="1318">
        <f t="shared" si="326"/>
        <v>0</v>
      </c>
      <c r="MJ459" s="1318">
        <f t="shared" si="327"/>
        <v>0</v>
      </c>
      <c r="MK459" s="1318">
        <f t="shared" si="333"/>
        <v>0</v>
      </c>
      <c r="ML459" s="1318">
        <f t="shared" si="334"/>
        <v>0</v>
      </c>
      <c r="MM459" s="1318">
        <f t="shared" si="335"/>
        <v>15</v>
      </c>
      <c r="MN459" s="1318">
        <f t="shared" si="336"/>
        <v>0</v>
      </c>
      <c r="MO459" s="1318">
        <f t="shared" si="337"/>
        <v>0</v>
      </c>
      <c r="MP459" s="1318">
        <f t="shared" si="328"/>
        <v>0</v>
      </c>
      <c r="MQ459" s="1318">
        <f t="shared" si="329"/>
        <v>0</v>
      </c>
      <c r="MR459" s="1318">
        <f t="shared" si="330"/>
        <v>0</v>
      </c>
      <c r="MS459" s="1318">
        <f t="shared" si="331"/>
        <v>0</v>
      </c>
      <c r="MT459" s="1318">
        <f t="shared" si="332"/>
        <v>0</v>
      </c>
      <c r="NP459" s="251" t="s">
        <v>1162</v>
      </c>
    </row>
    <row r="460" spans="1:380" ht="13.9" customHeight="1">
      <c r="A460" s="2246" t="str">
        <f t="shared" si="0"/>
        <v/>
      </c>
      <c r="B460" s="2265">
        <f>'Part V-Revenues &amp; Expenses'!B22</f>
        <v>0</v>
      </c>
      <c r="C460" s="2266">
        <f>'Part V-Revenues &amp; Expenses'!C22</f>
        <v>0</v>
      </c>
      <c r="D460" s="2267">
        <f>'Part V-Revenues &amp; Expenses'!D22</f>
        <v>0</v>
      </c>
      <c r="E460" s="2268">
        <f>'Part V-Revenues &amp; Expenses'!E22</f>
        <v>0</v>
      </c>
      <c r="F460" s="2268">
        <f>'Part V-Revenues &amp; Expenses'!F22</f>
        <v>0</v>
      </c>
      <c r="G460" s="2268">
        <f>'Part V-Revenues &amp; Expenses'!G22</f>
        <v>0</v>
      </c>
      <c r="H460" s="2268">
        <f>'Part V-Revenues &amp; Expenses'!H22</f>
        <v>0</v>
      </c>
      <c r="I460" s="2268">
        <f>'Part V-Revenues &amp; Expenses'!I22</f>
        <v>0</v>
      </c>
      <c r="J460" s="2268">
        <f>'Part V-Revenues &amp; Expenses'!J22</f>
        <v>0</v>
      </c>
      <c r="K460" s="2269">
        <f>'Part V-Revenues &amp; Expenses'!K22</f>
        <v>0</v>
      </c>
      <c r="L460" s="2270">
        <f t="shared" si="1"/>
        <v>0</v>
      </c>
      <c r="M460" s="2270">
        <f t="shared" si="2"/>
        <v>0</v>
      </c>
      <c r="N460" s="2139">
        <f>'Part V-Revenues &amp; Expenses'!N22</f>
        <v>0</v>
      </c>
      <c r="O460" s="963">
        <f>'Part V-Revenues &amp; Expenses'!O22</f>
        <v>0</v>
      </c>
      <c r="P460" s="2139">
        <f>'Part V-Revenues &amp; Expenses'!P22</f>
        <v>0</v>
      </c>
      <c r="Q460" s="1455">
        <f>'Part V-Revenues &amp; Expenses'!Q22</f>
        <v>0</v>
      </c>
      <c r="R460" s="2271"/>
      <c r="S460" s="2272"/>
      <c r="T460" s="2273"/>
      <c r="U460" s="2273"/>
      <c r="V460" s="2273"/>
      <c r="W460" s="2273"/>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456" t="str">
        <f t="shared" si="213"/>
        <v/>
      </c>
      <c r="IA460" s="1456" t="str">
        <f t="shared" si="214"/>
        <v/>
      </c>
      <c r="IB460" s="1456" t="str">
        <f t="shared" si="215"/>
        <v/>
      </c>
      <c r="IC460" s="1456" t="str">
        <f t="shared" si="216"/>
        <v/>
      </c>
      <c r="ID460" s="1456" t="str">
        <f t="shared" si="217"/>
        <v/>
      </c>
      <c r="IE460" s="1456" t="str">
        <f t="shared" si="218"/>
        <v/>
      </c>
      <c r="IF460" s="1456" t="str">
        <f t="shared" si="219"/>
        <v/>
      </c>
      <c r="IG460" s="1456" t="str">
        <f t="shared" si="220"/>
        <v/>
      </c>
      <c r="IH460" s="1456" t="str">
        <f t="shared" si="221"/>
        <v/>
      </c>
      <c r="II460" s="1456" t="str">
        <f t="shared" si="222"/>
        <v/>
      </c>
      <c r="IJ460" s="1456" t="str">
        <f t="shared" si="223"/>
        <v/>
      </c>
      <c r="IK460" s="1456" t="str">
        <f t="shared" si="224"/>
        <v/>
      </c>
      <c r="IL460" s="1456" t="str">
        <f t="shared" si="225"/>
        <v/>
      </c>
      <c r="IM460" s="1456" t="str">
        <f t="shared" si="226"/>
        <v/>
      </c>
      <c r="IN460" s="1456" t="str">
        <f t="shared" si="227"/>
        <v/>
      </c>
      <c r="IO460" s="1456" t="str">
        <f t="shared" si="228"/>
        <v/>
      </c>
      <c r="IP460" s="1456" t="str">
        <f t="shared" si="229"/>
        <v/>
      </c>
      <c r="IQ460" s="1456" t="str">
        <f t="shared" si="230"/>
        <v/>
      </c>
      <c r="IR460" s="1456" t="str">
        <f t="shared" si="231"/>
        <v/>
      </c>
      <c r="IS460" s="1456" t="str">
        <f t="shared" si="232"/>
        <v/>
      </c>
      <c r="IT460" s="1456" t="str">
        <f t="shared" si="233"/>
        <v/>
      </c>
      <c r="IU460" s="1456" t="str">
        <f t="shared" si="234"/>
        <v/>
      </c>
      <c r="IV460" s="1456" t="str">
        <f t="shared" si="235"/>
        <v/>
      </c>
      <c r="IW460" s="1456" t="str">
        <f t="shared" si="236"/>
        <v/>
      </c>
      <c r="IX460" s="1456" t="str">
        <f t="shared" si="237"/>
        <v/>
      </c>
      <c r="IY460" s="1456" t="str">
        <f t="shared" si="238"/>
        <v/>
      </c>
      <c r="IZ460" s="1456" t="str">
        <f t="shared" si="239"/>
        <v/>
      </c>
      <c r="JA460" s="1456" t="str">
        <f t="shared" si="240"/>
        <v/>
      </c>
      <c r="JB460" s="1456" t="str">
        <f t="shared" si="241"/>
        <v/>
      </c>
      <c r="JC460" s="1456" t="str">
        <f t="shared" si="242"/>
        <v/>
      </c>
      <c r="JD460" s="1456" t="str">
        <f t="shared" si="243"/>
        <v/>
      </c>
      <c r="JE460" s="1456" t="str">
        <f t="shared" si="244"/>
        <v/>
      </c>
      <c r="JF460" s="1456" t="str">
        <f t="shared" si="245"/>
        <v/>
      </c>
      <c r="JG460" s="1456" t="str">
        <f t="shared" si="246"/>
        <v/>
      </c>
      <c r="JH460" s="1456" t="str">
        <f t="shared" si="247"/>
        <v/>
      </c>
      <c r="JI460" s="1456" t="str">
        <f t="shared" si="248"/>
        <v/>
      </c>
      <c r="JJ460" s="1456" t="str">
        <f t="shared" si="249"/>
        <v/>
      </c>
      <c r="JK460" s="1456" t="str">
        <f t="shared" si="250"/>
        <v/>
      </c>
      <c r="JL460" s="1456" t="str">
        <f t="shared" si="251"/>
        <v/>
      </c>
      <c r="JM460" s="1456" t="str">
        <f t="shared" si="252"/>
        <v/>
      </c>
      <c r="JN460" s="1456" t="str">
        <f t="shared" si="253"/>
        <v/>
      </c>
      <c r="JO460" s="1456" t="str">
        <f t="shared" si="254"/>
        <v/>
      </c>
      <c r="JP460" s="1456" t="str">
        <f t="shared" si="255"/>
        <v/>
      </c>
      <c r="JQ460" s="1456" t="str">
        <f t="shared" si="256"/>
        <v/>
      </c>
      <c r="JR460" s="1456" t="str">
        <f t="shared" si="257"/>
        <v/>
      </c>
      <c r="JS460" s="1456" t="str">
        <f t="shared" si="258"/>
        <v/>
      </c>
      <c r="JT460" s="1456" t="str">
        <f t="shared" si="259"/>
        <v/>
      </c>
      <c r="JU460" s="1456" t="str">
        <f t="shared" si="260"/>
        <v/>
      </c>
      <c r="JV460" s="1456" t="str">
        <f t="shared" si="261"/>
        <v/>
      </c>
      <c r="JW460" s="1456" t="str">
        <f t="shared" si="262"/>
        <v/>
      </c>
      <c r="JX460" s="1456" t="str">
        <f t="shared" si="263"/>
        <v/>
      </c>
      <c r="JY460" s="1456" t="str">
        <f t="shared" si="264"/>
        <v/>
      </c>
      <c r="JZ460" s="1456" t="str">
        <f t="shared" si="265"/>
        <v/>
      </c>
      <c r="KA460" s="1456" t="str">
        <f t="shared" si="266"/>
        <v/>
      </c>
      <c r="KB460" s="1456" t="str">
        <f t="shared" si="267"/>
        <v/>
      </c>
      <c r="KC460" s="1456" t="str">
        <f t="shared" si="268"/>
        <v/>
      </c>
      <c r="KD460" s="1456" t="str">
        <f t="shared" si="269"/>
        <v/>
      </c>
      <c r="KE460" s="1456" t="str">
        <f t="shared" si="270"/>
        <v/>
      </c>
      <c r="KF460" s="1456" t="str">
        <f t="shared" si="271"/>
        <v/>
      </c>
      <c r="KG460" s="1456" t="str">
        <f t="shared" si="272"/>
        <v/>
      </c>
      <c r="KH460" s="1456" t="str">
        <f t="shared" si="273"/>
        <v/>
      </c>
      <c r="KI460" s="1456" t="str">
        <f t="shared" si="274"/>
        <v/>
      </c>
      <c r="KJ460" s="1456" t="str">
        <f t="shared" si="275"/>
        <v/>
      </c>
      <c r="KK460" s="1456" t="str">
        <f t="shared" si="276"/>
        <v/>
      </c>
      <c r="KL460" s="1456" t="str">
        <f t="shared" si="277"/>
        <v/>
      </c>
      <c r="KM460" s="1456" t="str">
        <f t="shared" si="278"/>
        <v/>
      </c>
      <c r="KN460" s="1456" t="str">
        <f t="shared" si="279"/>
        <v/>
      </c>
      <c r="KO460" s="1456" t="str">
        <f t="shared" si="280"/>
        <v/>
      </c>
      <c r="KP460" s="1456" t="str">
        <f t="shared" si="281"/>
        <v/>
      </c>
      <c r="KQ460" s="1456" t="str">
        <f t="shared" si="282"/>
        <v/>
      </c>
      <c r="KR460" s="1456" t="str">
        <f t="shared" si="283"/>
        <v/>
      </c>
      <c r="KS460" s="1456" t="str">
        <f t="shared" si="284"/>
        <v/>
      </c>
      <c r="KT460" s="1456" t="str">
        <f t="shared" si="285"/>
        <v/>
      </c>
      <c r="KU460" s="1456" t="str">
        <f t="shared" si="286"/>
        <v/>
      </c>
      <c r="KV460" s="1456" t="str">
        <f t="shared" si="287"/>
        <v/>
      </c>
      <c r="KW460" s="1456" t="str">
        <f t="shared" si="288"/>
        <v/>
      </c>
      <c r="KX460" s="1456" t="str">
        <f t="shared" si="289"/>
        <v/>
      </c>
      <c r="KY460" s="1456" t="str">
        <f t="shared" si="290"/>
        <v/>
      </c>
      <c r="KZ460" s="1456" t="str">
        <f t="shared" si="291"/>
        <v/>
      </c>
      <c r="LA460" s="1456" t="str">
        <f t="shared" si="292"/>
        <v/>
      </c>
      <c r="LB460" s="1456" t="str">
        <f t="shared" si="293"/>
        <v/>
      </c>
      <c r="LC460" s="1456" t="str">
        <f t="shared" si="294"/>
        <v/>
      </c>
      <c r="LD460" s="1456" t="str">
        <f t="shared" si="295"/>
        <v/>
      </c>
      <c r="LE460" s="1456" t="str">
        <f t="shared" si="296"/>
        <v/>
      </c>
      <c r="LF460" s="1456" t="str">
        <f t="shared" si="297"/>
        <v/>
      </c>
      <c r="LG460" s="1446" t="str">
        <f t="shared" si="298"/>
        <v/>
      </c>
      <c r="LH460" s="1446" t="str">
        <f t="shared" si="299"/>
        <v/>
      </c>
      <c r="LI460" s="1446" t="str">
        <f t="shared" si="300"/>
        <v/>
      </c>
      <c r="LJ460" s="1446" t="str">
        <f t="shared" si="301"/>
        <v/>
      </c>
      <c r="LK460" s="1446"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318">
        <f t="shared" si="323"/>
        <v>0</v>
      </c>
      <c r="MG460" s="1318">
        <f t="shared" si="324"/>
        <v>0</v>
      </c>
      <c r="MH460" s="1318">
        <f t="shared" si="325"/>
        <v>0</v>
      </c>
      <c r="MI460" s="1318">
        <f t="shared" si="326"/>
        <v>0</v>
      </c>
      <c r="MJ460" s="1318">
        <f t="shared" si="327"/>
        <v>0</v>
      </c>
      <c r="MK460" s="1318">
        <f t="shared" si="333"/>
        <v>0</v>
      </c>
      <c r="ML460" s="1318">
        <f t="shared" si="334"/>
        <v>0</v>
      </c>
      <c r="MM460" s="1318">
        <f t="shared" si="335"/>
        <v>0</v>
      </c>
      <c r="MN460" s="1318">
        <f t="shared" si="336"/>
        <v>0</v>
      </c>
      <c r="MO460" s="1318">
        <f t="shared" si="337"/>
        <v>0</v>
      </c>
      <c r="MP460" s="1318">
        <f t="shared" si="328"/>
        <v>0</v>
      </c>
      <c r="MQ460" s="1318">
        <f t="shared" si="329"/>
        <v>0</v>
      </c>
      <c r="MR460" s="1318">
        <f t="shared" si="330"/>
        <v>0</v>
      </c>
      <c r="MS460" s="1318">
        <f t="shared" si="331"/>
        <v>0</v>
      </c>
      <c r="MT460" s="1318">
        <f t="shared" si="332"/>
        <v>0</v>
      </c>
      <c r="NP460" s="251" t="s">
        <v>1163</v>
      </c>
    </row>
    <row r="461" spans="1:380" ht="13.9" customHeight="1">
      <c r="A461" s="2246" t="str">
        <f t="shared" si="0"/>
        <v/>
      </c>
      <c r="B461" s="2265">
        <f>'Part V-Revenues &amp; Expenses'!B23</f>
        <v>0</v>
      </c>
      <c r="C461" s="2266">
        <f>'Part V-Revenues &amp; Expenses'!C23</f>
        <v>0</v>
      </c>
      <c r="D461" s="2267">
        <f>'Part V-Revenues &amp; Expenses'!D23</f>
        <v>0</v>
      </c>
      <c r="E461" s="2268">
        <f>'Part V-Revenues &amp; Expenses'!E23</f>
        <v>0</v>
      </c>
      <c r="F461" s="2268">
        <f>'Part V-Revenues &amp; Expenses'!F23</f>
        <v>0</v>
      </c>
      <c r="G461" s="2268">
        <f>'Part V-Revenues &amp; Expenses'!G23</f>
        <v>0</v>
      </c>
      <c r="H461" s="2268">
        <f>'Part V-Revenues &amp; Expenses'!H23</f>
        <v>0</v>
      </c>
      <c r="I461" s="2268">
        <f>'Part V-Revenues &amp; Expenses'!I23</f>
        <v>0</v>
      </c>
      <c r="J461" s="2268">
        <f>'Part V-Revenues &amp; Expenses'!J23</f>
        <v>0</v>
      </c>
      <c r="K461" s="2269">
        <f>'Part V-Revenues &amp; Expenses'!K23</f>
        <v>0</v>
      </c>
      <c r="L461" s="2270">
        <f t="shared" si="1"/>
        <v>0</v>
      </c>
      <c r="M461" s="2270">
        <f t="shared" si="2"/>
        <v>0</v>
      </c>
      <c r="N461" s="2139">
        <f>'Part V-Revenues &amp; Expenses'!N23</f>
        <v>0</v>
      </c>
      <c r="O461" s="963">
        <f>'Part V-Revenues &amp; Expenses'!O23</f>
        <v>0</v>
      </c>
      <c r="P461" s="2139">
        <f>'Part V-Revenues &amp; Expenses'!P23</f>
        <v>0</v>
      </c>
      <c r="Q461" s="1455">
        <f>'Part V-Revenues &amp; Expenses'!Q23</f>
        <v>0</v>
      </c>
      <c r="R461" s="2271"/>
      <c r="S461" s="2272"/>
      <c r="T461" s="2273"/>
      <c r="U461" s="2273"/>
      <c r="V461" s="2273"/>
      <c r="W461" s="2273"/>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456" t="str">
        <f t="shared" si="213"/>
        <v/>
      </c>
      <c r="IA461" s="1456" t="str">
        <f t="shared" si="214"/>
        <v/>
      </c>
      <c r="IB461" s="1456" t="str">
        <f t="shared" si="215"/>
        <v/>
      </c>
      <c r="IC461" s="1456" t="str">
        <f t="shared" si="216"/>
        <v/>
      </c>
      <c r="ID461" s="1456" t="str">
        <f t="shared" si="217"/>
        <v/>
      </c>
      <c r="IE461" s="1456" t="str">
        <f t="shared" si="218"/>
        <v/>
      </c>
      <c r="IF461" s="1456" t="str">
        <f t="shared" si="219"/>
        <v/>
      </c>
      <c r="IG461" s="1456" t="str">
        <f t="shared" si="220"/>
        <v/>
      </c>
      <c r="IH461" s="1456" t="str">
        <f t="shared" si="221"/>
        <v/>
      </c>
      <c r="II461" s="1456" t="str">
        <f t="shared" si="222"/>
        <v/>
      </c>
      <c r="IJ461" s="1456" t="str">
        <f t="shared" si="223"/>
        <v/>
      </c>
      <c r="IK461" s="1456" t="str">
        <f t="shared" si="224"/>
        <v/>
      </c>
      <c r="IL461" s="1456" t="str">
        <f t="shared" si="225"/>
        <v/>
      </c>
      <c r="IM461" s="1456" t="str">
        <f t="shared" si="226"/>
        <v/>
      </c>
      <c r="IN461" s="1456" t="str">
        <f t="shared" si="227"/>
        <v/>
      </c>
      <c r="IO461" s="1456" t="str">
        <f t="shared" si="228"/>
        <v/>
      </c>
      <c r="IP461" s="1456" t="str">
        <f t="shared" si="229"/>
        <v/>
      </c>
      <c r="IQ461" s="1456" t="str">
        <f t="shared" si="230"/>
        <v/>
      </c>
      <c r="IR461" s="1456" t="str">
        <f t="shared" si="231"/>
        <v/>
      </c>
      <c r="IS461" s="1456" t="str">
        <f t="shared" si="232"/>
        <v/>
      </c>
      <c r="IT461" s="1456" t="str">
        <f t="shared" si="233"/>
        <v/>
      </c>
      <c r="IU461" s="1456" t="str">
        <f t="shared" si="234"/>
        <v/>
      </c>
      <c r="IV461" s="1456" t="str">
        <f t="shared" si="235"/>
        <v/>
      </c>
      <c r="IW461" s="1456" t="str">
        <f t="shared" si="236"/>
        <v/>
      </c>
      <c r="IX461" s="1456" t="str">
        <f t="shared" si="237"/>
        <v/>
      </c>
      <c r="IY461" s="1456" t="str">
        <f t="shared" si="238"/>
        <v/>
      </c>
      <c r="IZ461" s="1456" t="str">
        <f t="shared" si="239"/>
        <v/>
      </c>
      <c r="JA461" s="1456" t="str">
        <f t="shared" si="240"/>
        <v/>
      </c>
      <c r="JB461" s="1456" t="str">
        <f t="shared" si="241"/>
        <v/>
      </c>
      <c r="JC461" s="1456" t="str">
        <f t="shared" si="242"/>
        <v/>
      </c>
      <c r="JD461" s="1456" t="str">
        <f t="shared" si="243"/>
        <v/>
      </c>
      <c r="JE461" s="1456" t="str">
        <f t="shared" si="244"/>
        <v/>
      </c>
      <c r="JF461" s="1456" t="str">
        <f t="shared" si="245"/>
        <v/>
      </c>
      <c r="JG461" s="1456" t="str">
        <f t="shared" si="246"/>
        <v/>
      </c>
      <c r="JH461" s="1456" t="str">
        <f t="shared" si="247"/>
        <v/>
      </c>
      <c r="JI461" s="1456" t="str">
        <f t="shared" si="248"/>
        <v/>
      </c>
      <c r="JJ461" s="1456" t="str">
        <f t="shared" si="249"/>
        <v/>
      </c>
      <c r="JK461" s="1456" t="str">
        <f t="shared" si="250"/>
        <v/>
      </c>
      <c r="JL461" s="1456" t="str">
        <f t="shared" si="251"/>
        <v/>
      </c>
      <c r="JM461" s="1456" t="str">
        <f t="shared" si="252"/>
        <v/>
      </c>
      <c r="JN461" s="1456" t="str">
        <f t="shared" si="253"/>
        <v/>
      </c>
      <c r="JO461" s="1456" t="str">
        <f t="shared" si="254"/>
        <v/>
      </c>
      <c r="JP461" s="1456" t="str">
        <f t="shared" si="255"/>
        <v/>
      </c>
      <c r="JQ461" s="1456" t="str">
        <f t="shared" si="256"/>
        <v/>
      </c>
      <c r="JR461" s="1456" t="str">
        <f t="shared" si="257"/>
        <v/>
      </c>
      <c r="JS461" s="1456" t="str">
        <f t="shared" si="258"/>
        <v/>
      </c>
      <c r="JT461" s="1456" t="str">
        <f t="shared" si="259"/>
        <v/>
      </c>
      <c r="JU461" s="1456" t="str">
        <f t="shared" si="260"/>
        <v/>
      </c>
      <c r="JV461" s="1456" t="str">
        <f t="shared" si="261"/>
        <v/>
      </c>
      <c r="JW461" s="1456" t="str">
        <f t="shared" si="262"/>
        <v/>
      </c>
      <c r="JX461" s="1456" t="str">
        <f t="shared" si="263"/>
        <v/>
      </c>
      <c r="JY461" s="1456" t="str">
        <f t="shared" si="264"/>
        <v/>
      </c>
      <c r="JZ461" s="1456" t="str">
        <f t="shared" si="265"/>
        <v/>
      </c>
      <c r="KA461" s="1456" t="str">
        <f t="shared" si="266"/>
        <v/>
      </c>
      <c r="KB461" s="1456" t="str">
        <f t="shared" si="267"/>
        <v/>
      </c>
      <c r="KC461" s="1456" t="str">
        <f t="shared" si="268"/>
        <v/>
      </c>
      <c r="KD461" s="1456" t="str">
        <f t="shared" si="269"/>
        <v/>
      </c>
      <c r="KE461" s="1456" t="str">
        <f t="shared" si="270"/>
        <v/>
      </c>
      <c r="KF461" s="1456" t="str">
        <f t="shared" si="271"/>
        <v/>
      </c>
      <c r="KG461" s="1456" t="str">
        <f t="shared" si="272"/>
        <v/>
      </c>
      <c r="KH461" s="1456" t="str">
        <f t="shared" si="273"/>
        <v/>
      </c>
      <c r="KI461" s="1456" t="str">
        <f t="shared" si="274"/>
        <v/>
      </c>
      <c r="KJ461" s="1456" t="str">
        <f t="shared" si="275"/>
        <v/>
      </c>
      <c r="KK461" s="1456" t="str">
        <f t="shared" si="276"/>
        <v/>
      </c>
      <c r="KL461" s="1456" t="str">
        <f t="shared" si="277"/>
        <v/>
      </c>
      <c r="KM461" s="1456" t="str">
        <f t="shared" si="278"/>
        <v/>
      </c>
      <c r="KN461" s="1456" t="str">
        <f t="shared" si="279"/>
        <v/>
      </c>
      <c r="KO461" s="1456" t="str">
        <f t="shared" si="280"/>
        <v/>
      </c>
      <c r="KP461" s="1456" t="str">
        <f t="shared" si="281"/>
        <v/>
      </c>
      <c r="KQ461" s="1456" t="str">
        <f t="shared" si="282"/>
        <v/>
      </c>
      <c r="KR461" s="1456" t="str">
        <f t="shared" si="283"/>
        <v/>
      </c>
      <c r="KS461" s="1456" t="str">
        <f t="shared" si="284"/>
        <v/>
      </c>
      <c r="KT461" s="1456" t="str">
        <f t="shared" si="285"/>
        <v/>
      </c>
      <c r="KU461" s="1456" t="str">
        <f t="shared" si="286"/>
        <v/>
      </c>
      <c r="KV461" s="1456" t="str">
        <f t="shared" si="287"/>
        <v/>
      </c>
      <c r="KW461" s="1456" t="str">
        <f t="shared" si="288"/>
        <v/>
      </c>
      <c r="KX461" s="1456" t="str">
        <f t="shared" si="289"/>
        <v/>
      </c>
      <c r="KY461" s="1456" t="str">
        <f t="shared" si="290"/>
        <v/>
      </c>
      <c r="KZ461" s="1456" t="str">
        <f t="shared" si="291"/>
        <v/>
      </c>
      <c r="LA461" s="1456" t="str">
        <f t="shared" si="292"/>
        <v/>
      </c>
      <c r="LB461" s="1456" t="str">
        <f t="shared" si="293"/>
        <v/>
      </c>
      <c r="LC461" s="1456" t="str">
        <f t="shared" si="294"/>
        <v/>
      </c>
      <c r="LD461" s="1456" t="str">
        <f t="shared" si="295"/>
        <v/>
      </c>
      <c r="LE461" s="1456" t="str">
        <f t="shared" si="296"/>
        <v/>
      </c>
      <c r="LF461" s="1456" t="str">
        <f t="shared" si="297"/>
        <v/>
      </c>
      <c r="LG461" s="1446" t="str">
        <f t="shared" si="298"/>
        <v/>
      </c>
      <c r="LH461" s="1446" t="str">
        <f t="shared" si="299"/>
        <v/>
      </c>
      <c r="LI461" s="1446" t="str">
        <f t="shared" si="300"/>
        <v/>
      </c>
      <c r="LJ461" s="1446" t="str">
        <f t="shared" si="301"/>
        <v/>
      </c>
      <c r="LK461" s="1446"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318">
        <f t="shared" si="323"/>
        <v>0</v>
      </c>
      <c r="MG461" s="1318">
        <f t="shared" si="324"/>
        <v>0</v>
      </c>
      <c r="MH461" s="1318">
        <f t="shared" si="325"/>
        <v>0</v>
      </c>
      <c r="MI461" s="1318">
        <f t="shared" si="326"/>
        <v>0</v>
      </c>
      <c r="MJ461" s="1318">
        <f t="shared" si="327"/>
        <v>0</v>
      </c>
      <c r="MK461" s="1318">
        <f t="shared" si="333"/>
        <v>0</v>
      </c>
      <c r="ML461" s="1318">
        <f t="shared" si="334"/>
        <v>0</v>
      </c>
      <c r="MM461" s="1318">
        <f t="shared" si="335"/>
        <v>0</v>
      </c>
      <c r="MN461" s="1318">
        <f t="shared" si="336"/>
        <v>0</v>
      </c>
      <c r="MO461" s="1318">
        <f t="shared" si="337"/>
        <v>0</v>
      </c>
      <c r="MP461" s="1318">
        <f t="shared" si="328"/>
        <v>0</v>
      </c>
      <c r="MQ461" s="1318">
        <f t="shared" si="329"/>
        <v>0</v>
      </c>
      <c r="MR461" s="1318">
        <f t="shared" si="330"/>
        <v>0</v>
      </c>
      <c r="MS461" s="1318">
        <f t="shared" si="331"/>
        <v>0</v>
      </c>
      <c r="MT461" s="1318">
        <f t="shared" si="332"/>
        <v>0</v>
      </c>
      <c r="NP461" s="251" t="s">
        <v>1164</v>
      </c>
    </row>
    <row r="462" spans="1:380" ht="13.9" customHeight="1">
      <c r="A462" s="2246" t="str">
        <f t="shared" si="0"/>
        <v/>
      </c>
      <c r="B462" s="2265">
        <f>'Part V-Revenues &amp; Expenses'!B24</f>
        <v>0</v>
      </c>
      <c r="C462" s="2266">
        <f>'Part V-Revenues &amp; Expenses'!C24</f>
        <v>0</v>
      </c>
      <c r="D462" s="2267">
        <f>'Part V-Revenues &amp; Expenses'!D24</f>
        <v>0</v>
      </c>
      <c r="E462" s="2268">
        <f>'Part V-Revenues &amp; Expenses'!E24</f>
        <v>0</v>
      </c>
      <c r="F462" s="2268">
        <f>'Part V-Revenues &amp; Expenses'!F24</f>
        <v>0</v>
      </c>
      <c r="G462" s="2268">
        <f>'Part V-Revenues &amp; Expenses'!G24</f>
        <v>0</v>
      </c>
      <c r="H462" s="2268">
        <f>'Part V-Revenues &amp; Expenses'!H24</f>
        <v>0</v>
      </c>
      <c r="I462" s="2268">
        <f>'Part V-Revenues &amp; Expenses'!I24</f>
        <v>0</v>
      </c>
      <c r="J462" s="2268">
        <f>'Part V-Revenues &amp; Expenses'!J24</f>
        <v>0</v>
      </c>
      <c r="K462" s="2269">
        <f>'Part V-Revenues &amp; Expenses'!K24</f>
        <v>0</v>
      </c>
      <c r="L462" s="2270">
        <f t="shared" si="1"/>
        <v>0</v>
      </c>
      <c r="M462" s="2270">
        <f t="shared" si="2"/>
        <v>0</v>
      </c>
      <c r="N462" s="2139">
        <f>'Part V-Revenues &amp; Expenses'!N24</f>
        <v>0</v>
      </c>
      <c r="O462" s="963">
        <f>'Part V-Revenues &amp; Expenses'!O24</f>
        <v>0</v>
      </c>
      <c r="P462" s="2139">
        <f>'Part V-Revenues &amp; Expenses'!P24</f>
        <v>0</v>
      </c>
      <c r="Q462" s="1455">
        <f>'Part V-Revenues &amp; Expenses'!Q24</f>
        <v>0</v>
      </c>
      <c r="R462" s="2271"/>
      <c r="S462" s="2272"/>
      <c r="T462" s="2273"/>
      <c r="U462" s="2273"/>
      <c r="V462" s="2273"/>
      <c r="W462" s="2273"/>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456" t="str">
        <f t="shared" si="213"/>
        <v/>
      </c>
      <c r="IA462" s="1456" t="str">
        <f t="shared" si="214"/>
        <v/>
      </c>
      <c r="IB462" s="1456" t="str">
        <f t="shared" si="215"/>
        <v/>
      </c>
      <c r="IC462" s="1456" t="str">
        <f t="shared" si="216"/>
        <v/>
      </c>
      <c r="ID462" s="1456" t="str">
        <f t="shared" si="217"/>
        <v/>
      </c>
      <c r="IE462" s="1456" t="str">
        <f t="shared" si="218"/>
        <v/>
      </c>
      <c r="IF462" s="1456" t="str">
        <f t="shared" si="219"/>
        <v/>
      </c>
      <c r="IG462" s="1456" t="str">
        <f t="shared" si="220"/>
        <v/>
      </c>
      <c r="IH462" s="1456" t="str">
        <f t="shared" si="221"/>
        <v/>
      </c>
      <c r="II462" s="1456" t="str">
        <f t="shared" si="222"/>
        <v/>
      </c>
      <c r="IJ462" s="1456" t="str">
        <f t="shared" si="223"/>
        <v/>
      </c>
      <c r="IK462" s="1456" t="str">
        <f t="shared" si="224"/>
        <v/>
      </c>
      <c r="IL462" s="1456" t="str">
        <f t="shared" si="225"/>
        <v/>
      </c>
      <c r="IM462" s="1456" t="str">
        <f t="shared" si="226"/>
        <v/>
      </c>
      <c r="IN462" s="1456" t="str">
        <f t="shared" si="227"/>
        <v/>
      </c>
      <c r="IO462" s="1456" t="str">
        <f t="shared" si="228"/>
        <v/>
      </c>
      <c r="IP462" s="1456" t="str">
        <f t="shared" si="229"/>
        <v/>
      </c>
      <c r="IQ462" s="1456" t="str">
        <f t="shared" si="230"/>
        <v/>
      </c>
      <c r="IR462" s="1456" t="str">
        <f t="shared" si="231"/>
        <v/>
      </c>
      <c r="IS462" s="1456" t="str">
        <f t="shared" si="232"/>
        <v/>
      </c>
      <c r="IT462" s="1456" t="str">
        <f t="shared" si="233"/>
        <v/>
      </c>
      <c r="IU462" s="1456" t="str">
        <f t="shared" si="234"/>
        <v/>
      </c>
      <c r="IV462" s="1456" t="str">
        <f t="shared" si="235"/>
        <v/>
      </c>
      <c r="IW462" s="1456" t="str">
        <f t="shared" si="236"/>
        <v/>
      </c>
      <c r="IX462" s="1456" t="str">
        <f t="shared" si="237"/>
        <v/>
      </c>
      <c r="IY462" s="1456" t="str">
        <f t="shared" si="238"/>
        <v/>
      </c>
      <c r="IZ462" s="1456" t="str">
        <f t="shared" si="239"/>
        <v/>
      </c>
      <c r="JA462" s="1456" t="str">
        <f t="shared" si="240"/>
        <v/>
      </c>
      <c r="JB462" s="1456" t="str">
        <f t="shared" si="241"/>
        <v/>
      </c>
      <c r="JC462" s="1456" t="str">
        <f t="shared" si="242"/>
        <v/>
      </c>
      <c r="JD462" s="1456" t="str">
        <f t="shared" si="243"/>
        <v/>
      </c>
      <c r="JE462" s="1456" t="str">
        <f t="shared" si="244"/>
        <v/>
      </c>
      <c r="JF462" s="1456" t="str">
        <f t="shared" si="245"/>
        <v/>
      </c>
      <c r="JG462" s="1456" t="str">
        <f t="shared" si="246"/>
        <v/>
      </c>
      <c r="JH462" s="1456" t="str">
        <f t="shared" si="247"/>
        <v/>
      </c>
      <c r="JI462" s="1456" t="str">
        <f t="shared" si="248"/>
        <v/>
      </c>
      <c r="JJ462" s="1456" t="str">
        <f t="shared" si="249"/>
        <v/>
      </c>
      <c r="JK462" s="1456" t="str">
        <f t="shared" si="250"/>
        <v/>
      </c>
      <c r="JL462" s="1456" t="str">
        <f t="shared" si="251"/>
        <v/>
      </c>
      <c r="JM462" s="1456" t="str">
        <f t="shared" si="252"/>
        <v/>
      </c>
      <c r="JN462" s="1456" t="str">
        <f t="shared" si="253"/>
        <v/>
      </c>
      <c r="JO462" s="1456" t="str">
        <f t="shared" si="254"/>
        <v/>
      </c>
      <c r="JP462" s="1456" t="str">
        <f t="shared" si="255"/>
        <v/>
      </c>
      <c r="JQ462" s="1456" t="str">
        <f t="shared" si="256"/>
        <v/>
      </c>
      <c r="JR462" s="1456" t="str">
        <f t="shared" si="257"/>
        <v/>
      </c>
      <c r="JS462" s="1456" t="str">
        <f t="shared" si="258"/>
        <v/>
      </c>
      <c r="JT462" s="1456" t="str">
        <f t="shared" si="259"/>
        <v/>
      </c>
      <c r="JU462" s="1456" t="str">
        <f t="shared" si="260"/>
        <v/>
      </c>
      <c r="JV462" s="1456" t="str">
        <f t="shared" si="261"/>
        <v/>
      </c>
      <c r="JW462" s="1456" t="str">
        <f t="shared" si="262"/>
        <v/>
      </c>
      <c r="JX462" s="1456" t="str">
        <f t="shared" si="263"/>
        <v/>
      </c>
      <c r="JY462" s="1456" t="str">
        <f t="shared" si="264"/>
        <v/>
      </c>
      <c r="JZ462" s="1456" t="str">
        <f t="shared" si="265"/>
        <v/>
      </c>
      <c r="KA462" s="1456" t="str">
        <f t="shared" si="266"/>
        <v/>
      </c>
      <c r="KB462" s="1456" t="str">
        <f t="shared" si="267"/>
        <v/>
      </c>
      <c r="KC462" s="1456" t="str">
        <f t="shared" si="268"/>
        <v/>
      </c>
      <c r="KD462" s="1456" t="str">
        <f t="shared" si="269"/>
        <v/>
      </c>
      <c r="KE462" s="1456" t="str">
        <f t="shared" si="270"/>
        <v/>
      </c>
      <c r="KF462" s="1456" t="str">
        <f t="shared" si="271"/>
        <v/>
      </c>
      <c r="KG462" s="1456" t="str">
        <f t="shared" si="272"/>
        <v/>
      </c>
      <c r="KH462" s="1456" t="str">
        <f t="shared" si="273"/>
        <v/>
      </c>
      <c r="KI462" s="1456" t="str">
        <f t="shared" si="274"/>
        <v/>
      </c>
      <c r="KJ462" s="1456" t="str">
        <f t="shared" si="275"/>
        <v/>
      </c>
      <c r="KK462" s="1456" t="str">
        <f t="shared" si="276"/>
        <v/>
      </c>
      <c r="KL462" s="1456" t="str">
        <f t="shared" si="277"/>
        <v/>
      </c>
      <c r="KM462" s="1456" t="str">
        <f t="shared" si="278"/>
        <v/>
      </c>
      <c r="KN462" s="1456" t="str">
        <f t="shared" si="279"/>
        <v/>
      </c>
      <c r="KO462" s="1456" t="str">
        <f t="shared" si="280"/>
        <v/>
      </c>
      <c r="KP462" s="1456" t="str">
        <f t="shared" si="281"/>
        <v/>
      </c>
      <c r="KQ462" s="1456" t="str">
        <f t="shared" si="282"/>
        <v/>
      </c>
      <c r="KR462" s="1456" t="str">
        <f t="shared" si="283"/>
        <v/>
      </c>
      <c r="KS462" s="1456" t="str">
        <f t="shared" si="284"/>
        <v/>
      </c>
      <c r="KT462" s="1456" t="str">
        <f t="shared" si="285"/>
        <v/>
      </c>
      <c r="KU462" s="1456" t="str">
        <f t="shared" si="286"/>
        <v/>
      </c>
      <c r="KV462" s="1456" t="str">
        <f t="shared" si="287"/>
        <v/>
      </c>
      <c r="KW462" s="1456" t="str">
        <f t="shared" si="288"/>
        <v/>
      </c>
      <c r="KX462" s="1456" t="str">
        <f t="shared" si="289"/>
        <v/>
      </c>
      <c r="KY462" s="1456" t="str">
        <f t="shared" si="290"/>
        <v/>
      </c>
      <c r="KZ462" s="1456" t="str">
        <f t="shared" si="291"/>
        <v/>
      </c>
      <c r="LA462" s="1456" t="str">
        <f t="shared" si="292"/>
        <v/>
      </c>
      <c r="LB462" s="1456" t="str">
        <f t="shared" si="293"/>
        <v/>
      </c>
      <c r="LC462" s="1456" t="str">
        <f t="shared" si="294"/>
        <v/>
      </c>
      <c r="LD462" s="1456" t="str">
        <f t="shared" si="295"/>
        <v/>
      </c>
      <c r="LE462" s="1456" t="str">
        <f t="shared" si="296"/>
        <v/>
      </c>
      <c r="LF462" s="1456" t="str">
        <f t="shared" si="297"/>
        <v/>
      </c>
      <c r="LG462" s="1446" t="str">
        <f t="shared" si="298"/>
        <v/>
      </c>
      <c r="LH462" s="1446" t="str">
        <f t="shared" si="299"/>
        <v/>
      </c>
      <c r="LI462" s="1446" t="str">
        <f t="shared" si="300"/>
        <v/>
      </c>
      <c r="LJ462" s="1446" t="str">
        <f t="shared" si="301"/>
        <v/>
      </c>
      <c r="LK462" s="1446"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318">
        <f t="shared" si="323"/>
        <v>0</v>
      </c>
      <c r="MG462" s="1318">
        <f t="shared" si="324"/>
        <v>0</v>
      </c>
      <c r="MH462" s="1318">
        <f t="shared" si="325"/>
        <v>0</v>
      </c>
      <c r="MI462" s="1318">
        <f t="shared" si="326"/>
        <v>0</v>
      </c>
      <c r="MJ462" s="1318">
        <f t="shared" si="327"/>
        <v>0</v>
      </c>
      <c r="MK462" s="1318">
        <f t="shared" si="333"/>
        <v>0</v>
      </c>
      <c r="ML462" s="1318">
        <f t="shared" si="334"/>
        <v>0</v>
      </c>
      <c r="MM462" s="1318">
        <f t="shared" si="335"/>
        <v>0</v>
      </c>
      <c r="MN462" s="1318">
        <f t="shared" si="336"/>
        <v>0</v>
      </c>
      <c r="MO462" s="1318">
        <f t="shared" si="337"/>
        <v>0</v>
      </c>
      <c r="MP462" s="1318">
        <f t="shared" si="328"/>
        <v>0</v>
      </c>
      <c r="MQ462" s="1318">
        <f t="shared" si="329"/>
        <v>0</v>
      </c>
      <c r="MR462" s="1318">
        <f t="shared" si="330"/>
        <v>0</v>
      </c>
      <c r="MS462" s="1318">
        <f t="shared" si="331"/>
        <v>0</v>
      </c>
      <c r="MT462" s="1318">
        <f t="shared" si="332"/>
        <v>0</v>
      </c>
      <c r="NP462" s="251" t="s">
        <v>1165</v>
      </c>
    </row>
    <row r="463" spans="1:380" ht="13.9" customHeight="1">
      <c r="A463" s="2246" t="str">
        <f t="shared" si="0"/>
        <v/>
      </c>
      <c r="B463" s="2265">
        <f>'Part V-Revenues &amp; Expenses'!B25</f>
        <v>0</v>
      </c>
      <c r="C463" s="2266">
        <f>'Part V-Revenues &amp; Expenses'!C25</f>
        <v>0</v>
      </c>
      <c r="D463" s="2267">
        <f>'Part V-Revenues &amp; Expenses'!D25</f>
        <v>0</v>
      </c>
      <c r="E463" s="2268">
        <f>'Part V-Revenues &amp; Expenses'!E25</f>
        <v>0</v>
      </c>
      <c r="F463" s="2268">
        <f>'Part V-Revenues &amp; Expenses'!F25</f>
        <v>0</v>
      </c>
      <c r="G463" s="2268">
        <f>'Part V-Revenues &amp; Expenses'!G25</f>
        <v>0</v>
      </c>
      <c r="H463" s="2268">
        <f>'Part V-Revenues &amp; Expenses'!H25</f>
        <v>0</v>
      </c>
      <c r="I463" s="2268">
        <f>'Part V-Revenues &amp; Expenses'!I25</f>
        <v>0</v>
      </c>
      <c r="J463" s="2268">
        <f>'Part V-Revenues &amp; Expenses'!J25</f>
        <v>0</v>
      </c>
      <c r="K463" s="2269">
        <f>'Part V-Revenues &amp; Expenses'!K25</f>
        <v>0</v>
      </c>
      <c r="L463" s="2270">
        <f t="shared" si="1"/>
        <v>0</v>
      </c>
      <c r="M463" s="2270">
        <f t="shared" si="2"/>
        <v>0</v>
      </c>
      <c r="N463" s="2139">
        <f>'Part V-Revenues &amp; Expenses'!N25</f>
        <v>0</v>
      </c>
      <c r="O463" s="963">
        <f>'Part V-Revenues &amp; Expenses'!O25</f>
        <v>0</v>
      </c>
      <c r="P463" s="2139">
        <f>'Part V-Revenues &amp; Expenses'!P25</f>
        <v>0</v>
      </c>
      <c r="Q463" s="1455">
        <f>'Part V-Revenues &amp; Expenses'!Q25</f>
        <v>0</v>
      </c>
      <c r="R463" s="2271"/>
      <c r="S463" s="2272"/>
      <c r="T463" s="2273"/>
      <c r="U463" s="2273"/>
      <c r="V463" s="2273"/>
      <c r="W463" s="2273"/>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456" t="str">
        <f t="shared" si="213"/>
        <v/>
      </c>
      <c r="IA463" s="1456" t="str">
        <f t="shared" si="214"/>
        <v/>
      </c>
      <c r="IB463" s="1456" t="str">
        <f t="shared" si="215"/>
        <v/>
      </c>
      <c r="IC463" s="1456" t="str">
        <f t="shared" si="216"/>
        <v/>
      </c>
      <c r="ID463" s="1456" t="str">
        <f t="shared" si="217"/>
        <v/>
      </c>
      <c r="IE463" s="1456" t="str">
        <f t="shared" si="218"/>
        <v/>
      </c>
      <c r="IF463" s="1456" t="str">
        <f t="shared" si="219"/>
        <v/>
      </c>
      <c r="IG463" s="1456" t="str">
        <f t="shared" si="220"/>
        <v/>
      </c>
      <c r="IH463" s="1456" t="str">
        <f t="shared" si="221"/>
        <v/>
      </c>
      <c r="II463" s="1456" t="str">
        <f t="shared" si="222"/>
        <v/>
      </c>
      <c r="IJ463" s="1456" t="str">
        <f t="shared" si="223"/>
        <v/>
      </c>
      <c r="IK463" s="1456" t="str">
        <f t="shared" si="224"/>
        <v/>
      </c>
      <c r="IL463" s="1456" t="str">
        <f t="shared" si="225"/>
        <v/>
      </c>
      <c r="IM463" s="1456" t="str">
        <f t="shared" si="226"/>
        <v/>
      </c>
      <c r="IN463" s="1456" t="str">
        <f t="shared" si="227"/>
        <v/>
      </c>
      <c r="IO463" s="1456" t="str">
        <f t="shared" si="228"/>
        <v/>
      </c>
      <c r="IP463" s="1456" t="str">
        <f t="shared" si="229"/>
        <v/>
      </c>
      <c r="IQ463" s="1456" t="str">
        <f t="shared" si="230"/>
        <v/>
      </c>
      <c r="IR463" s="1456" t="str">
        <f t="shared" si="231"/>
        <v/>
      </c>
      <c r="IS463" s="1456" t="str">
        <f t="shared" si="232"/>
        <v/>
      </c>
      <c r="IT463" s="1456" t="str">
        <f t="shared" si="233"/>
        <v/>
      </c>
      <c r="IU463" s="1456" t="str">
        <f t="shared" si="234"/>
        <v/>
      </c>
      <c r="IV463" s="1456" t="str">
        <f t="shared" si="235"/>
        <v/>
      </c>
      <c r="IW463" s="1456" t="str">
        <f t="shared" si="236"/>
        <v/>
      </c>
      <c r="IX463" s="1456" t="str">
        <f t="shared" si="237"/>
        <v/>
      </c>
      <c r="IY463" s="1456" t="str">
        <f t="shared" si="238"/>
        <v/>
      </c>
      <c r="IZ463" s="1456" t="str">
        <f t="shared" si="239"/>
        <v/>
      </c>
      <c r="JA463" s="1456" t="str">
        <f t="shared" si="240"/>
        <v/>
      </c>
      <c r="JB463" s="1456" t="str">
        <f t="shared" si="241"/>
        <v/>
      </c>
      <c r="JC463" s="1456" t="str">
        <f t="shared" si="242"/>
        <v/>
      </c>
      <c r="JD463" s="1456" t="str">
        <f t="shared" si="243"/>
        <v/>
      </c>
      <c r="JE463" s="1456" t="str">
        <f t="shared" si="244"/>
        <v/>
      </c>
      <c r="JF463" s="1456" t="str">
        <f t="shared" si="245"/>
        <v/>
      </c>
      <c r="JG463" s="1456" t="str">
        <f t="shared" si="246"/>
        <v/>
      </c>
      <c r="JH463" s="1456" t="str">
        <f t="shared" si="247"/>
        <v/>
      </c>
      <c r="JI463" s="1456" t="str">
        <f t="shared" si="248"/>
        <v/>
      </c>
      <c r="JJ463" s="1456" t="str">
        <f t="shared" si="249"/>
        <v/>
      </c>
      <c r="JK463" s="1456" t="str">
        <f t="shared" si="250"/>
        <v/>
      </c>
      <c r="JL463" s="1456" t="str">
        <f t="shared" si="251"/>
        <v/>
      </c>
      <c r="JM463" s="1456" t="str">
        <f t="shared" si="252"/>
        <v/>
      </c>
      <c r="JN463" s="1456" t="str">
        <f t="shared" si="253"/>
        <v/>
      </c>
      <c r="JO463" s="1456" t="str">
        <f t="shared" si="254"/>
        <v/>
      </c>
      <c r="JP463" s="1456" t="str">
        <f t="shared" si="255"/>
        <v/>
      </c>
      <c r="JQ463" s="1456" t="str">
        <f t="shared" si="256"/>
        <v/>
      </c>
      <c r="JR463" s="1456" t="str">
        <f t="shared" si="257"/>
        <v/>
      </c>
      <c r="JS463" s="1456" t="str">
        <f t="shared" si="258"/>
        <v/>
      </c>
      <c r="JT463" s="1456" t="str">
        <f t="shared" si="259"/>
        <v/>
      </c>
      <c r="JU463" s="1456" t="str">
        <f t="shared" si="260"/>
        <v/>
      </c>
      <c r="JV463" s="1456" t="str">
        <f t="shared" si="261"/>
        <v/>
      </c>
      <c r="JW463" s="1456" t="str">
        <f t="shared" si="262"/>
        <v/>
      </c>
      <c r="JX463" s="1456" t="str">
        <f t="shared" si="263"/>
        <v/>
      </c>
      <c r="JY463" s="1456" t="str">
        <f t="shared" si="264"/>
        <v/>
      </c>
      <c r="JZ463" s="1456" t="str">
        <f t="shared" si="265"/>
        <v/>
      </c>
      <c r="KA463" s="1456" t="str">
        <f t="shared" si="266"/>
        <v/>
      </c>
      <c r="KB463" s="1456" t="str">
        <f t="shared" si="267"/>
        <v/>
      </c>
      <c r="KC463" s="1456" t="str">
        <f t="shared" si="268"/>
        <v/>
      </c>
      <c r="KD463" s="1456" t="str">
        <f t="shared" si="269"/>
        <v/>
      </c>
      <c r="KE463" s="1456" t="str">
        <f t="shared" si="270"/>
        <v/>
      </c>
      <c r="KF463" s="1456" t="str">
        <f t="shared" si="271"/>
        <v/>
      </c>
      <c r="KG463" s="1456" t="str">
        <f t="shared" si="272"/>
        <v/>
      </c>
      <c r="KH463" s="1456" t="str">
        <f t="shared" si="273"/>
        <v/>
      </c>
      <c r="KI463" s="1456" t="str">
        <f t="shared" si="274"/>
        <v/>
      </c>
      <c r="KJ463" s="1456" t="str">
        <f t="shared" si="275"/>
        <v/>
      </c>
      <c r="KK463" s="1456" t="str">
        <f t="shared" si="276"/>
        <v/>
      </c>
      <c r="KL463" s="1456" t="str">
        <f t="shared" si="277"/>
        <v/>
      </c>
      <c r="KM463" s="1456" t="str">
        <f t="shared" si="278"/>
        <v/>
      </c>
      <c r="KN463" s="1456" t="str">
        <f t="shared" si="279"/>
        <v/>
      </c>
      <c r="KO463" s="1456" t="str">
        <f t="shared" si="280"/>
        <v/>
      </c>
      <c r="KP463" s="1456" t="str">
        <f t="shared" si="281"/>
        <v/>
      </c>
      <c r="KQ463" s="1456" t="str">
        <f t="shared" si="282"/>
        <v/>
      </c>
      <c r="KR463" s="1456" t="str">
        <f t="shared" si="283"/>
        <v/>
      </c>
      <c r="KS463" s="1456" t="str">
        <f t="shared" si="284"/>
        <v/>
      </c>
      <c r="KT463" s="1456" t="str">
        <f t="shared" si="285"/>
        <v/>
      </c>
      <c r="KU463" s="1456" t="str">
        <f t="shared" si="286"/>
        <v/>
      </c>
      <c r="KV463" s="1456" t="str">
        <f t="shared" si="287"/>
        <v/>
      </c>
      <c r="KW463" s="1456" t="str">
        <f t="shared" si="288"/>
        <v/>
      </c>
      <c r="KX463" s="1456" t="str">
        <f t="shared" si="289"/>
        <v/>
      </c>
      <c r="KY463" s="1456" t="str">
        <f t="shared" si="290"/>
        <v/>
      </c>
      <c r="KZ463" s="1456" t="str">
        <f t="shared" si="291"/>
        <v/>
      </c>
      <c r="LA463" s="1456" t="str">
        <f t="shared" si="292"/>
        <v/>
      </c>
      <c r="LB463" s="1456" t="str">
        <f t="shared" si="293"/>
        <v/>
      </c>
      <c r="LC463" s="1456" t="str">
        <f t="shared" si="294"/>
        <v/>
      </c>
      <c r="LD463" s="1456" t="str">
        <f t="shared" si="295"/>
        <v/>
      </c>
      <c r="LE463" s="1456" t="str">
        <f t="shared" si="296"/>
        <v/>
      </c>
      <c r="LF463" s="1456" t="str">
        <f t="shared" si="297"/>
        <v/>
      </c>
      <c r="LG463" s="1446" t="str">
        <f t="shared" si="298"/>
        <v/>
      </c>
      <c r="LH463" s="1446" t="str">
        <f t="shared" si="299"/>
        <v/>
      </c>
      <c r="LI463" s="1446" t="str">
        <f t="shared" si="300"/>
        <v/>
      </c>
      <c r="LJ463" s="1446" t="str">
        <f t="shared" si="301"/>
        <v/>
      </c>
      <c r="LK463" s="1446"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318">
        <f t="shared" si="323"/>
        <v>0</v>
      </c>
      <c r="MG463" s="1318">
        <f t="shared" si="324"/>
        <v>0</v>
      </c>
      <c r="MH463" s="1318">
        <f t="shared" si="325"/>
        <v>0</v>
      </c>
      <c r="MI463" s="1318">
        <f t="shared" si="326"/>
        <v>0</v>
      </c>
      <c r="MJ463" s="1318">
        <f t="shared" si="327"/>
        <v>0</v>
      </c>
      <c r="MK463" s="1318">
        <f t="shared" si="333"/>
        <v>0</v>
      </c>
      <c r="ML463" s="1318">
        <f t="shared" si="334"/>
        <v>0</v>
      </c>
      <c r="MM463" s="1318">
        <f t="shared" si="335"/>
        <v>0</v>
      </c>
      <c r="MN463" s="1318">
        <f t="shared" si="336"/>
        <v>0</v>
      </c>
      <c r="MO463" s="1318">
        <f t="shared" si="337"/>
        <v>0</v>
      </c>
      <c r="MP463" s="1318">
        <f t="shared" si="328"/>
        <v>0</v>
      </c>
      <c r="MQ463" s="1318">
        <f t="shared" si="329"/>
        <v>0</v>
      </c>
      <c r="MR463" s="1318">
        <f t="shared" si="330"/>
        <v>0</v>
      </c>
      <c r="MS463" s="1318">
        <f t="shared" si="331"/>
        <v>0</v>
      </c>
      <c r="MT463" s="1318">
        <f t="shared" si="332"/>
        <v>0</v>
      </c>
      <c r="NP463" s="251" t="s">
        <v>1166</v>
      </c>
    </row>
    <row r="464" spans="1:380" ht="13.9" customHeight="1">
      <c r="A464" s="2246" t="str">
        <f t="shared" si="0"/>
        <v/>
      </c>
      <c r="B464" s="2265">
        <f>'Part V-Revenues &amp; Expenses'!B26</f>
        <v>0</v>
      </c>
      <c r="C464" s="2266">
        <f>'Part V-Revenues &amp; Expenses'!C26</f>
        <v>0</v>
      </c>
      <c r="D464" s="2267">
        <f>'Part V-Revenues &amp; Expenses'!D26</f>
        <v>0</v>
      </c>
      <c r="E464" s="2268">
        <f>'Part V-Revenues &amp; Expenses'!E26</f>
        <v>0</v>
      </c>
      <c r="F464" s="2268">
        <f>'Part V-Revenues &amp; Expenses'!F26</f>
        <v>0</v>
      </c>
      <c r="G464" s="2268">
        <f>'Part V-Revenues &amp; Expenses'!G26</f>
        <v>0</v>
      </c>
      <c r="H464" s="2268">
        <f>'Part V-Revenues &amp; Expenses'!H26</f>
        <v>0</v>
      </c>
      <c r="I464" s="2268">
        <f>'Part V-Revenues &amp; Expenses'!I26</f>
        <v>0</v>
      </c>
      <c r="J464" s="2268">
        <f>'Part V-Revenues &amp; Expenses'!J26</f>
        <v>0</v>
      </c>
      <c r="K464" s="2269">
        <f>'Part V-Revenues &amp; Expenses'!K26</f>
        <v>0</v>
      </c>
      <c r="L464" s="2270">
        <f t="shared" si="1"/>
        <v>0</v>
      </c>
      <c r="M464" s="2270">
        <f t="shared" si="2"/>
        <v>0</v>
      </c>
      <c r="N464" s="2139">
        <f>'Part V-Revenues &amp; Expenses'!N26</f>
        <v>0</v>
      </c>
      <c r="O464" s="963">
        <f>'Part V-Revenues &amp; Expenses'!O26</f>
        <v>0</v>
      </c>
      <c r="P464" s="2139">
        <f>'Part V-Revenues &amp; Expenses'!P26</f>
        <v>0</v>
      </c>
      <c r="Q464" s="1455">
        <f>'Part V-Revenues &amp; Expenses'!Q26</f>
        <v>0</v>
      </c>
      <c r="R464" s="2271"/>
      <c r="S464" s="2272"/>
      <c r="T464" s="2273"/>
      <c r="U464" s="2273"/>
      <c r="V464" s="2273"/>
      <c r="W464" s="2273"/>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456" t="str">
        <f t="shared" si="213"/>
        <v/>
      </c>
      <c r="IA464" s="1456" t="str">
        <f t="shared" si="214"/>
        <v/>
      </c>
      <c r="IB464" s="1456" t="str">
        <f t="shared" si="215"/>
        <v/>
      </c>
      <c r="IC464" s="1456" t="str">
        <f t="shared" si="216"/>
        <v/>
      </c>
      <c r="ID464" s="1456" t="str">
        <f t="shared" si="217"/>
        <v/>
      </c>
      <c r="IE464" s="1456" t="str">
        <f t="shared" si="218"/>
        <v/>
      </c>
      <c r="IF464" s="1456" t="str">
        <f t="shared" si="219"/>
        <v/>
      </c>
      <c r="IG464" s="1456" t="str">
        <f t="shared" si="220"/>
        <v/>
      </c>
      <c r="IH464" s="1456" t="str">
        <f t="shared" si="221"/>
        <v/>
      </c>
      <c r="II464" s="1456" t="str">
        <f t="shared" si="222"/>
        <v/>
      </c>
      <c r="IJ464" s="1456" t="str">
        <f t="shared" si="223"/>
        <v/>
      </c>
      <c r="IK464" s="1456" t="str">
        <f t="shared" si="224"/>
        <v/>
      </c>
      <c r="IL464" s="1456" t="str">
        <f t="shared" si="225"/>
        <v/>
      </c>
      <c r="IM464" s="1456" t="str">
        <f t="shared" si="226"/>
        <v/>
      </c>
      <c r="IN464" s="1456" t="str">
        <f t="shared" si="227"/>
        <v/>
      </c>
      <c r="IO464" s="1456" t="str">
        <f t="shared" si="228"/>
        <v/>
      </c>
      <c r="IP464" s="1456" t="str">
        <f t="shared" si="229"/>
        <v/>
      </c>
      <c r="IQ464" s="1456" t="str">
        <f t="shared" si="230"/>
        <v/>
      </c>
      <c r="IR464" s="1456" t="str">
        <f t="shared" si="231"/>
        <v/>
      </c>
      <c r="IS464" s="1456" t="str">
        <f t="shared" si="232"/>
        <v/>
      </c>
      <c r="IT464" s="1456" t="str">
        <f t="shared" si="233"/>
        <v/>
      </c>
      <c r="IU464" s="1456" t="str">
        <f t="shared" si="234"/>
        <v/>
      </c>
      <c r="IV464" s="1456" t="str">
        <f t="shared" si="235"/>
        <v/>
      </c>
      <c r="IW464" s="1456" t="str">
        <f t="shared" si="236"/>
        <v/>
      </c>
      <c r="IX464" s="1456" t="str">
        <f t="shared" si="237"/>
        <v/>
      </c>
      <c r="IY464" s="1456" t="str">
        <f t="shared" si="238"/>
        <v/>
      </c>
      <c r="IZ464" s="1456" t="str">
        <f t="shared" si="239"/>
        <v/>
      </c>
      <c r="JA464" s="1456" t="str">
        <f t="shared" si="240"/>
        <v/>
      </c>
      <c r="JB464" s="1456" t="str">
        <f t="shared" si="241"/>
        <v/>
      </c>
      <c r="JC464" s="1456" t="str">
        <f t="shared" si="242"/>
        <v/>
      </c>
      <c r="JD464" s="1456" t="str">
        <f t="shared" si="243"/>
        <v/>
      </c>
      <c r="JE464" s="1456" t="str">
        <f t="shared" si="244"/>
        <v/>
      </c>
      <c r="JF464" s="1456" t="str">
        <f t="shared" si="245"/>
        <v/>
      </c>
      <c r="JG464" s="1456" t="str">
        <f t="shared" si="246"/>
        <v/>
      </c>
      <c r="JH464" s="1456" t="str">
        <f t="shared" si="247"/>
        <v/>
      </c>
      <c r="JI464" s="1456" t="str">
        <f t="shared" si="248"/>
        <v/>
      </c>
      <c r="JJ464" s="1456" t="str">
        <f t="shared" si="249"/>
        <v/>
      </c>
      <c r="JK464" s="1456" t="str">
        <f t="shared" si="250"/>
        <v/>
      </c>
      <c r="JL464" s="1456" t="str">
        <f t="shared" si="251"/>
        <v/>
      </c>
      <c r="JM464" s="1456" t="str">
        <f t="shared" si="252"/>
        <v/>
      </c>
      <c r="JN464" s="1456" t="str">
        <f t="shared" si="253"/>
        <v/>
      </c>
      <c r="JO464" s="1456" t="str">
        <f t="shared" si="254"/>
        <v/>
      </c>
      <c r="JP464" s="1456" t="str">
        <f t="shared" si="255"/>
        <v/>
      </c>
      <c r="JQ464" s="1456" t="str">
        <f t="shared" si="256"/>
        <v/>
      </c>
      <c r="JR464" s="1456" t="str">
        <f t="shared" si="257"/>
        <v/>
      </c>
      <c r="JS464" s="1456" t="str">
        <f t="shared" si="258"/>
        <v/>
      </c>
      <c r="JT464" s="1456" t="str">
        <f t="shared" si="259"/>
        <v/>
      </c>
      <c r="JU464" s="1456" t="str">
        <f t="shared" si="260"/>
        <v/>
      </c>
      <c r="JV464" s="1456" t="str">
        <f t="shared" si="261"/>
        <v/>
      </c>
      <c r="JW464" s="1456" t="str">
        <f t="shared" si="262"/>
        <v/>
      </c>
      <c r="JX464" s="1456" t="str">
        <f t="shared" si="263"/>
        <v/>
      </c>
      <c r="JY464" s="1456" t="str">
        <f t="shared" si="264"/>
        <v/>
      </c>
      <c r="JZ464" s="1456" t="str">
        <f t="shared" si="265"/>
        <v/>
      </c>
      <c r="KA464" s="1456" t="str">
        <f t="shared" si="266"/>
        <v/>
      </c>
      <c r="KB464" s="1456" t="str">
        <f t="shared" si="267"/>
        <v/>
      </c>
      <c r="KC464" s="1456" t="str">
        <f t="shared" si="268"/>
        <v/>
      </c>
      <c r="KD464" s="1456" t="str">
        <f t="shared" si="269"/>
        <v/>
      </c>
      <c r="KE464" s="1456" t="str">
        <f t="shared" si="270"/>
        <v/>
      </c>
      <c r="KF464" s="1456" t="str">
        <f t="shared" si="271"/>
        <v/>
      </c>
      <c r="KG464" s="1456" t="str">
        <f t="shared" si="272"/>
        <v/>
      </c>
      <c r="KH464" s="1456" t="str">
        <f t="shared" si="273"/>
        <v/>
      </c>
      <c r="KI464" s="1456" t="str">
        <f t="shared" si="274"/>
        <v/>
      </c>
      <c r="KJ464" s="1456" t="str">
        <f t="shared" si="275"/>
        <v/>
      </c>
      <c r="KK464" s="1456" t="str">
        <f t="shared" si="276"/>
        <v/>
      </c>
      <c r="KL464" s="1456" t="str">
        <f t="shared" si="277"/>
        <v/>
      </c>
      <c r="KM464" s="1456" t="str">
        <f t="shared" si="278"/>
        <v/>
      </c>
      <c r="KN464" s="1456" t="str">
        <f t="shared" si="279"/>
        <v/>
      </c>
      <c r="KO464" s="1456" t="str">
        <f t="shared" si="280"/>
        <v/>
      </c>
      <c r="KP464" s="1456" t="str">
        <f t="shared" si="281"/>
        <v/>
      </c>
      <c r="KQ464" s="1456" t="str">
        <f t="shared" si="282"/>
        <v/>
      </c>
      <c r="KR464" s="1456" t="str">
        <f t="shared" si="283"/>
        <v/>
      </c>
      <c r="KS464" s="1456" t="str">
        <f t="shared" si="284"/>
        <v/>
      </c>
      <c r="KT464" s="1456" t="str">
        <f t="shared" si="285"/>
        <v/>
      </c>
      <c r="KU464" s="1456" t="str">
        <f t="shared" si="286"/>
        <v/>
      </c>
      <c r="KV464" s="1456" t="str">
        <f t="shared" si="287"/>
        <v/>
      </c>
      <c r="KW464" s="1456" t="str">
        <f t="shared" si="288"/>
        <v/>
      </c>
      <c r="KX464" s="1456" t="str">
        <f t="shared" si="289"/>
        <v/>
      </c>
      <c r="KY464" s="1456" t="str">
        <f t="shared" si="290"/>
        <v/>
      </c>
      <c r="KZ464" s="1456" t="str">
        <f t="shared" si="291"/>
        <v/>
      </c>
      <c r="LA464" s="1456" t="str">
        <f t="shared" si="292"/>
        <v/>
      </c>
      <c r="LB464" s="1456" t="str">
        <f t="shared" si="293"/>
        <v/>
      </c>
      <c r="LC464" s="1456" t="str">
        <f t="shared" si="294"/>
        <v/>
      </c>
      <c r="LD464" s="1456" t="str">
        <f t="shared" si="295"/>
        <v/>
      </c>
      <c r="LE464" s="1456" t="str">
        <f t="shared" si="296"/>
        <v/>
      </c>
      <c r="LF464" s="1456" t="str">
        <f t="shared" si="297"/>
        <v/>
      </c>
      <c r="LG464" s="1446" t="str">
        <f t="shared" si="298"/>
        <v/>
      </c>
      <c r="LH464" s="1446" t="str">
        <f t="shared" si="299"/>
        <v/>
      </c>
      <c r="LI464" s="1446" t="str">
        <f t="shared" si="300"/>
        <v/>
      </c>
      <c r="LJ464" s="1446" t="str">
        <f t="shared" si="301"/>
        <v/>
      </c>
      <c r="LK464" s="1446"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318">
        <f t="shared" si="323"/>
        <v>0</v>
      </c>
      <c r="MG464" s="1318">
        <f t="shared" si="324"/>
        <v>0</v>
      </c>
      <c r="MH464" s="1318">
        <f t="shared" si="325"/>
        <v>0</v>
      </c>
      <c r="MI464" s="1318">
        <f t="shared" si="326"/>
        <v>0</v>
      </c>
      <c r="MJ464" s="1318">
        <f t="shared" si="327"/>
        <v>0</v>
      </c>
      <c r="MK464" s="1318">
        <f t="shared" si="333"/>
        <v>0</v>
      </c>
      <c r="ML464" s="1318">
        <f t="shared" si="334"/>
        <v>0</v>
      </c>
      <c r="MM464" s="1318">
        <f t="shared" si="335"/>
        <v>0</v>
      </c>
      <c r="MN464" s="1318">
        <f t="shared" si="336"/>
        <v>0</v>
      </c>
      <c r="MO464" s="1318">
        <f t="shared" si="337"/>
        <v>0</v>
      </c>
      <c r="MP464" s="1318">
        <f t="shared" si="328"/>
        <v>0</v>
      </c>
      <c r="MQ464" s="1318">
        <f t="shared" si="329"/>
        <v>0</v>
      </c>
      <c r="MR464" s="1318">
        <f t="shared" si="330"/>
        <v>0</v>
      </c>
      <c r="MS464" s="1318">
        <f t="shared" si="331"/>
        <v>0</v>
      </c>
      <c r="MT464" s="1318">
        <f t="shared" si="332"/>
        <v>0</v>
      </c>
      <c r="NP464" s="251" t="s">
        <v>1167</v>
      </c>
    </row>
    <row r="465" spans="1:380" ht="13.9" customHeight="1">
      <c r="A465" s="2246" t="str">
        <f t="shared" si="0"/>
        <v/>
      </c>
      <c r="B465" s="2265">
        <f>'Part V-Revenues &amp; Expenses'!B27</f>
        <v>0</v>
      </c>
      <c r="C465" s="2266">
        <f>'Part V-Revenues &amp; Expenses'!C27</f>
        <v>0</v>
      </c>
      <c r="D465" s="2267">
        <f>'Part V-Revenues &amp; Expenses'!D27</f>
        <v>0</v>
      </c>
      <c r="E465" s="2268">
        <f>'Part V-Revenues &amp; Expenses'!E27</f>
        <v>0</v>
      </c>
      <c r="F465" s="2268">
        <f>'Part V-Revenues &amp; Expenses'!F27</f>
        <v>0</v>
      </c>
      <c r="G465" s="2268">
        <f>'Part V-Revenues &amp; Expenses'!G27</f>
        <v>0</v>
      </c>
      <c r="H465" s="2268">
        <f>'Part V-Revenues &amp; Expenses'!H27</f>
        <v>0</v>
      </c>
      <c r="I465" s="2268">
        <f>'Part V-Revenues &amp; Expenses'!I27</f>
        <v>0</v>
      </c>
      <c r="J465" s="2268">
        <f>'Part V-Revenues &amp; Expenses'!J27</f>
        <v>0</v>
      </c>
      <c r="K465" s="2269">
        <f>'Part V-Revenues &amp; Expenses'!K27</f>
        <v>0</v>
      </c>
      <c r="L465" s="2270">
        <f t="shared" si="1"/>
        <v>0</v>
      </c>
      <c r="M465" s="2270">
        <f t="shared" si="2"/>
        <v>0</v>
      </c>
      <c r="N465" s="2139">
        <f>'Part V-Revenues &amp; Expenses'!N27</f>
        <v>0</v>
      </c>
      <c r="O465" s="963">
        <f>'Part V-Revenues &amp; Expenses'!O27</f>
        <v>0</v>
      </c>
      <c r="P465" s="2139">
        <f>'Part V-Revenues &amp; Expenses'!P27</f>
        <v>0</v>
      </c>
      <c r="Q465" s="1455">
        <f>'Part V-Revenues &amp; Expenses'!Q27</f>
        <v>0</v>
      </c>
      <c r="R465" s="2271"/>
      <c r="S465" s="2272"/>
      <c r="T465" s="2273"/>
      <c r="U465" s="2273"/>
      <c r="V465" s="2273"/>
      <c r="W465" s="2273"/>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456" t="str">
        <f t="shared" si="213"/>
        <v/>
      </c>
      <c r="IA465" s="1456" t="str">
        <f t="shared" si="214"/>
        <v/>
      </c>
      <c r="IB465" s="1456" t="str">
        <f t="shared" si="215"/>
        <v/>
      </c>
      <c r="IC465" s="1456" t="str">
        <f t="shared" si="216"/>
        <v/>
      </c>
      <c r="ID465" s="1456" t="str">
        <f t="shared" si="217"/>
        <v/>
      </c>
      <c r="IE465" s="1456" t="str">
        <f t="shared" si="218"/>
        <v/>
      </c>
      <c r="IF465" s="1456" t="str">
        <f t="shared" si="219"/>
        <v/>
      </c>
      <c r="IG465" s="1456" t="str">
        <f t="shared" si="220"/>
        <v/>
      </c>
      <c r="IH465" s="1456" t="str">
        <f t="shared" si="221"/>
        <v/>
      </c>
      <c r="II465" s="1456" t="str">
        <f t="shared" si="222"/>
        <v/>
      </c>
      <c r="IJ465" s="1456" t="str">
        <f t="shared" si="223"/>
        <v/>
      </c>
      <c r="IK465" s="1456" t="str">
        <f t="shared" si="224"/>
        <v/>
      </c>
      <c r="IL465" s="1456" t="str">
        <f t="shared" si="225"/>
        <v/>
      </c>
      <c r="IM465" s="1456" t="str">
        <f t="shared" si="226"/>
        <v/>
      </c>
      <c r="IN465" s="1456" t="str">
        <f t="shared" si="227"/>
        <v/>
      </c>
      <c r="IO465" s="1456" t="str">
        <f t="shared" si="228"/>
        <v/>
      </c>
      <c r="IP465" s="1456" t="str">
        <f t="shared" si="229"/>
        <v/>
      </c>
      <c r="IQ465" s="1456" t="str">
        <f t="shared" si="230"/>
        <v/>
      </c>
      <c r="IR465" s="1456" t="str">
        <f t="shared" si="231"/>
        <v/>
      </c>
      <c r="IS465" s="1456" t="str">
        <f t="shared" si="232"/>
        <v/>
      </c>
      <c r="IT465" s="1456" t="str">
        <f t="shared" si="233"/>
        <v/>
      </c>
      <c r="IU465" s="1456" t="str">
        <f t="shared" si="234"/>
        <v/>
      </c>
      <c r="IV465" s="1456" t="str">
        <f t="shared" si="235"/>
        <v/>
      </c>
      <c r="IW465" s="1456" t="str">
        <f t="shared" si="236"/>
        <v/>
      </c>
      <c r="IX465" s="1456" t="str">
        <f t="shared" si="237"/>
        <v/>
      </c>
      <c r="IY465" s="1456" t="str">
        <f t="shared" si="238"/>
        <v/>
      </c>
      <c r="IZ465" s="1456" t="str">
        <f t="shared" si="239"/>
        <v/>
      </c>
      <c r="JA465" s="1456" t="str">
        <f t="shared" si="240"/>
        <v/>
      </c>
      <c r="JB465" s="1456" t="str">
        <f t="shared" si="241"/>
        <v/>
      </c>
      <c r="JC465" s="1456" t="str">
        <f t="shared" si="242"/>
        <v/>
      </c>
      <c r="JD465" s="1456" t="str">
        <f t="shared" si="243"/>
        <v/>
      </c>
      <c r="JE465" s="1456" t="str">
        <f t="shared" si="244"/>
        <v/>
      </c>
      <c r="JF465" s="1456" t="str">
        <f t="shared" si="245"/>
        <v/>
      </c>
      <c r="JG465" s="1456" t="str">
        <f t="shared" si="246"/>
        <v/>
      </c>
      <c r="JH465" s="1456" t="str">
        <f t="shared" si="247"/>
        <v/>
      </c>
      <c r="JI465" s="1456" t="str">
        <f t="shared" si="248"/>
        <v/>
      </c>
      <c r="JJ465" s="1456" t="str">
        <f t="shared" si="249"/>
        <v/>
      </c>
      <c r="JK465" s="1456" t="str">
        <f t="shared" si="250"/>
        <v/>
      </c>
      <c r="JL465" s="1456" t="str">
        <f t="shared" si="251"/>
        <v/>
      </c>
      <c r="JM465" s="1456" t="str">
        <f t="shared" si="252"/>
        <v/>
      </c>
      <c r="JN465" s="1456" t="str">
        <f t="shared" si="253"/>
        <v/>
      </c>
      <c r="JO465" s="1456" t="str">
        <f t="shared" si="254"/>
        <v/>
      </c>
      <c r="JP465" s="1456" t="str">
        <f t="shared" si="255"/>
        <v/>
      </c>
      <c r="JQ465" s="1456" t="str">
        <f t="shared" si="256"/>
        <v/>
      </c>
      <c r="JR465" s="1456" t="str">
        <f t="shared" si="257"/>
        <v/>
      </c>
      <c r="JS465" s="1456" t="str">
        <f t="shared" si="258"/>
        <v/>
      </c>
      <c r="JT465" s="1456" t="str">
        <f t="shared" si="259"/>
        <v/>
      </c>
      <c r="JU465" s="1456" t="str">
        <f t="shared" si="260"/>
        <v/>
      </c>
      <c r="JV465" s="1456" t="str">
        <f t="shared" si="261"/>
        <v/>
      </c>
      <c r="JW465" s="1456" t="str">
        <f t="shared" si="262"/>
        <v/>
      </c>
      <c r="JX465" s="1456" t="str">
        <f t="shared" si="263"/>
        <v/>
      </c>
      <c r="JY465" s="1456" t="str">
        <f t="shared" si="264"/>
        <v/>
      </c>
      <c r="JZ465" s="1456" t="str">
        <f t="shared" si="265"/>
        <v/>
      </c>
      <c r="KA465" s="1456" t="str">
        <f t="shared" si="266"/>
        <v/>
      </c>
      <c r="KB465" s="1456" t="str">
        <f t="shared" si="267"/>
        <v/>
      </c>
      <c r="KC465" s="1456" t="str">
        <f t="shared" si="268"/>
        <v/>
      </c>
      <c r="KD465" s="1456" t="str">
        <f t="shared" si="269"/>
        <v/>
      </c>
      <c r="KE465" s="1456" t="str">
        <f t="shared" si="270"/>
        <v/>
      </c>
      <c r="KF465" s="1456" t="str">
        <f t="shared" si="271"/>
        <v/>
      </c>
      <c r="KG465" s="1456" t="str">
        <f t="shared" si="272"/>
        <v/>
      </c>
      <c r="KH465" s="1456" t="str">
        <f t="shared" si="273"/>
        <v/>
      </c>
      <c r="KI465" s="1456" t="str">
        <f t="shared" si="274"/>
        <v/>
      </c>
      <c r="KJ465" s="1456" t="str">
        <f t="shared" si="275"/>
        <v/>
      </c>
      <c r="KK465" s="1456" t="str">
        <f t="shared" si="276"/>
        <v/>
      </c>
      <c r="KL465" s="1456" t="str">
        <f t="shared" si="277"/>
        <v/>
      </c>
      <c r="KM465" s="1456" t="str">
        <f t="shared" si="278"/>
        <v/>
      </c>
      <c r="KN465" s="1456" t="str">
        <f t="shared" si="279"/>
        <v/>
      </c>
      <c r="KO465" s="1456" t="str">
        <f t="shared" si="280"/>
        <v/>
      </c>
      <c r="KP465" s="1456" t="str">
        <f t="shared" si="281"/>
        <v/>
      </c>
      <c r="KQ465" s="1456" t="str">
        <f t="shared" si="282"/>
        <v/>
      </c>
      <c r="KR465" s="1456" t="str">
        <f t="shared" si="283"/>
        <v/>
      </c>
      <c r="KS465" s="1456" t="str">
        <f t="shared" si="284"/>
        <v/>
      </c>
      <c r="KT465" s="1456" t="str">
        <f t="shared" si="285"/>
        <v/>
      </c>
      <c r="KU465" s="1456" t="str">
        <f t="shared" si="286"/>
        <v/>
      </c>
      <c r="KV465" s="1456" t="str">
        <f t="shared" si="287"/>
        <v/>
      </c>
      <c r="KW465" s="1456" t="str">
        <f t="shared" si="288"/>
        <v/>
      </c>
      <c r="KX465" s="1456" t="str">
        <f t="shared" si="289"/>
        <v/>
      </c>
      <c r="KY465" s="1456" t="str">
        <f t="shared" si="290"/>
        <v/>
      </c>
      <c r="KZ465" s="1456" t="str">
        <f t="shared" si="291"/>
        <v/>
      </c>
      <c r="LA465" s="1456" t="str">
        <f t="shared" si="292"/>
        <v/>
      </c>
      <c r="LB465" s="1456" t="str">
        <f t="shared" si="293"/>
        <v/>
      </c>
      <c r="LC465" s="1456" t="str">
        <f t="shared" si="294"/>
        <v/>
      </c>
      <c r="LD465" s="1456" t="str">
        <f t="shared" si="295"/>
        <v/>
      </c>
      <c r="LE465" s="1456" t="str">
        <f t="shared" si="296"/>
        <v/>
      </c>
      <c r="LF465" s="1456" t="str">
        <f t="shared" si="297"/>
        <v/>
      </c>
      <c r="LG465" s="1446" t="str">
        <f t="shared" si="298"/>
        <v/>
      </c>
      <c r="LH465" s="1446" t="str">
        <f t="shared" si="299"/>
        <v/>
      </c>
      <c r="LI465" s="1446" t="str">
        <f t="shared" si="300"/>
        <v/>
      </c>
      <c r="LJ465" s="1446" t="str">
        <f t="shared" si="301"/>
        <v/>
      </c>
      <c r="LK465" s="1446"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318">
        <f t="shared" si="323"/>
        <v>0</v>
      </c>
      <c r="MG465" s="1318">
        <f t="shared" si="324"/>
        <v>0</v>
      </c>
      <c r="MH465" s="1318">
        <f t="shared" si="325"/>
        <v>0</v>
      </c>
      <c r="MI465" s="1318">
        <f t="shared" si="326"/>
        <v>0</v>
      </c>
      <c r="MJ465" s="1318">
        <f t="shared" si="327"/>
        <v>0</v>
      </c>
      <c r="MK465" s="1318">
        <f t="shared" si="333"/>
        <v>0</v>
      </c>
      <c r="ML465" s="1318">
        <f t="shared" si="334"/>
        <v>0</v>
      </c>
      <c r="MM465" s="1318">
        <f t="shared" si="335"/>
        <v>0</v>
      </c>
      <c r="MN465" s="1318">
        <f t="shared" si="336"/>
        <v>0</v>
      </c>
      <c r="MO465" s="1318">
        <f t="shared" si="337"/>
        <v>0</v>
      </c>
      <c r="MP465" s="1318">
        <f t="shared" si="328"/>
        <v>0</v>
      </c>
      <c r="MQ465" s="1318">
        <f t="shared" si="329"/>
        <v>0</v>
      </c>
      <c r="MR465" s="1318">
        <f t="shared" si="330"/>
        <v>0</v>
      </c>
      <c r="MS465" s="1318">
        <f t="shared" si="331"/>
        <v>0</v>
      </c>
      <c r="MT465" s="1318">
        <f t="shared" si="332"/>
        <v>0</v>
      </c>
      <c r="NP465" s="251" t="s">
        <v>1168</v>
      </c>
    </row>
    <row r="466" spans="1:380" ht="13.9" customHeight="1">
      <c r="A466" s="2246" t="str">
        <f t="shared" si="0"/>
        <v/>
      </c>
      <c r="B466" s="2265">
        <f>'Part V-Revenues &amp; Expenses'!B28</f>
        <v>0</v>
      </c>
      <c r="C466" s="2266">
        <f>'Part V-Revenues &amp; Expenses'!C28</f>
        <v>0</v>
      </c>
      <c r="D466" s="2267">
        <f>'Part V-Revenues &amp; Expenses'!D28</f>
        <v>0</v>
      </c>
      <c r="E466" s="2268">
        <f>'Part V-Revenues &amp; Expenses'!E28</f>
        <v>0</v>
      </c>
      <c r="F466" s="2268">
        <f>'Part V-Revenues &amp; Expenses'!F28</f>
        <v>0</v>
      </c>
      <c r="G466" s="2268">
        <f>'Part V-Revenues &amp; Expenses'!G28</f>
        <v>0</v>
      </c>
      <c r="H466" s="2268">
        <f>'Part V-Revenues &amp; Expenses'!H28</f>
        <v>0</v>
      </c>
      <c r="I466" s="2268">
        <f>'Part V-Revenues &amp; Expenses'!I28</f>
        <v>0</v>
      </c>
      <c r="J466" s="2268">
        <f>'Part V-Revenues &amp; Expenses'!J28</f>
        <v>0</v>
      </c>
      <c r="K466" s="2269">
        <f>'Part V-Revenues &amp; Expenses'!K28</f>
        <v>0</v>
      </c>
      <c r="L466" s="2270">
        <f t="shared" si="1"/>
        <v>0</v>
      </c>
      <c r="M466" s="2270">
        <f t="shared" si="2"/>
        <v>0</v>
      </c>
      <c r="N466" s="2139">
        <f>'Part V-Revenues &amp; Expenses'!N28</f>
        <v>0</v>
      </c>
      <c r="O466" s="963">
        <f>'Part V-Revenues &amp; Expenses'!O28</f>
        <v>0</v>
      </c>
      <c r="P466" s="2139">
        <f>'Part V-Revenues &amp; Expenses'!P28</f>
        <v>0</v>
      </c>
      <c r="Q466" s="1455">
        <f>'Part V-Revenues &amp; Expenses'!Q28</f>
        <v>0</v>
      </c>
      <c r="R466" s="2271"/>
      <c r="S466" s="2272"/>
      <c r="T466" s="2273"/>
      <c r="U466" s="2273"/>
      <c r="V466" s="2273"/>
      <c r="W466" s="2273"/>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456" t="str">
        <f t="shared" si="213"/>
        <v/>
      </c>
      <c r="IA466" s="1456" t="str">
        <f t="shared" si="214"/>
        <v/>
      </c>
      <c r="IB466" s="1456" t="str">
        <f t="shared" si="215"/>
        <v/>
      </c>
      <c r="IC466" s="1456" t="str">
        <f t="shared" si="216"/>
        <v/>
      </c>
      <c r="ID466" s="1456" t="str">
        <f t="shared" si="217"/>
        <v/>
      </c>
      <c r="IE466" s="1456" t="str">
        <f t="shared" si="218"/>
        <v/>
      </c>
      <c r="IF466" s="1456" t="str">
        <f t="shared" si="219"/>
        <v/>
      </c>
      <c r="IG466" s="1456" t="str">
        <f t="shared" si="220"/>
        <v/>
      </c>
      <c r="IH466" s="1456" t="str">
        <f t="shared" si="221"/>
        <v/>
      </c>
      <c r="II466" s="1456" t="str">
        <f t="shared" si="222"/>
        <v/>
      </c>
      <c r="IJ466" s="1456" t="str">
        <f t="shared" si="223"/>
        <v/>
      </c>
      <c r="IK466" s="1456" t="str">
        <f t="shared" si="224"/>
        <v/>
      </c>
      <c r="IL466" s="1456" t="str">
        <f t="shared" si="225"/>
        <v/>
      </c>
      <c r="IM466" s="1456" t="str">
        <f t="shared" si="226"/>
        <v/>
      </c>
      <c r="IN466" s="1456" t="str">
        <f t="shared" si="227"/>
        <v/>
      </c>
      <c r="IO466" s="1456" t="str">
        <f t="shared" si="228"/>
        <v/>
      </c>
      <c r="IP466" s="1456" t="str">
        <f t="shared" si="229"/>
        <v/>
      </c>
      <c r="IQ466" s="1456" t="str">
        <f t="shared" si="230"/>
        <v/>
      </c>
      <c r="IR466" s="1456" t="str">
        <f t="shared" si="231"/>
        <v/>
      </c>
      <c r="IS466" s="1456" t="str">
        <f t="shared" si="232"/>
        <v/>
      </c>
      <c r="IT466" s="1456" t="str">
        <f t="shared" si="233"/>
        <v/>
      </c>
      <c r="IU466" s="1456" t="str">
        <f t="shared" si="234"/>
        <v/>
      </c>
      <c r="IV466" s="1456" t="str">
        <f t="shared" si="235"/>
        <v/>
      </c>
      <c r="IW466" s="1456" t="str">
        <f t="shared" si="236"/>
        <v/>
      </c>
      <c r="IX466" s="1456" t="str">
        <f t="shared" si="237"/>
        <v/>
      </c>
      <c r="IY466" s="1456" t="str">
        <f t="shared" si="238"/>
        <v/>
      </c>
      <c r="IZ466" s="1456" t="str">
        <f t="shared" si="239"/>
        <v/>
      </c>
      <c r="JA466" s="1456" t="str">
        <f t="shared" si="240"/>
        <v/>
      </c>
      <c r="JB466" s="1456" t="str">
        <f t="shared" si="241"/>
        <v/>
      </c>
      <c r="JC466" s="1456" t="str">
        <f t="shared" si="242"/>
        <v/>
      </c>
      <c r="JD466" s="1456" t="str">
        <f t="shared" si="243"/>
        <v/>
      </c>
      <c r="JE466" s="1456" t="str">
        <f t="shared" si="244"/>
        <v/>
      </c>
      <c r="JF466" s="1456" t="str">
        <f t="shared" si="245"/>
        <v/>
      </c>
      <c r="JG466" s="1456" t="str">
        <f t="shared" si="246"/>
        <v/>
      </c>
      <c r="JH466" s="1456" t="str">
        <f t="shared" si="247"/>
        <v/>
      </c>
      <c r="JI466" s="1456" t="str">
        <f t="shared" si="248"/>
        <v/>
      </c>
      <c r="JJ466" s="1456" t="str">
        <f t="shared" si="249"/>
        <v/>
      </c>
      <c r="JK466" s="1456" t="str">
        <f t="shared" si="250"/>
        <v/>
      </c>
      <c r="JL466" s="1456" t="str">
        <f t="shared" si="251"/>
        <v/>
      </c>
      <c r="JM466" s="1456" t="str">
        <f t="shared" si="252"/>
        <v/>
      </c>
      <c r="JN466" s="1456" t="str">
        <f t="shared" si="253"/>
        <v/>
      </c>
      <c r="JO466" s="1456" t="str">
        <f t="shared" si="254"/>
        <v/>
      </c>
      <c r="JP466" s="1456" t="str">
        <f t="shared" si="255"/>
        <v/>
      </c>
      <c r="JQ466" s="1456" t="str">
        <f t="shared" si="256"/>
        <v/>
      </c>
      <c r="JR466" s="1456" t="str">
        <f t="shared" si="257"/>
        <v/>
      </c>
      <c r="JS466" s="1456" t="str">
        <f t="shared" si="258"/>
        <v/>
      </c>
      <c r="JT466" s="1456" t="str">
        <f t="shared" si="259"/>
        <v/>
      </c>
      <c r="JU466" s="1456" t="str">
        <f t="shared" si="260"/>
        <v/>
      </c>
      <c r="JV466" s="1456" t="str">
        <f t="shared" si="261"/>
        <v/>
      </c>
      <c r="JW466" s="1456" t="str">
        <f t="shared" si="262"/>
        <v/>
      </c>
      <c r="JX466" s="1456" t="str">
        <f t="shared" si="263"/>
        <v/>
      </c>
      <c r="JY466" s="1456" t="str">
        <f t="shared" si="264"/>
        <v/>
      </c>
      <c r="JZ466" s="1456" t="str">
        <f t="shared" si="265"/>
        <v/>
      </c>
      <c r="KA466" s="1456" t="str">
        <f t="shared" si="266"/>
        <v/>
      </c>
      <c r="KB466" s="1456" t="str">
        <f t="shared" si="267"/>
        <v/>
      </c>
      <c r="KC466" s="1456" t="str">
        <f t="shared" si="268"/>
        <v/>
      </c>
      <c r="KD466" s="1456" t="str">
        <f t="shared" si="269"/>
        <v/>
      </c>
      <c r="KE466" s="1456" t="str">
        <f t="shared" si="270"/>
        <v/>
      </c>
      <c r="KF466" s="1456" t="str">
        <f t="shared" si="271"/>
        <v/>
      </c>
      <c r="KG466" s="1456" t="str">
        <f t="shared" si="272"/>
        <v/>
      </c>
      <c r="KH466" s="1456" t="str">
        <f t="shared" si="273"/>
        <v/>
      </c>
      <c r="KI466" s="1456" t="str">
        <f t="shared" si="274"/>
        <v/>
      </c>
      <c r="KJ466" s="1456" t="str">
        <f t="shared" si="275"/>
        <v/>
      </c>
      <c r="KK466" s="1456" t="str">
        <f t="shared" si="276"/>
        <v/>
      </c>
      <c r="KL466" s="1456" t="str">
        <f t="shared" si="277"/>
        <v/>
      </c>
      <c r="KM466" s="1456" t="str">
        <f t="shared" si="278"/>
        <v/>
      </c>
      <c r="KN466" s="1456" t="str">
        <f t="shared" si="279"/>
        <v/>
      </c>
      <c r="KO466" s="1456" t="str">
        <f t="shared" si="280"/>
        <v/>
      </c>
      <c r="KP466" s="1456" t="str">
        <f t="shared" si="281"/>
        <v/>
      </c>
      <c r="KQ466" s="1456" t="str">
        <f t="shared" si="282"/>
        <v/>
      </c>
      <c r="KR466" s="1456" t="str">
        <f t="shared" si="283"/>
        <v/>
      </c>
      <c r="KS466" s="1456" t="str">
        <f t="shared" si="284"/>
        <v/>
      </c>
      <c r="KT466" s="1456" t="str">
        <f t="shared" si="285"/>
        <v/>
      </c>
      <c r="KU466" s="1456" t="str">
        <f t="shared" si="286"/>
        <v/>
      </c>
      <c r="KV466" s="1456" t="str">
        <f t="shared" si="287"/>
        <v/>
      </c>
      <c r="KW466" s="1456" t="str">
        <f t="shared" si="288"/>
        <v/>
      </c>
      <c r="KX466" s="1456" t="str">
        <f t="shared" si="289"/>
        <v/>
      </c>
      <c r="KY466" s="1456" t="str">
        <f t="shared" si="290"/>
        <v/>
      </c>
      <c r="KZ466" s="1456" t="str">
        <f t="shared" si="291"/>
        <v/>
      </c>
      <c r="LA466" s="1456" t="str">
        <f t="shared" si="292"/>
        <v/>
      </c>
      <c r="LB466" s="1456" t="str">
        <f t="shared" si="293"/>
        <v/>
      </c>
      <c r="LC466" s="1456" t="str">
        <f t="shared" si="294"/>
        <v/>
      </c>
      <c r="LD466" s="1456" t="str">
        <f t="shared" si="295"/>
        <v/>
      </c>
      <c r="LE466" s="1456" t="str">
        <f t="shared" si="296"/>
        <v/>
      </c>
      <c r="LF466" s="1456" t="str">
        <f t="shared" si="297"/>
        <v/>
      </c>
      <c r="LG466" s="1446" t="str">
        <f t="shared" si="298"/>
        <v/>
      </c>
      <c r="LH466" s="1446" t="str">
        <f t="shared" si="299"/>
        <v/>
      </c>
      <c r="LI466" s="1446" t="str">
        <f t="shared" si="300"/>
        <v/>
      </c>
      <c r="LJ466" s="1446" t="str">
        <f t="shared" si="301"/>
        <v/>
      </c>
      <c r="LK466" s="1446"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318">
        <f t="shared" si="323"/>
        <v>0</v>
      </c>
      <c r="MG466" s="1318">
        <f t="shared" si="324"/>
        <v>0</v>
      </c>
      <c r="MH466" s="1318">
        <f t="shared" si="325"/>
        <v>0</v>
      </c>
      <c r="MI466" s="1318">
        <f t="shared" si="326"/>
        <v>0</v>
      </c>
      <c r="MJ466" s="1318">
        <f t="shared" si="327"/>
        <v>0</v>
      </c>
      <c r="MK466" s="1318">
        <f t="shared" si="333"/>
        <v>0</v>
      </c>
      <c r="ML466" s="1318">
        <f t="shared" si="334"/>
        <v>0</v>
      </c>
      <c r="MM466" s="1318">
        <f t="shared" si="335"/>
        <v>0</v>
      </c>
      <c r="MN466" s="1318">
        <f t="shared" si="336"/>
        <v>0</v>
      </c>
      <c r="MO466" s="1318">
        <f t="shared" si="337"/>
        <v>0</v>
      </c>
      <c r="MP466" s="1318">
        <f t="shared" si="328"/>
        <v>0</v>
      </c>
      <c r="MQ466" s="1318">
        <f t="shared" si="329"/>
        <v>0</v>
      </c>
      <c r="MR466" s="1318">
        <f t="shared" si="330"/>
        <v>0</v>
      </c>
      <c r="MS466" s="1318">
        <f t="shared" si="331"/>
        <v>0</v>
      </c>
      <c r="MT466" s="1318">
        <f t="shared" si="332"/>
        <v>0</v>
      </c>
      <c r="NP466" s="251" t="s">
        <v>1169</v>
      </c>
    </row>
    <row r="467" spans="1:380" ht="13.9" customHeight="1">
      <c r="A467" s="2246" t="str">
        <f t="shared" si="0"/>
        <v/>
      </c>
      <c r="B467" s="2265">
        <f>'Part V-Revenues &amp; Expenses'!B29</f>
        <v>0</v>
      </c>
      <c r="C467" s="2266">
        <f>'Part V-Revenues &amp; Expenses'!C29</f>
        <v>0</v>
      </c>
      <c r="D467" s="2267">
        <f>'Part V-Revenues &amp; Expenses'!D29</f>
        <v>0</v>
      </c>
      <c r="E467" s="2268">
        <f>'Part V-Revenues &amp; Expenses'!E29</f>
        <v>0</v>
      </c>
      <c r="F467" s="2268">
        <f>'Part V-Revenues &amp; Expenses'!F29</f>
        <v>0</v>
      </c>
      <c r="G467" s="2268">
        <f>'Part V-Revenues &amp; Expenses'!G29</f>
        <v>0</v>
      </c>
      <c r="H467" s="2268">
        <f>'Part V-Revenues &amp; Expenses'!H29</f>
        <v>0</v>
      </c>
      <c r="I467" s="2268">
        <f>'Part V-Revenues &amp; Expenses'!I29</f>
        <v>0</v>
      </c>
      <c r="J467" s="2268">
        <f>'Part V-Revenues &amp; Expenses'!J29</f>
        <v>0</v>
      </c>
      <c r="K467" s="2269">
        <f>'Part V-Revenues &amp; Expenses'!K29</f>
        <v>0</v>
      </c>
      <c r="L467" s="2270">
        <f t="shared" si="1"/>
        <v>0</v>
      </c>
      <c r="M467" s="2270">
        <f t="shared" si="2"/>
        <v>0</v>
      </c>
      <c r="N467" s="2139">
        <f>'Part V-Revenues &amp; Expenses'!N29</f>
        <v>0</v>
      </c>
      <c r="O467" s="963">
        <f>'Part V-Revenues &amp; Expenses'!O29</f>
        <v>0</v>
      </c>
      <c r="P467" s="2139">
        <f>'Part V-Revenues &amp; Expenses'!P29</f>
        <v>0</v>
      </c>
      <c r="Q467" s="1455">
        <f>'Part V-Revenues &amp; Expenses'!Q29</f>
        <v>0</v>
      </c>
      <c r="R467" s="2271"/>
      <c r="S467" s="2272"/>
      <c r="T467" s="2273"/>
      <c r="U467" s="2273"/>
      <c r="V467" s="2273"/>
      <c r="W467" s="2273"/>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456" t="str">
        <f t="shared" si="213"/>
        <v/>
      </c>
      <c r="IA467" s="1456" t="str">
        <f t="shared" si="214"/>
        <v/>
      </c>
      <c r="IB467" s="1456" t="str">
        <f t="shared" si="215"/>
        <v/>
      </c>
      <c r="IC467" s="1456" t="str">
        <f t="shared" si="216"/>
        <v/>
      </c>
      <c r="ID467" s="1456" t="str">
        <f t="shared" si="217"/>
        <v/>
      </c>
      <c r="IE467" s="1456" t="str">
        <f t="shared" si="218"/>
        <v/>
      </c>
      <c r="IF467" s="1456" t="str">
        <f t="shared" si="219"/>
        <v/>
      </c>
      <c r="IG467" s="1456" t="str">
        <f t="shared" si="220"/>
        <v/>
      </c>
      <c r="IH467" s="1456" t="str">
        <f t="shared" si="221"/>
        <v/>
      </c>
      <c r="II467" s="1456" t="str">
        <f t="shared" si="222"/>
        <v/>
      </c>
      <c r="IJ467" s="1456" t="str">
        <f t="shared" si="223"/>
        <v/>
      </c>
      <c r="IK467" s="1456" t="str">
        <f t="shared" si="224"/>
        <v/>
      </c>
      <c r="IL467" s="1456" t="str">
        <f t="shared" si="225"/>
        <v/>
      </c>
      <c r="IM467" s="1456" t="str">
        <f t="shared" si="226"/>
        <v/>
      </c>
      <c r="IN467" s="1456" t="str">
        <f t="shared" si="227"/>
        <v/>
      </c>
      <c r="IO467" s="1456" t="str">
        <f t="shared" si="228"/>
        <v/>
      </c>
      <c r="IP467" s="1456" t="str">
        <f t="shared" si="229"/>
        <v/>
      </c>
      <c r="IQ467" s="1456" t="str">
        <f t="shared" si="230"/>
        <v/>
      </c>
      <c r="IR467" s="1456" t="str">
        <f t="shared" si="231"/>
        <v/>
      </c>
      <c r="IS467" s="1456" t="str">
        <f t="shared" si="232"/>
        <v/>
      </c>
      <c r="IT467" s="1456" t="str">
        <f t="shared" si="233"/>
        <v/>
      </c>
      <c r="IU467" s="1456" t="str">
        <f t="shared" si="234"/>
        <v/>
      </c>
      <c r="IV467" s="1456" t="str">
        <f t="shared" si="235"/>
        <v/>
      </c>
      <c r="IW467" s="1456" t="str">
        <f t="shared" si="236"/>
        <v/>
      </c>
      <c r="IX467" s="1456" t="str">
        <f t="shared" si="237"/>
        <v/>
      </c>
      <c r="IY467" s="1456" t="str">
        <f t="shared" si="238"/>
        <v/>
      </c>
      <c r="IZ467" s="1456" t="str">
        <f t="shared" si="239"/>
        <v/>
      </c>
      <c r="JA467" s="1456" t="str">
        <f t="shared" si="240"/>
        <v/>
      </c>
      <c r="JB467" s="1456" t="str">
        <f t="shared" si="241"/>
        <v/>
      </c>
      <c r="JC467" s="1456" t="str">
        <f t="shared" si="242"/>
        <v/>
      </c>
      <c r="JD467" s="1456" t="str">
        <f t="shared" si="243"/>
        <v/>
      </c>
      <c r="JE467" s="1456" t="str">
        <f t="shared" si="244"/>
        <v/>
      </c>
      <c r="JF467" s="1456" t="str">
        <f t="shared" si="245"/>
        <v/>
      </c>
      <c r="JG467" s="1456" t="str">
        <f t="shared" si="246"/>
        <v/>
      </c>
      <c r="JH467" s="1456" t="str">
        <f t="shared" si="247"/>
        <v/>
      </c>
      <c r="JI467" s="1456" t="str">
        <f t="shared" si="248"/>
        <v/>
      </c>
      <c r="JJ467" s="1456" t="str">
        <f t="shared" si="249"/>
        <v/>
      </c>
      <c r="JK467" s="1456" t="str">
        <f t="shared" si="250"/>
        <v/>
      </c>
      <c r="JL467" s="1456" t="str">
        <f t="shared" si="251"/>
        <v/>
      </c>
      <c r="JM467" s="1456" t="str">
        <f t="shared" si="252"/>
        <v/>
      </c>
      <c r="JN467" s="1456" t="str">
        <f t="shared" si="253"/>
        <v/>
      </c>
      <c r="JO467" s="1456" t="str">
        <f t="shared" si="254"/>
        <v/>
      </c>
      <c r="JP467" s="1456" t="str">
        <f t="shared" si="255"/>
        <v/>
      </c>
      <c r="JQ467" s="1456" t="str">
        <f t="shared" si="256"/>
        <v/>
      </c>
      <c r="JR467" s="1456" t="str">
        <f t="shared" si="257"/>
        <v/>
      </c>
      <c r="JS467" s="1456" t="str">
        <f t="shared" si="258"/>
        <v/>
      </c>
      <c r="JT467" s="1456" t="str">
        <f t="shared" si="259"/>
        <v/>
      </c>
      <c r="JU467" s="1456" t="str">
        <f t="shared" si="260"/>
        <v/>
      </c>
      <c r="JV467" s="1456" t="str">
        <f t="shared" si="261"/>
        <v/>
      </c>
      <c r="JW467" s="1456" t="str">
        <f t="shared" si="262"/>
        <v/>
      </c>
      <c r="JX467" s="1456" t="str">
        <f t="shared" si="263"/>
        <v/>
      </c>
      <c r="JY467" s="1456" t="str">
        <f t="shared" si="264"/>
        <v/>
      </c>
      <c r="JZ467" s="1456" t="str">
        <f t="shared" si="265"/>
        <v/>
      </c>
      <c r="KA467" s="1456" t="str">
        <f t="shared" si="266"/>
        <v/>
      </c>
      <c r="KB467" s="1456" t="str">
        <f t="shared" si="267"/>
        <v/>
      </c>
      <c r="KC467" s="1456" t="str">
        <f t="shared" si="268"/>
        <v/>
      </c>
      <c r="KD467" s="1456" t="str">
        <f t="shared" si="269"/>
        <v/>
      </c>
      <c r="KE467" s="1456" t="str">
        <f t="shared" si="270"/>
        <v/>
      </c>
      <c r="KF467" s="1456" t="str">
        <f t="shared" si="271"/>
        <v/>
      </c>
      <c r="KG467" s="1456" t="str">
        <f t="shared" si="272"/>
        <v/>
      </c>
      <c r="KH467" s="1456" t="str">
        <f t="shared" si="273"/>
        <v/>
      </c>
      <c r="KI467" s="1456" t="str">
        <f t="shared" si="274"/>
        <v/>
      </c>
      <c r="KJ467" s="1456" t="str">
        <f t="shared" si="275"/>
        <v/>
      </c>
      <c r="KK467" s="1456" t="str">
        <f t="shared" si="276"/>
        <v/>
      </c>
      <c r="KL467" s="1456" t="str">
        <f t="shared" si="277"/>
        <v/>
      </c>
      <c r="KM467" s="1456" t="str">
        <f t="shared" si="278"/>
        <v/>
      </c>
      <c r="KN467" s="1456" t="str">
        <f t="shared" si="279"/>
        <v/>
      </c>
      <c r="KO467" s="1456" t="str">
        <f t="shared" si="280"/>
        <v/>
      </c>
      <c r="KP467" s="1456" t="str">
        <f t="shared" si="281"/>
        <v/>
      </c>
      <c r="KQ467" s="1456" t="str">
        <f t="shared" si="282"/>
        <v/>
      </c>
      <c r="KR467" s="1456" t="str">
        <f t="shared" si="283"/>
        <v/>
      </c>
      <c r="KS467" s="1456" t="str">
        <f t="shared" si="284"/>
        <v/>
      </c>
      <c r="KT467" s="1456" t="str">
        <f t="shared" si="285"/>
        <v/>
      </c>
      <c r="KU467" s="1456" t="str">
        <f t="shared" si="286"/>
        <v/>
      </c>
      <c r="KV467" s="1456" t="str">
        <f t="shared" si="287"/>
        <v/>
      </c>
      <c r="KW467" s="1456" t="str">
        <f t="shared" si="288"/>
        <v/>
      </c>
      <c r="KX467" s="1456" t="str">
        <f t="shared" si="289"/>
        <v/>
      </c>
      <c r="KY467" s="1456" t="str">
        <f t="shared" si="290"/>
        <v/>
      </c>
      <c r="KZ467" s="1456" t="str">
        <f t="shared" si="291"/>
        <v/>
      </c>
      <c r="LA467" s="1456" t="str">
        <f t="shared" si="292"/>
        <v/>
      </c>
      <c r="LB467" s="1456" t="str">
        <f t="shared" si="293"/>
        <v/>
      </c>
      <c r="LC467" s="1456" t="str">
        <f t="shared" si="294"/>
        <v/>
      </c>
      <c r="LD467" s="1456" t="str">
        <f t="shared" si="295"/>
        <v/>
      </c>
      <c r="LE467" s="1456" t="str">
        <f t="shared" si="296"/>
        <v/>
      </c>
      <c r="LF467" s="1456" t="str">
        <f t="shared" si="297"/>
        <v/>
      </c>
      <c r="LG467" s="1446" t="str">
        <f t="shared" si="298"/>
        <v/>
      </c>
      <c r="LH467" s="1446" t="str">
        <f t="shared" si="299"/>
        <v/>
      </c>
      <c r="LI467" s="1446" t="str">
        <f t="shared" si="300"/>
        <v/>
      </c>
      <c r="LJ467" s="1446" t="str">
        <f t="shared" si="301"/>
        <v/>
      </c>
      <c r="LK467" s="1446"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318">
        <f t="shared" si="323"/>
        <v>0</v>
      </c>
      <c r="MG467" s="1318">
        <f t="shared" si="324"/>
        <v>0</v>
      </c>
      <c r="MH467" s="1318">
        <f t="shared" si="325"/>
        <v>0</v>
      </c>
      <c r="MI467" s="1318">
        <f t="shared" si="326"/>
        <v>0</v>
      </c>
      <c r="MJ467" s="1318">
        <f t="shared" si="327"/>
        <v>0</v>
      </c>
      <c r="MK467" s="1318">
        <f t="shared" si="333"/>
        <v>0</v>
      </c>
      <c r="ML467" s="1318">
        <f t="shared" si="334"/>
        <v>0</v>
      </c>
      <c r="MM467" s="1318">
        <f t="shared" si="335"/>
        <v>0</v>
      </c>
      <c r="MN467" s="1318">
        <f t="shared" si="336"/>
        <v>0</v>
      </c>
      <c r="MO467" s="1318">
        <f t="shared" si="337"/>
        <v>0</v>
      </c>
      <c r="MP467" s="1318">
        <f t="shared" si="328"/>
        <v>0</v>
      </c>
      <c r="MQ467" s="1318">
        <f t="shared" si="329"/>
        <v>0</v>
      </c>
      <c r="MR467" s="1318">
        <f t="shared" si="330"/>
        <v>0</v>
      </c>
      <c r="MS467" s="1318">
        <f t="shared" si="331"/>
        <v>0</v>
      </c>
      <c r="MT467" s="1318">
        <f t="shared" si="332"/>
        <v>0</v>
      </c>
      <c r="NP467" s="251" t="s">
        <v>1170</v>
      </c>
    </row>
    <row r="468" spans="1:380" ht="13.9" customHeight="1">
      <c r="A468" s="2246" t="str">
        <f t="shared" si="0"/>
        <v/>
      </c>
      <c r="B468" s="2265">
        <f>'Part V-Revenues &amp; Expenses'!B30</f>
        <v>0</v>
      </c>
      <c r="C468" s="2266">
        <f>'Part V-Revenues &amp; Expenses'!C30</f>
        <v>0</v>
      </c>
      <c r="D468" s="2267">
        <f>'Part V-Revenues &amp; Expenses'!D30</f>
        <v>0</v>
      </c>
      <c r="E468" s="2268">
        <f>'Part V-Revenues &amp; Expenses'!E30</f>
        <v>0</v>
      </c>
      <c r="F468" s="2268">
        <f>'Part V-Revenues &amp; Expenses'!F30</f>
        <v>0</v>
      </c>
      <c r="G468" s="2268">
        <f>'Part V-Revenues &amp; Expenses'!G30</f>
        <v>0</v>
      </c>
      <c r="H468" s="2268">
        <f>'Part V-Revenues &amp; Expenses'!H30</f>
        <v>0</v>
      </c>
      <c r="I468" s="2268">
        <f>'Part V-Revenues &amp; Expenses'!I30</f>
        <v>0</v>
      </c>
      <c r="J468" s="2268">
        <f>'Part V-Revenues &amp; Expenses'!J30</f>
        <v>0</v>
      </c>
      <c r="K468" s="2269">
        <f>'Part V-Revenues &amp; Expenses'!K30</f>
        <v>0</v>
      </c>
      <c r="L468" s="2270">
        <f t="shared" si="1"/>
        <v>0</v>
      </c>
      <c r="M468" s="2270">
        <f t="shared" si="2"/>
        <v>0</v>
      </c>
      <c r="N468" s="2139">
        <f>'Part V-Revenues &amp; Expenses'!N30</f>
        <v>0</v>
      </c>
      <c r="O468" s="963">
        <f>'Part V-Revenues &amp; Expenses'!O30</f>
        <v>0</v>
      </c>
      <c r="P468" s="2139">
        <f>'Part V-Revenues &amp; Expenses'!P30</f>
        <v>0</v>
      </c>
      <c r="Q468" s="1455">
        <f>'Part V-Revenues &amp; Expenses'!Q30</f>
        <v>0</v>
      </c>
      <c r="R468" s="2271"/>
      <c r="S468" s="2272"/>
      <c r="T468" s="2273"/>
      <c r="U468" s="2273"/>
      <c r="V468" s="2273"/>
      <c r="W468" s="2273"/>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456" t="str">
        <f t="shared" si="213"/>
        <v/>
      </c>
      <c r="IA468" s="1456" t="str">
        <f t="shared" si="214"/>
        <v/>
      </c>
      <c r="IB468" s="1456" t="str">
        <f t="shared" si="215"/>
        <v/>
      </c>
      <c r="IC468" s="1456" t="str">
        <f t="shared" si="216"/>
        <v/>
      </c>
      <c r="ID468" s="1456" t="str">
        <f t="shared" si="217"/>
        <v/>
      </c>
      <c r="IE468" s="1456" t="str">
        <f t="shared" si="218"/>
        <v/>
      </c>
      <c r="IF468" s="1456" t="str">
        <f t="shared" si="219"/>
        <v/>
      </c>
      <c r="IG468" s="1456" t="str">
        <f t="shared" si="220"/>
        <v/>
      </c>
      <c r="IH468" s="1456" t="str">
        <f t="shared" si="221"/>
        <v/>
      </c>
      <c r="II468" s="1456" t="str">
        <f t="shared" si="222"/>
        <v/>
      </c>
      <c r="IJ468" s="1456" t="str">
        <f t="shared" si="223"/>
        <v/>
      </c>
      <c r="IK468" s="1456" t="str">
        <f t="shared" si="224"/>
        <v/>
      </c>
      <c r="IL468" s="1456" t="str">
        <f t="shared" si="225"/>
        <v/>
      </c>
      <c r="IM468" s="1456" t="str">
        <f t="shared" si="226"/>
        <v/>
      </c>
      <c r="IN468" s="1456" t="str">
        <f t="shared" si="227"/>
        <v/>
      </c>
      <c r="IO468" s="1456" t="str">
        <f t="shared" si="228"/>
        <v/>
      </c>
      <c r="IP468" s="1456" t="str">
        <f t="shared" si="229"/>
        <v/>
      </c>
      <c r="IQ468" s="1456" t="str">
        <f t="shared" si="230"/>
        <v/>
      </c>
      <c r="IR468" s="1456" t="str">
        <f t="shared" si="231"/>
        <v/>
      </c>
      <c r="IS468" s="1456" t="str">
        <f t="shared" si="232"/>
        <v/>
      </c>
      <c r="IT468" s="1456" t="str">
        <f t="shared" si="233"/>
        <v/>
      </c>
      <c r="IU468" s="1456" t="str">
        <f t="shared" si="234"/>
        <v/>
      </c>
      <c r="IV468" s="1456" t="str">
        <f t="shared" si="235"/>
        <v/>
      </c>
      <c r="IW468" s="1456" t="str">
        <f t="shared" si="236"/>
        <v/>
      </c>
      <c r="IX468" s="1456" t="str">
        <f t="shared" si="237"/>
        <v/>
      </c>
      <c r="IY468" s="1456" t="str">
        <f t="shared" si="238"/>
        <v/>
      </c>
      <c r="IZ468" s="1456" t="str">
        <f t="shared" si="239"/>
        <v/>
      </c>
      <c r="JA468" s="1456" t="str">
        <f t="shared" si="240"/>
        <v/>
      </c>
      <c r="JB468" s="1456" t="str">
        <f t="shared" si="241"/>
        <v/>
      </c>
      <c r="JC468" s="1456" t="str">
        <f t="shared" si="242"/>
        <v/>
      </c>
      <c r="JD468" s="1456" t="str">
        <f t="shared" si="243"/>
        <v/>
      </c>
      <c r="JE468" s="1456" t="str">
        <f t="shared" si="244"/>
        <v/>
      </c>
      <c r="JF468" s="1456" t="str">
        <f t="shared" si="245"/>
        <v/>
      </c>
      <c r="JG468" s="1456" t="str">
        <f t="shared" si="246"/>
        <v/>
      </c>
      <c r="JH468" s="1456" t="str">
        <f t="shared" si="247"/>
        <v/>
      </c>
      <c r="JI468" s="1456" t="str">
        <f t="shared" si="248"/>
        <v/>
      </c>
      <c r="JJ468" s="1456" t="str">
        <f t="shared" si="249"/>
        <v/>
      </c>
      <c r="JK468" s="1456" t="str">
        <f t="shared" si="250"/>
        <v/>
      </c>
      <c r="JL468" s="1456" t="str">
        <f t="shared" si="251"/>
        <v/>
      </c>
      <c r="JM468" s="1456" t="str">
        <f t="shared" si="252"/>
        <v/>
      </c>
      <c r="JN468" s="1456" t="str">
        <f t="shared" si="253"/>
        <v/>
      </c>
      <c r="JO468" s="1456" t="str">
        <f t="shared" si="254"/>
        <v/>
      </c>
      <c r="JP468" s="1456" t="str">
        <f t="shared" si="255"/>
        <v/>
      </c>
      <c r="JQ468" s="1456" t="str">
        <f t="shared" si="256"/>
        <v/>
      </c>
      <c r="JR468" s="1456" t="str">
        <f t="shared" si="257"/>
        <v/>
      </c>
      <c r="JS468" s="1456" t="str">
        <f t="shared" si="258"/>
        <v/>
      </c>
      <c r="JT468" s="1456" t="str">
        <f t="shared" si="259"/>
        <v/>
      </c>
      <c r="JU468" s="1456" t="str">
        <f t="shared" si="260"/>
        <v/>
      </c>
      <c r="JV468" s="1456" t="str">
        <f t="shared" si="261"/>
        <v/>
      </c>
      <c r="JW468" s="1456" t="str">
        <f t="shared" si="262"/>
        <v/>
      </c>
      <c r="JX468" s="1456" t="str">
        <f t="shared" si="263"/>
        <v/>
      </c>
      <c r="JY468" s="1456" t="str">
        <f t="shared" si="264"/>
        <v/>
      </c>
      <c r="JZ468" s="1456" t="str">
        <f t="shared" si="265"/>
        <v/>
      </c>
      <c r="KA468" s="1456" t="str">
        <f t="shared" si="266"/>
        <v/>
      </c>
      <c r="KB468" s="1456" t="str">
        <f t="shared" si="267"/>
        <v/>
      </c>
      <c r="KC468" s="1456" t="str">
        <f t="shared" si="268"/>
        <v/>
      </c>
      <c r="KD468" s="1456" t="str">
        <f t="shared" si="269"/>
        <v/>
      </c>
      <c r="KE468" s="1456" t="str">
        <f t="shared" si="270"/>
        <v/>
      </c>
      <c r="KF468" s="1456" t="str">
        <f t="shared" si="271"/>
        <v/>
      </c>
      <c r="KG468" s="1456" t="str">
        <f t="shared" si="272"/>
        <v/>
      </c>
      <c r="KH468" s="1456" t="str">
        <f t="shared" si="273"/>
        <v/>
      </c>
      <c r="KI468" s="1456" t="str">
        <f t="shared" si="274"/>
        <v/>
      </c>
      <c r="KJ468" s="1456" t="str">
        <f t="shared" si="275"/>
        <v/>
      </c>
      <c r="KK468" s="1456" t="str">
        <f t="shared" si="276"/>
        <v/>
      </c>
      <c r="KL468" s="1456" t="str">
        <f t="shared" si="277"/>
        <v/>
      </c>
      <c r="KM468" s="1456" t="str">
        <f t="shared" si="278"/>
        <v/>
      </c>
      <c r="KN468" s="1456" t="str">
        <f t="shared" si="279"/>
        <v/>
      </c>
      <c r="KO468" s="1456" t="str">
        <f t="shared" si="280"/>
        <v/>
      </c>
      <c r="KP468" s="1456" t="str">
        <f t="shared" si="281"/>
        <v/>
      </c>
      <c r="KQ468" s="1456" t="str">
        <f t="shared" si="282"/>
        <v/>
      </c>
      <c r="KR468" s="1456" t="str">
        <f t="shared" si="283"/>
        <v/>
      </c>
      <c r="KS468" s="1456" t="str">
        <f t="shared" si="284"/>
        <v/>
      </c>
      <c r="KT468" s="1456" t="str">
        <f t="shared" si="285"/>
        <v/>
      </c>
      <c r="KU468" s="1456" t="str">
        <f t="shared" si="286"/>
        <v/>
      </c>
      <c r="KV468" s="1456" t="str">
        <f t="shared" si="287"/>
        <v/>
      </c>
      <c r="KW468" s="1456" t="str">
        <f t="shared" si="288"/>
        <v/>
      </c>
      <c r="KX468" s="1456" t="str">
        <f t="shared" si="289"/>
        <v/>
      </c>
      <c r="KY468" s="1456" t="str">
        <f t="shared" si="290"/>
        <v/>
      </c>
      <c r="KZ468" s="1456" t="str">
        <f t="shared" si="291"/>
        <v/>
      </c>
      <c r="LA468" s="1456" t="str">
        <f t="shared" si="292"/>
        <v/>
      </c>
      <c r="LB468" s="1456" t="str">
        <f t="shared" si="293"/>
        <v/>
      </c>
      <c r="LC468" s="1456" t="str">
        <f t="shared" si="294"/>
        <v/>
      </c>
      <c r="LD468" s="1456" t="str">
        <f t="shared" si="295"/>
        <v/>
      </c>
      <c r="LE468" s="1456" t="str">
        <f t="shared" si="296"/>
        <v/>
      </c>
      <c r="LF468" s="1456" t="str">
        <f t="shared" si="297"/>
        <v/>
      </c>
      <c r="LG468" s="1446" t="str">
        <f t="shared" si="298"/>
        <v/>
      </c>
      <c r="LH468" s="1446" t="str">
        <f t="shared" si="299"/>
        <v/>
      </c>
      <c r="LI468" s="1446" t="str">
        <f t="shared" si="300"/>
        <v/>
      </c>
      <c r="LJ468" s="1446" t="str">
        <f t="shared" si="301"/>
        <v/>
      </c>
      <c r="LK468" s="1446"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318">
        <f t="shared" si="323"/>
        <v>0</v>
      </c>
      <c r="MG468" s="1318">
        <f t="shared" si="324"/>
        <v>0</v>
      </c>
      <c r="MH468" s="1318">
        <f t="shared" si="325"/>
        <v>0</v>
      </c>
      <c r="MI468" s="1318">
        <f t="shared" si="326"/>
        <v>0</v>
      </c>
      <c r="MJ468" s="1318">
        <f t="shared" si="327"/>
        <v>0</v>
      </c>
      <c r="MK468" s="1318">
        <f t="shared" si="333"/>
        <v>0</v>
      </c>
      <c r="ML468" s="1318">
        <f t="shared" si="334"/>
        <v>0</v>
      </c>
      <c r="MM468" s="1318">
        <f t="shared" si="335"/>
        <v>0</v>
      </c>
      <c r="MN468" s="1318">
        <f t="shared" si="336"/>
        <v>0</v>
      </c>
      <c r="MO468" s="1318">
        <f t="shared" si="337"/>
        <v>0</v>
      </c>
      <c r="MP468" s="1318">
        <f t="shared" si="328"/>
        <v>0</v>
      </c>
      <c r="MQ468" s="1318">
        <f t="shared" si="329"/>
        <v>0</v>
      </c>
      <c r="MR468" s="1318">
        <f t="shared" si="330"/>
        <v>0</v>
      </c>
      <c r="MS468" s="1318">
        <f t="shared" si="331"/>
        <v>0</v>
      </c>
      <c r="MT468" s="1318">
        <f t="shared" si="332"/>
        <v>0</v>
      </c>
      <c r="NP468" s="251" t="s">
        <v>1171</v>
      </c>
    </row>
    <row r="469" spans="1:380" ht="13.9" customHeight="1">
      <c r="A469" s="2246" t="str">
        <f t="shared" si="0"/>
        <v/>
      </c>
      <c r="B469" s="2265">
        <f>'Part V-Revenues &amp; Expenses'!B31</f>
        <v>0</v>
      </c>
      <c r="C469" s="2266">
        <f>'Part V-Revenues &amp; Expenses'!C31</f>
        <v>0</v>
      </c>
      <c r="D469" s="2267">
        <f>'Part V-Revenues &amp; Expenses'!D31</f>
        <v>0</v>
      </c>
      <c r="E469" s="2268">
        <f>'Part V-Revenues &amp; Expenses'!E31</f>
        <v>0</v>
      </c>
      <c r="F469" s="2268">
        <f>'Part V-Revenues &amp; Expenses'!F31</f>
        <v>0</v>
      </c>
      <c r="G469" s="2268">
        <f>'Part V-Revenues &amp; Expenses'!G31</f>
        <v>0</v>
      </c>
      <c r="H469" s="2268">
        <f>'Part V-Revenues &amp; Expenses'!H31</f>
        <v>0</v>
      </c>
      <c r="I469" s="2268">
        <f>'Part V-Revenues &amp; Expenses'!I31</f>
        <v>0</v>
      </c>
      <c r="J469" s="2268">
        <f>'Part V-Revenues &amp; Expenses'!J31</f>
        <v>0</v>
      </c>
      <c r="K469" s="2269">
        <f>'Part V-Revenues &amp; Expenses'!K31</f>
        <v>0</v>
      </c>
      <c r="L469" s="2270">
        <f t="shared" si="1"/>
        <v>0</v>
      </c>
      <c r="M469" s="2270">
        <f t="shared" si="2"/>
        <v>0</v>
      </c>
      <c r="N469" s="2139">
        <f>'Part V-Revenues &amp; Expenses'!N31</f>
        <v>0</v>
      </c>
      <c r="O469" s="963">
        <f>'Part V-Revenues &amp; Expenses'!O31</f>
        <v>0</v>
      </c>
      <c r="P469" s="2139">
        <f>'Part V-Revenues &amp; Expenses'!P31</f>
        <v>0</v>
      </c>
      <c r="Q469" s="1455">
        <f>'Part V-Revenues &amp; Expenses'!Q31</f>
        <v>0</v>
      </c>
      <c r="R469" s="2271"/>
      <c r="S469" s="2272"/>
      <c r="T469" s="2273"/>
      <c r="U469" s="2273"/>
      <c r="V469" s="2273"/>
      <c r="W469" s="2273"/>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456" t="str">
        <f t="shared" si="213"/>
        <v/>
      </c>
      <c r="IA469" s="1456" t="str">
        <f t="shared" si="214"/>
        <v/>
      </c>
      <c r="IB469" s="1456" t="str">
        <f t="shared" si="215"/>
        <v/>
      </c>
      <c r="IC469" s="1456" t="str">
        <f t="shared" si="216"/>
        <v/>
      </c>
      <c r="ID469" s="1456" t="str">
        <f t="shared" si="217"/>
        <v/>
      </c>
      <c r="IE469" s="1456" t="str">
        <f t="shared" si="218"/>
        <v/>
      </c>
      <c r="IF469" s="1456" t="str">
        <f t="shared" si="219"/>
        <v/>
      </c>
      <c r="IG469" s="1456" t="str">
        <f t="shared" si="220"/>
        <v/>
      </c>
      <c r="IH469" s="1456" t="str">
        <f t="shared" si="221"/>
        <v/>
      </c>
      <c r="II469" s="1456" t="str">
        <f t="shared" si="222"/>
        <v/>
      </c>
      <c r="IJ469" s="1456" t="str">
        <f t="shared" si="223"/>
        <v/>
      </c>
      <c r="IK469" s="1456" t="str">
        <f t="shared" si="224"/>
        <v/>
      </c>
      <c r="IL469" s="1456" t="str">
        <f t="shared" si="225"/>
        <v/>
      </c>
      <c r="IM469" s="1456" t="str">
        <f t="shared" si="226"/>
        <v/>
      </c>
      <c r="IN469" s="1456" t="str">
        <f t="shared" si="227"/>
        <v/>
      </c>
      <c r="IO469" s="1456" t="str">
        <f t="shared" si="228"/>
        <v/>
      </c>
      <c r="IP469" s="1456" t="str">
        <f t="shared" si="229"/>
        <v/>
      </c>
      <c r="IQ469" s="1456" t="str">
        <f t="shared" si="230"/>
        <v/>
      </c>
      <c r="IR469" s="1456" t="str">
        <f t="shared" si="231"/>
        <v/>
      </c>
      <c r="IS469" s="1456" t="str">
        <f t="shared" si="232"/>
        <v/>
      </c>
      <c r="IT469" s="1456" t="str">
        <f t="shared" si="233"/>
        <v/>
      </c>
      <c r="IU469" s="1456" t="str">
        <f t="shared" si="234"/>
        <v/>
      </c>
      <c r="IV469" s="1456" t="str">
        <f t="shared" si="235"/>
        <v/>
      </c>
      <c r="IW469" s="1456" t="str">
        <f t="shared" si="236"/>
        <v/>
      </c>
      <c r="IX469" s="1456" t="str">
        <f t="shared" si="237"/>
        <v/>
      </c>
      <c r="IY469" s="1456" t="str">
        <f t="shared" si="238"/>
        <v/>
      </c>
      <c r="IZ469" s="1456" t="str">
        <f t="shared" si="239"/>
        <v/>
      </c>
      <c r="JA469" s="1456" t="str">
        <f t="shared" si="240"/>
        <v/>
      </c>
      <c r="JB469" s="1456" t="str">
        <f t="shared" si="241"/>
        <v/>
      </c>
      <c r="JC469" s="1456" t="str">
        <f t="shared" si="242"/>
        <v/>
      </c>
      <c r="JD469" s="1456" t="str">
        <f t="shared" si="243"/>
        <v/>
      </c>
      <c r="JE469" s="1456" t="str">
        <f t="shared" si="244"/>
        <v/>
      </c>
      <c r="JF469" s="1456" t="str">
        <f t="shared" si="245"/>
        <v/>
      </c>
      <c r="JG469" s="1456" t="str">
        <f t="shared" si="246"/>
        <v/>
      </c>
      <c r="JH469" s="1456" t="str">
        <f t="shared" si="247"/>
        <v/>
      </c>
      <c r="JI469" s="1456" t="str">
        <f t="shared" si="248"/>
        <v/>
      </c>
      <c r="JJ469" s="1456" t="str">
        <f t="shared" si="249"/>
        <v/>
      </c>
      <c r="JK469" s="1456" t="str">
        <f t="shared" si="250"/>
        <v/>
      </c>
      <c r="JL469" s="1456" t="str">
        <f t="shared" si="251"/>
        <v/>
      </c>
      <c r="JM469" s="1456" t="str">
        <f t="shared" si="252"/>
        <v/>
      </c>
      <c r="JN469" s="1456" t="str">
        <f t="shared" si="253"/>
        <v/>
      </c>
      <c r="JO469" s="1456" t="str">
        <f t="shared" si="254"/>
        <v/>
      </c>
      <c r="JP469" s="1456" t="str">
        <f t="shared" si="255"/>
        <v/>
      </c>
      <c r="JQ469" s="1456" t="str">
        <f t="shared" si="256"/>
        <v/>
      </c>
      <c r="JR469" s="1456" t="str">
        <f t="shared" si="257"/>
        <v/>
      </c>
      <c r="JS469" s="1456" t="str">
        <f t="shared" si="258"/>
        <v/>
      </c>
      <c r="JT469" s="1456" t="str">
        <f t="shared" si="259"/>
        <v/>
      </c>
      <c r="JU469" s="1456" t="str">
        <f t="shared" si="260"/>
        <v/>
      </c>
      <c r="JV469" s="1456" t="str">
        <f t="shared" si="261"/>
        <v/>
      </c>
      <c r="JW469" s="1456" t="str">
        <f t="shared" si="262"/>
        <v/>
      </c>
      <c r="JX469" s="1456" t="str">
        <f t="shared" si="263"/>
        <v/>
      </c>
      <c r="JY469" s="1456" t="str">
        <f t="shared" si="264"/>
        <v/>
      </c>
      <c r="JZ469" s="1456" t="str">
        <f t="shared" si="265"/>
        <v/>
      </c>
      <c r="KA469" s="1456" t="str">
        <f t="shared" si="266"/>
        <v/>
      </c>
      <c r="KB469" s="1456" t="str">
        <f t="shared" si="267"/>
        <v/>
      </c>
      <c r="KC469" s="1456" t="str">
        <f t="shared" si="268"/>
        <v/>
      </c>
      <c r="KD469" s="1456" t="str">
        <f t="shared" si="269"/>
        <v/>
      </c>
      <c r="KE469" s="1456" t="str">
        <f t="shared" si="270"/>
        <v/>
      </c>
      <c r="KF469" s="1456" t="str">
        <f t="shared" si="271"/>
        <v/>
      </c>
      <c r="KG469" s="1456" t="str">
        <f t="shared" si="272"/>
        <v/>
      </c>
      <c r="KH469" s="1456" t="str">
        <f t="shared" si="273"/>
        <v/>
      </c>
      <c r="KI469" s="1456" t="str">
        <f t="shared" si="274"/>
        <v/>
      </c>
      <c r="KJ469" s="1456" t="str">
        <f t="shared" si="275"/>
        <v/>
      </c>
      <c r="KK469" s="1456" t="str">
        <f t="shared" si="276"/>
        <v/>
      </c>
      <c r="KL469" s="1456" t="str">
        <f t="shared" si="277"/>
        <v/>
      </c>
      <c r="KM469" s="1456" t="str">
        <f t="shared" si="278"/>
        <v/>
      </c>
      <c r="KN469" s="1456" t="str">
        <f t="shared" si="279"/>
        <v/>
      </c>
      <c r="KO469" s="1456" t="str">
        <f t="shared" si="280"/>
        <v/>
      </c>
      <c r="KP469" s="1456" t="str">
        <f t="shared" si="281"/>
        <v/>
      </c>
      <c r="KQ469" s="1456" t="str">
        <f t="shared" si="282"/>
        <v/>
      </c>
      <c r="KR469" s="1456" t="str">
        <f t="shared" si="283"/>
        <v/>
      </c>
      <c r="KS469" s="1456" t="str">
        <f t="shared" si="284"/>
        <v/>
      </c>
      <c r="KT469" s="1456" t="str">
        <f t="shared" si="285"/>
        <v/>
      </c>
      <c r="KU469" s="1456" t="str">
        <f t="shared" si="286"/>
        <v/>
      </c>
      <c r="KV469" s="1456" t="str">
        <f t="shared" si="287"/>
        <v/>
      </c>
      <c r="KW469" s="1456" t="str">
        <f t="shared" si="288"/>
        <v/>
      </c>
      <c r="KX469" s="1456" t="str">
        <f t="shared" si="289"/>
        <v/>
      </c>
      <c r="KY469" s="1456" t="str">
        <f t="shared" si="290"/>
        <v/>
      </c>
      <c r="KZ469" s="1456" t="str">
        <f t="shared" si="291"/>
        <v/>
      </c>
      <c r="LA469" s="1456" t="str">
        <f t="shared" si="292"/>
        <v/>
      </c>
      <c r="LB469" s="1456" t="str">
        <f t="shared" si="293"/>
        <v/>
      </c>
      <c r="LC469" s="1456" t="str">
        <f t="shared" si="294"/>
        <v/>
      </c>
      <c r="LD469" s="1456" t="str">
        <f t="shared" si="295"/>
        <v/>
      </c>
      <c r="LE469" s="1456" t="str">
        <f t="shared" si="296"/>
        <v/>
      </c>
      <c r="LF469" s="1456" t="str">
        <f t="shared" si="297"/>
        <v/>
      </c>
      <c r="LG469" s="1446" t="str">
        <f t="shared" si="298"/>
        <v/>
      </c>
      <c r="LH469" s="1446" t="str">
        <f t="shared" si="299"/>
        <v/>
      </c>
      <c r="LI469" s="1446" t="str">
        <f t="shared" si="300"/>
        <v/>
      </c>
      <c r="LJ469" s="1446" t="str">
        <f t="shared" si="301"/>
        <v/>
      </c>
      <c r="LK469" s="1446"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318">
        <f t="shared" si="323"/>
        <v>0</v>
      </c>
      <c r="MG469" s="1318">
        <f t="shared" si="324"/>
        <v>0</v>
      </c>
      <c r="MH469" s="1318">
        <f t="shared" si="325"/>
        <v>0</v>
      </c>
      <c r="MI469" s="1318">
        <f t="shared" si="326"/>
        <v>0</v>
      </c>
      <c r="MJ469" s="1318">
        <f t="shared" si="327"/>
        <v>0</v>
      </c>
      <c r="MK469" s="1318">
        <f t="shared" si="333"/>
        <v>0</v>
      </c>
      <c r="ML469" s="1318">
        <f t="shared" si="334"/>
        <v>0</v>
      </c>
      <c r="MM469" s="1318">
        <f t="shared" si="335"/>
        <v>0</v>
      </c>
      <c r="MN469" s="1318">
        <f t="shared" si="336"/>
        <v>0</v>
      </c>
      <c r="MO469" s="1318">
        <f t="shared" si="337"/>
        <v>0</v>
      </c>
      <c r="MP469" s="1318">
        <f t="shared" si="328"/>
        <v>0</v>
      </c>
      <c r="MQ469" s="1318">
        <f t="shared" si="329"/>
        <v>0</v>
      </c>
      <c r="MR469" s="1318">
        <f t="shared" si="330"/>
        <v>0</v>
      </c>
      <c r="MS469" s="1318">
        <f t="shared" si="331"/>
        <v>0</v>
      </c>
      <c r="MT469" s="1318">
        <f t="shared" si="332"/>
        <v>0</v>
      </c>
      <c r="NP469" s="251" t="s">
        <v>1172</v>
      </c>
    </row>
    <row r="470" spans="1:380" ht="13.9" customHeight="1">
      <c r="A470" s="2246" t="str">
        <f t="shared" si="0"/>
        <v/>
      </c>
      <c r="B470" s="2265">
        <f>'Part V-Revenues &amp; Expenses'!B32</f>
        <v>0</v>
      </c>
      <c r="C470" s="2266">
        <f>'Part V-Revenues &amp; Expenses'!C32</f>
        <v>0</v>
      </c>
      <c r="D470" s="2267">
        <f>'Part V-Revenues &amp; Expenses'!D32</f>
        <v>0</v>
      </c>
      <c r="E470" s="2268">
        <f>'Part V-Revenues &amp; Expenses'!E32</f>
        <v>0</v>
      </c>
      <c r="F470" s="2268">
        <f>'Part V-Revenues &amp; Expenses'!F32</f>
        <v>0</v>
      </c>
      <c r="G470" s="2268">
        <f>'Part V-Revenues &amp; Expenses'!G32</f>
        <v>0</v>
      </c>
      <c r="H470" s="2268">
        <f>'Part V-Revenues &amp; Expenses'!H32</f>
        <v>0</v>
      </c>
      <c r="I470" s="2268">
        <f>'Part V-Revenues &amp; Expenses'!I32</f>
        <v>0</v>
      </c>
      <c r="J470" s="2268">
        <f>'Part V-Revenues &amp; Expenses'!J32</f>
        <v>0</v>
      </c>
      <c r="K470" s="2269">
        <f>'Part V-Revenues &amp; Expenses'!K32</f>
        <v>0</v>
      </c>
      <c r="L470" s="2270">
        <f t="shared" si="1"/>
        <v>0</v>
      </c>
      <c r="M470" s="2270">
        <f t="shared" si="2"/>
        <v>0</v>
      </c>
      <c r="N470" s="2139">
        <f>'Part V-Revenues &amp; Expenses'!N32</f>
        <v>0</v>
      </c>
      <c r="O470" s="963">
        <f>'Part V-Revenues &amp; Expenses'!O32</f>
        <v>0</v>
      </c>
      <c r="P470" s="2139">
        <f>'Part V-Revenues &amp; Expenses'!P32</f>
        <v>0</v>
      </c>
      <c r="Q470" s="1455">
        <f>'Part V-Revenues &amp; Expenses'!Q32</f>
        <v>0</v>
      </c>
      <c r="R470" s="2271"/>
      <c r="S470" s="2272"/>
      <c r="T470" s="2273"/>
      <c r="U470" s="2273"/>
      <c r="V470" s="2273"/>
      <c r="W470" s="2273"/>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456" t="str">
        <f t="shared" si="213"/>
        <v/>
      </c>
      <c r="IA470" s="1456" t="str">
        <f t="shared" si="214"/>
        <v/>
      </c>
      <c r="IB470" s="1456" t="str">
        <f t="shared" si="215"/>
        <v/>
      </c>
      <c r="IC470" s="1456" t="str">
        <f t="shared" si="216"/>
        <v/>
      </c>
      <c r="ID470" s="1456" t="str">
        <f t="shared" si="217"/>
        <v/>
      </c>
      <c r="IE470" s="1456" t="str">
        <f t="shared" si="218"/>
        <v/>
      </c>
      <c r="IF470" s="1456" t="str">
        <f t="shared" si="219"/>
        <v/>
      </c>
      <c r="IG470" s="1456" t="str">
        <f t="shared" si="220"/>
        <v/>
      </c>
      <c r="IH470" s="1456" t="str">
        <f t="shared" si="221"/>
        <v/>
      </c>
      <c r="II470" s="1456" t="str">
        <f t="shared" si="222"/>
        <v/>
      </c>
      <c r="IJ470" s="1456" t="str">
        <f t="shared" si="223"/>
        <v/>
      </c>
      <c r="IK470" s="1456" t="str">
        <f t="shared" si="224"/>
        <v/>
      </c>
      <c r="IL470" s="1456" t="str">
        <f t="shared" si="225"/>
        <v/>
      </c>
      <c r="IM470" s="1456" t="str">
        <f t="shared" si="226"/>
        <v/>
      </c>
      <c r="IN470" s="1456" t="str">
        <f t="shared" si="227"/>
        <v/>
      </c>
      <c r="IO470" s="1456" t="str">
        <f t="shared" si="228"/>
        <v/>
      </c>
      <c r="IP470" s="1456" t="str">
        <f t="shared" si="229"/>
        <v/>
      </c>
      <c r="IQ470" s="1456" t="str">
        <f t="shared" si="230"/>
        <v/>
      </c>
      <c r="IR470" s="1456" t="str">
        <f t="shared" si="231"/>
        <v/>
      </c>
      <c r="IS470" s="1456" t="str">
        <f t="shared" si="232"/>
        <v/>
      </c>
      <c r="IT470" s="1456" t="str">
        <f t="shared" si="233"/>
        <v/>
      </c>
      <c r="IU470" s="1456" t="str">
        <f t="shared" si="234"/>
        <v/>
      </c>
      <c r="IV470" s="1456" t="str">
        <f t="shared" si="235"/>
        <v/>
      </c>
      <c r="IW470" s="1456" t="str">
        <f t="shared" si="236"/>
        <v/>
      </c>
      <c r="IX470" s="1456" t="str">
        <f t="shared" si="237"/>
        <v/>
      </c>
      <c r="IY470" s="1456" t="str">
        <f t="shared" si="238"/>
        <v/>
      </c>
      <c r="IZ470" s="1456" t="str">
        <f t="shared" si="239"/>
        <v/>
      </c>
      <c r="JA470" s="1456" t="str">
        <f t="shared" si="240"/>
        <v/>
      </c>
      <c r="JB470" s="1456" t="str">
        <f t="shared" si="241"/>
        <v/>
      </c>
      <c r="JC470" s="1456" t="str">
        <f t="shared" si="242"/>
        <v/>
      </c>
      <c r="JD470" s="1456" t="str">
        <f t="shared" si="243"/>
        <v/>
      </c>
      <c r="JE470" s="1456" t="str">
        <f t="shared" si="244"/>
        <v/>
      </c>
      <c r="JF470" s="1456" t="str">
        <f t="shared" si="245"/>
        <v/>
      </c>
      <c r="JG470" s="1456" t="str">
        <f t="shared" si="246"/>
        <v/>
      </c>
      <c r="JH470" s="1456" t="str">
        <f t="shared" si="247"/>
        <v/>
      </c>
      <c r="JI470" s="1456" t="str">
        <f t="shared" si="248"/>
        <v/>
      </c>
      <c r="JJ470" s="1456" t="str">
        <f t="shared" si="249"/>
        <v/>
      </c>
      <c r="JK470" s="1456" t="str">
        <f t="shared" si="250"/>
        <v/>
      </c>
      <c r="JL470" s="1456" t="str">
        <f t="shared" si="251"/>
        <v/>
      </c>
      <c r="JM470" s="1456" t="str">
        <f t="shared" si="252"/>
        <v/>
      </c>
      <c r="JN470" s="1456" t="str">
        <f t="shared" si="253"/>
        <v/>
      </c>
      <c r="JO470" s="1456" t="str">
        <f t="shared" si="254"/>
        <v/>
      </c>
      <c r="JP470" s="1456" t="str">
        <f t="shared" si="255"/>
        <v/>
      </c>
      <c r="JQ470" s="1456" t="str">
        <f t="shared" si="256"/>
        <v/>
      </c>
      <c r="JR470" s="1456" t="str">
        <f t="shared" si="257"/>
        <v/>
      </c>
      <c r="JS470" s="1456" t="str">
        <f t="shared" si="258"/>
        <v/>
      </c>
      <c r="JT470" s="1456" t="str">
        <f t="shared" si="259"/>
        <v/>
      </c>
      <c r="JU470" s="1456" t="str">
        <f t="shared" si="260"/>
        <v/>
      </c>
      <c r="JV470" s="1456" t="str">
        <f t="shared" si="261"/>
        <v/>
      </c>
      <c r="JW470" s="1456" t="str">
        <f t="shared" si="262"/>
        <v/>
      </c>
      <c r="JX470" s="1456" t="str">
        <f t="shared" si="263"/>
        <v/>
      </c>
      <c r="JY470" s="1456" t="str">
        <f t="shared" si="264"/>
        <v/>
      </c>
      <c r="JZ470" s="1456" t="str">
        <f t="shared" si="265"/>
        <v/>
      </c>
      <c r="KA470" s="1456" t="str">
        <f t="shared" si="266"/>
        <v/>
      </c>
      <c r="KB470" s="1456" t="str">
        <f t="shared" si="267"/>
        <v/>
      </c>
      <c r="KC470" s="1456" t="str">
        <f t="shared" si="268"/>
        <v/>
      </c>
      <c r="KD470" s="1456" t="str">
        <f t="shared" si="269"/>
        <v/>
      </c>
      <c r="KE470" s="1456" t="str">
        <f t="shared" si="270"/>
        <v/>
      </c>
      <c r="KF470" s="1456" t="str">
        <f t="shared" si="271"/>
        <v/>
      </c>
      <c r="KG470" s="1456" t="str">
        <f t="shared" si="272"/>
        <v/>
      </c>
      <c r="KH470" s="1456" t="str">
        <f t="shared" si="273"/>
        <v/>
      </c>
      <c r="KI470" s="1456" t="str">
        <f t="shared" si="274"/>
        <v/>
      </c>
      <c r="KJ470" s="1456" t="str">
        <f t="shared" si="275"/>
        <v/>
      </c>
      <c r="KK470" s="1456" t="str">
        <f t="shared" si="276"/>
        <v/>
      </c>
      <c r="KL470" s="1456" t="str">
        <f t="shared" si="277"/>
        <v/>
      </c>
      <c r="KM470" s="1456" t="str">
        <f t="shared" si="278"/>
        <v/>
      </c>
      <c r="KN470" s="1456" t="str">
        <f t="shared" si="279"/>
        <v/>
      </c>
      <c r="KO470" s="1456" t="str">
        <f t="shared" si="280"/>
        <v/>
      </c>
      <c r="KP470" s="1456" t="str">
        <f t="shared" si="281"/>
        <v/>
      </c>
      <c r="KQ470" s="1456" t="str">
        <f t="shared" si="282"/>
        <v/>
      </c>
      <c r="KR470" s="1456" t="str">
        <f t="shared" si="283"/>
        <v/>
      </c>
      <c r="KS470" s="1456" t="str">
        <f t="shared" si="284"/>
        <v/>
      </c>
      <c r="KT470" s="1456" t="str">
        <f t="shared" si="285"/>
        <v/>
      </c>
      <c r="KU470" s="1456" t="str">
        <f t="shared" si="286"/>
        <v/>
      </c>
      <c r="KV470" s="1456" t="str">
        <f t="shared" si="287"/>
        <v/>
      </c>
      <c r="KW470" s="1456" t="str">
        <f t="shared" si="288"/>
        <v/>
      </c>
      <c r="KX470" s="1456" t="str">
        <f t="shared" si="289"/>
        <v/>
      </c>
      <c r="KY470" s="1456" t="str">
        <f t="shared" si="290"/>
        <v/>
      </c>
      <c r="KZ470" s="1456" t="str">
        <f t="shared" si="291"/>
        <v/>
      </c>
      <c r="LA470" s="1456" t="str">
        <f t="shared" si="292"/>
        <v/>
      </c>
      <c r="LB470" s="1456" t="str">
        <f t="shared" si="293"/>
        <v/>
      </c>
      <c r="LC470" s="1456" t="str">
        <f t="shared" si="294"/>
        <v/>
      </c>
      <c r="LD470" s="1456" t="str">
        <f t="shared" si="295"/>
        <v/>
      </c>
      <c r="LE470" s="1456" t="str">
        <f t="shared" si="296"/>
        <v/>
      </c>
      <c r="LF470" s="1456" t="str">
        <f t="shared" si="297"/>
        <v/>
      </c>
      <c r="LG470" s="1446" t="str">
        <f t="shared" si="298"/>
        <v/>
      </c>
      <c r="LH470" s="1446" t="str">
        <f t="shared" si="299"/>
        <v/>
      </c>
      <c r="LI470" s="1446" t="str">
        <f t="shared" si="300"/>
        <v/>
      </c>
      <c r="LJ470" s="1446" t="str">
        <f t="shared" si="301"/>
        <v/>
      </c>
      <c r="LK470" s="1446"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318">
        <f t="shared" si="323"/>
        <v>0</v>
      </c>
      <c r="MG470" s="1318">
        <f t="shared" si="324"/>
        <v>0</v>
      </c>
      <c r="MH470" s="1318">
        <f t="shared" si="325"/>
        <v>0</v>
      </c>
      <c r="MI470" s="1318">
        <f t="shared" si="326"/>
        <v>0</v>
      </c>
      <c r="MJ470" s="1318">
        <f t="shared" si="327"/>
        <v>0</v>
      </c>
      <c r="MK470" s="1318">
        <f t="shared" si="333"/>
        <v>0</v>
      </c>
      <c r="ML470" s="1318">
        <f t="shared" si="334"/>
        <v>0</v>
      </c>
      <c r="MM470" s="1318">
        <f t="shared" si="335"/>
        <v>0</v>
      </c>
      <c r="MN470" s="1318">
        <f t="shared" si="336"/>
        <v>0</v>
      </c>
      <c r="MO470" s="1318">
        <f t="shared" si="337"/>
        <v>0</v>
      </c>
      <c r="MP470" s="1318">
        <f t="shared" si="328"/>
        <v>0</v>
      </c>
      <c r="MQ470" s="1318">
        <f t="shared" si="329"/>
        <v>0</v>
      </c>
      <c r="MR470" s="1318">
        <f t="shared" si="330"/>
        <v>0</v>
      </c>
      <c r="MS470" s="1318">
        <f t="shared" si="331"/>
        <v>0</v>
      </c>
      <c r="MT470" s="1318">
        <f t="shared" si="332"/>
        <v>0</v>
      </c>
      <c r="NP470" s="251" t="s">
        <v>1173</v>
      </c>
    </row>
    <row r="471" spans="1:380" ht="13.9" customHeight="1">
      <c r="A471" s="2246" t="str">
        <f t="shared" si="0"/>
        <v/>
      </c>
      <c r="B471" s="2265">
        <f>'Part V-Revenues &amp; Expenses'!B33</f>
        <v>0</v>
      </c>
      <c r="C471" s="2266">
        <f>'Part V-Revenues &amp; Expenses'!C33</f>
        <v>0</v>
      </c>
      <c r="D471" s="2267">
        <f>'Part V-Revenues &amp; Expenses'!D33</f>
        <v>0</v>
      </c>
      <c r="E471" s="2268">
        <f>'Part V-Revenues &amp; Expenses'!E33</f>
        <v>0</v>
      </c>
      <c r="F471" s="2268">
        <f>'Part V-Revenues &amp; Expenses'!F33</f>
        <v>0</v>
      </c>
      <c r="G471" s="2268">
        <f>'Part V-Revenues &amp; Expenses'!G33</f>
        <v>0</v>
      </c>
      <c r="H471" s="2268">
        <f>'Part V-Revenues &amp; Expenses'!H33</f>
        <v>0</v>
      </c>
      <c r="I471" s="2268">
        <f>'Part V-Revenues &amp; Expenses'!I33</f>
        <v>0</v>
      </c>
      <c r="J471" s="2268">
        <f>'Part V-Revenues &amp; Expenses'!J33</f>
        <v>0</v>
      </c>
      <c r="K471" s="2269">
        <f>'Part V-Revenues &amp; Expenses'!K33</f>
        <v>0</v>
      </c>
      <c r="L471" s="2270">
        <f t="shared" si="1"/>
        <v>0</v>
      </c>
      <c r="M471" s="2270">
        <f t="shared" si="2"/>
        <v>0</v>
      </c>
      <c r="N471" s="2139">
        <f>'Part V-Revenues &amp; Expenses'!N33</f>
        <v>0</v>
      </c>
      <c r="O471" s="963">
        <f>'Part V-Revenues &amp; Expenses'!O33</f>
        <v>0</v>
      </c>
      <c r="P471" s="2139">
        <f>'Part V-Revenues &amp; Expenses'!P33</f>
        <v>0</v>
      </c>
      <c r="Q471" s="1455">
        <f>'Part V-Revenues &amp; Expenses'!Q33</f>
        <v>0</v>
      </c>
      <c r="R471" s="2271"/>
      <c r="S471" s="2272"/>
      <c r="T471" s="2273"/>
      <c r="U471" s="2273"/>
      <c r="V471" s="2273"/>
      <c r="W471" s="2273"/>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456" t="str">
        <f t="shared" si="213"/>
        <v/>
      </c>
      <c r="IA471" s="1456" t="str">
        <f t="shared" si="214"/>
        <v/>
      </c>
      <c r="IB471" s="1456" t="str">
        <f t="shared" si="215"/>
        <v/>
      </c>
      <c r="IC471" s="1456" t="str">
        <f t="shared" si="216"/>
        <v/>
      </c>
      <c r="ID471" s="1456" t="str">
        <f t="shared" si="217"/>
        <v/>
      </c>
      <c r="IE471" s="1456" t="str">
        <f t="shared" si="218"/>
        <v/>
      </c>
      <c r="IF471" s="1456" t="str">
        <f t="shared" si="219"/>
        <v/>
      </c>
      <c r="IG471" s="1456" t="str">
        <f t="shared" si="220"/>
        <v/>
      </c>
      <c r="IH471" s="1456" t="str">
        <f t="shared" si="221"/>
        <v/>
      </c>
      <c r="II471" s="1456" t="str">
        <f t="shared" si="222"/>
        <v/>
      </c>
      <c r="IJ471" s="1456" t="str">
        <f t="shared" si="223"/>
        <v/>
      </c>
      <c r="IK471" s="1456" t="str">
        <f t="shared" si="224"/>
        <v/>
      </c>
      <c r="IL471" s="1456" t="str">
        <f t="shared" si="225"/>
        <v/>
      </c>
      <c r="IM471" s="1456" t="str">
        <f t="shared" si="226"/>
        <v/>
      </c>
      <c r="IN471" s="1456" t="str">
        <f t="shared" si="227"/>
        <v/>
      </c>
      <c r="IO471" s="1456" t="str">
        <f t="shared" si="228"/>
        <v/>
      </c>
      <c r="IP471" s="1456" t="str">
        <f t="shared" si="229"/>
        <v/>
      </c>
      <c r="IQ471" s="1456" t="str">
        <f t="shared" si="230"/>
        <v/>
      </c>
      <c r="IR471" s="1456" t="str">
        <f t="shared" si="231"/>
        <v/>
      </c>
      <c r="IS471" s="1456" t="str">
        <f t="shared" si="232"/>
        <v/>
      </c>
      <c r="IT471" s="1456" t="str">
        <f t="shared" si="233"/>
        <v/>
      </c>
      <c r="IU471" s="1456" t="str">
        <f t="shared" si="234"/>
        <v/>
      </c>
      <c r="IV471" s="1456" t="str">
        <f t="shared" si="235"/>
        <v/>
      </c>
      <c r="IW471" s="1456" t="str">
        <f t="shared" si="236"/>
        <v/>
      </c>
      <c r="IX471" s="1456" t="str">
        <f t="shared" si="237"/>
        <v/>
      </c>
      <c r="IY471" s="1456" t="str">
        <f t="shared" si="238"/>
        <v/>
      </c>
      <c r="IZ471" s="1456" t="str">
        <f t="shared" si="239"/>
        <v/>
      </c>
      <c r="JA471" s="1456" t="str">
        <f t="shared" si="240"/>
        <v/>
      </c>
      <c r="JB471" s="1456" t="str">
        <f t="shared" si="241"/>
        <v/>
      </c>
      <c r="JC471" s="1456" t="str">
        <f t="shared" si="242"/>
        <v/>
      </c>
      <c r="JD471" s="1456" t="str">
        <f t="shared" si="243"/>
        <v/>
      </c>
      <c r="JE471" s="1456" t="str">
        <f t="shared" si="244"/>
        <v/>
      </c>
      <c r="JF471" s="1456" t="str">
        <f t="shared" si="245"/>
        <v/>
      </c>
      <c r="JG471" s="1456" t="str">
        <f t="shared" si="246"/>
        <v/>
      </c>
      <c r="JH471" s="1456" t="str">
        <f t="shared" si="247"/>
        <v/>
      </c>
      <c r="JI471" s="1456" t="str">
        <f t="shared" si="248"/>
        <v/>
      </c>
      <c r="JJ471" s="1456" t="str">
        <f t="shared" si="249"/>
        <v/>
      </c>
      <c r="JK471" s="1456" t="str">
        <f t="shared" si="250"/>
        <v/>
      </c>
      <c r="JL471" s="1456" t="str">
        <f t="shared" si="251"/>
        <v/>
      </c>
      <c r="JM471" s="1456" t="str">
        <f t="shared" si="252"/>
        <v/>
      </c>
      <c r="JN471" s="1456" t="str">
        <f t="shared" si="253"/>
        <v/>
      </c>
      <c r="JO471" s="1456" t="str">
        <f t="shared" si="254"/>
        <v/>
      </c>
      <c r="JP471" s="1456" t="str">
        <f t="shared" si="255"/>
        <v/>
      </c>
      <c r="JQ471" s="1456" t="str">
        <f t="shared" si="256"/>
        <v/>
      </c>
      <c r="JR471" s="1456" t="str">
        <f t="shared" si="257"/>
        <v/>
      </c>
      <c r="JS471" s="1456" t="str">
        <f t="shared" si="258"/>
        <v/>
      </c>
      <c r="JT471" s="1456" t="str">
        <f t="shared" si="259"/>
        <v/>
      </c>
      <c r="JU471" s="1456" t="str">
        <f t="shared" si="260"/>
        <v/>
      </c>
      <c r="JV471" s="1456" t="str">
        <f t="shared" si="261"/>
        <v/>
      </c>
      <c r="JW471" s="1456" t="str">
        <f t="shared" si="262"/>
        <v/>
      </c>
      <c r="JX471" s="1456" t="str">
        <f t="shared" si="263"/>
        <v/>
      </c>
      <c r="JY471" s="1456" t="str">
        <f t="shared" si="264"/>
        <v/>
      </c>
      <c r="JZ471" s="1456" t="str">
        <f t="shared" si="265"/>
        <v/>
      </c>
      <c r="KA471" s="1456" t="str">
        <f t="shared" si="266"/>
        <v/>
      </c>
      <c r="KB471" s="1456" t="str">
        <f t="shared" si="267"/>
        <v/>
      </c>
      <c r="KC471" s="1456" t="str">
        <f t="shared" si="268"/>
        <v/>
      </c>
      <c r="KD471" s="1456" t="str">
        <f t="shared" si="269"/>
        <v/>
      </c>
      <c r="KE471" s="1456" t="str">
        <f t="shared" si="270"/>
        <v/>
      </c>
      <c r="KF471" s="1456" t="str">
        <f t="shared" si="271"/>
        <v/>
      </c>
      <c r="KG471" s="1456" t="str">
        <f t="shared" si="272"/>
        <v/>
      </c>
      <c r="KH471" s="1456" t="str">
        <f t="shared" si="273"/>
        <v/>
      </c>
      <c r="KI471" s="1456" t="str">
        <f t="shared" si="274"/>
        <v/>
      </c>
      <c r="KJ471" s="1456" t="str">
        <f t="shared" si="275"/>
        <v/>
      </c>
      <c r="KK471" s="1456" t="str">
        <f t="shared" si="276"/>
        <v/>
      </c>
      <c r="KL471" s="1456" t="str">
        <f t="shared" si="277"/>
        <v/>
      </c>
      <c r="KM471" s="1456" t="str">
        <f t="shared" si="278"/>
        <v/>
      </c>
      <c r="KN471" s="1456" t="str">
        <f t="shared" si="279"/>
        <v/>
      </c>
      <c r="KO471" s="1456" t="str">
        <f t="shared" si="280"/>
        <v/>
      </c>
      <c r="KP471" s="1456" t="str">
        <f t="shared" si="281"/>
        <v/>
      </c>
      <c r="KQ471" s="1456" t="str">
        <f t="shared" si="282"/>
        <v/>
      </c>
      <c r="KR471" s="1456" t="str">
        <f t="shared" si="283"/>
        <v/>
      </c>
      <c r="KS471" s="1456" t="str">
        <f t="shared" si="284"/>
        <v/>
      </c>
      <c r="KT471" s="1456" t="str">
        <f t="shared" si="285"/>
        <v/>
      </c>
      <c r="KU471" s="1456" t="str">
        <f t="shared" si="286"/>
        <v/>
      </c>
      <c r="KV471" s="1456" t="str">
        <f t="shared" si="287"/>
        <v/>
      </c>
      <c r="KW471" s="1456" t="str">
        <f t="shared" si="288"/>
        <v/>
      </c>
      <c r="KX471" s="1456" t="str">
        <f t="shared" si="289"/>
        <v/>
      </c>
      <c r="KY471" s="1456" t="str">
        <f t="shared" si="290"/>
        <v/>
      </c>
      <c r="KZ471" s="1456" t="str">
        <f t="shared" si="291"/>
        <v/>
      </c>
      <c r="LA471" s="1456" t="str">
        <f t="shared" si="292"/>
        <v/>
      </c>
      <c r="LB471" s="1456" t="str">
        <f t="shared" si="293"/>
        <v/>
      </c>
      <c r="LC471" s="1456" t="str">
        <f t="shared" si="294"/>
        <v/>
      </c>
      <c r="LD471" s="1456" t="str">
        <f t="shared" si="295"/>
        <v/>
      </c>
      <c r="LE471" s="1456" t="str">
        <f t="shared" si="296"/>
        <v/>
      </c>
      <c r="LF471" s="1456" t="str">
        <f t="shared" si="297"/>
        <v/>
      </c>
      <c r="LG471" s="1446" t="str">
        <f t="shared" si="298"/>
        <v/>
      </c>
      <c r="LH471" s="1446" t="str">
        <f t="shared" si="299"/>
        <v/>
      </c>
      <c r="LI471" s="1446" t="str">
        <f t="shared" si="300"/>
        <v/>
      </c>
      <c r="LJ471" s="1446" t="str">
        <f t="shared" si="301"/>
        <v/>
      </c>
      <c r="LK471" s="1446"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318">
        <f t="shared" si="323"/>
        <v>0</v>
      </c>
      <c r="MG471" s="1318">
        <f t="shared" si="324"/>
        <v>0</v>
      </c>
      <c r="MH471" s="1318">
        <f t="shared" si="325"/>
        <v>0</v>
      </c>
      <c r="MI471" s="1318">
        <f t="shared" si="326"/>
        <v>0</v>
      </c>
      <c r="MJ471" s="1318">
        <f t="shared" si="327"/>
        <v>0</v>
      </c>
      <c r="MK471" s="1318">
        <f t="shared" si="333"/>
        <v>0</v>
      </c>
      <c r="ML471" s="1318">
        <f t="shared" si="334"/>
        <v>0</v>
      </c>
      <c r="MM471" s="1318">
        <f t="shared" si="335"/>
        <v>0</v>
      </c>
      <c r="MN471" s="1318">
        <f t="shared" si="336"/>
        <v>0</v>
      </c>
      <c r="MO471" s="1318">
        <f t="shared" si="337"/>
        <v>0</v>
      </c>
      <c r="MP471" s="1318">
        <f t="shared" si="328"/>
        <v>0</v>
      </c>
      <c r="MQ471" s="1318">
        <f t="shared" si="329"/>
        <v>0</v>
      </c>
      <c r="MR471" s="1318">
        <f t="shared" si="330"/>
        <v>0</v>
      </c>
      <c r="MS471" s="1318">
        <f t="shared" si="331"/>
        <v>0</v>
      </c>
      <c r="MT471" s="1318">
        <f t="shared" si="332"/>
        <v>0</v>
      </c>
      <c r="NP471" s="251" t="s">
        <v>1174</v>
      </c>
    </row>
    <row r="472" spans="1:380" ht="13.9" customHeight="1">
      <c r="A472" s="2246" t="str">
        <f t="shared" si="0"/>
        <v/>
      </c>
      <c r="B472" s="2265">
        <f>'Part V-Revenues &amp; Expenses'!B34</f>
        <v>0</v>
      </c>
      <c r="C472" s="2266">
        <f>'Part V-Revenues &amp; Expenses'!C34</f>
        <v>0</v>
      </c>
      <c r="D472" s="2267">
        <f>'Part V-Revenues &amp; Expenses'!D34</f>
        <v>0</v>
      </c>
      <c r="E472" s="2268">
        <f>'Part V-Revenues &amp; Expenses'!E34</f>
        <v>0</v>
      </c>
      <c r="F472" s="2268">
        <f>'Part V-Revenues &amp; Expenses'!F34</f>
        <v>0</v>
      </c>
      <c r="G472" s="2268">
        <f>'Part V-Revenues &amp; Expenses'!G34</f>
        <v>0</v>
      </c>
      <c r="H472" s="2268">
        <f>'Part V-Revenues &amp; Expenses'!H34</f>
        <v>0</v>
      </c>
      <c r="I472" s="2268">
        <f>'Part V-Revenues &amp; Expenses'!I34</f>
        <v>0</v>
      </c>
      <c r="J472" s="2268">
        <f>'Part V-Revenues &amp; Expenses'!J34</f>
        <v>0</v>
      </c>
      <c r="K472" s="2269">
        <f>'Part V-Revenues &amp; Expenses'!K34</f>
        <v>0</v>
      </c>
      <c r="L472" s="2270">
        <f t="shared" si="1"/>
        <v>0</v>
      </c>
      <c r="M472" s="2270">
        <f t="shared" si="2"/>
        <v>0</v>
      </c>
      <c r="N472" s="2139">
        <f>'Part V-Revenues &amp; Expenses'!N34</f>
        <v>0</v>
      </c>
      <c r="O472" s="963">
        <f>'Part V-Revenues &amp; Expenses'!O34</f>
        <v>0</v>
      </c>
      <c r="P472" s="2139">
        <f>'Part V-Revenues &amp; Expenses'!P34</f>
        <v>0</v>
      </c>
      <c r="Q472" s="1455">
        <f>'Part V-Revenues &amp; Expenses'!Q34</f>
        <v>0</v>
      </c>
      <c r="R472" s="2271"/>
      <c r="S472" s="2272"/>
      <c r="T472" s="2273"/>
      <c r="U472" s="2273"/>
      <c r="V472" s="2273"/>
      <c r="W472" s="2273"/>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456" t="str">
        <f t="shared" si="213"/>
        <v/>
      </c>
      <c r="IA472" s="1456" t="str">
        <f t="shared" si="214"/>
        <v/>
      </c>
      <c r="IB472" s="1456" t="str">
        <f t="shared" si="215"/>
        <v/>
      </c>
      <c r="IC472" s="1456" t="str">
        <f t="shared" si="216"/>
        <v/>
      </c>
      <c r="ID472" s="1456" t="str">
        <f t="shared" si="217"/>
        <v/>
      </c>
      <c r="IE472" s="1456" t="str">
        <f t="shared" si="218"/>
        <v/>
      </c>
      <c r="IF472" s="1456" t="str">
        <f t="shared" si="219"/>
        <v/>
      </c>
      <c r="IG472" s="1456" t="str">
        <f t="shared" si="220"/>
        <v/>
      </c>
      <c r="IH472" s="1456" t="str">
        <f t="shared" si="221"/>
        <v/>
      </c>
      <c r="II472" s="1456" t="str">
        <f t="shared" si="222"/>
        <v/>
      </c>
      <c r="IJ472" s="1456" t="str">
        <f t="shared" si="223"/>
        <v/>
      </c>
      <c r="IK472" s="1456" t="str">
        <f t="shared" si="224"/>
        <v/>
      </c>
      <c r="IL472" s="1456" t="str">
        <f t="shared" si="225"/>
        <v/>
      </c>
      <c r="IM472" s="1456" t="str">
        <f t="shared" si="226"/>
        <v/>
      </c>
      <c r="IN472" s="1456" t="str">
        <f t="shared" si="227"/>
        <v/>
      </c>
      <c r="IO472" s="1456" t="str">
        <f t="shared" si="228"/>
        <v/>
      </c>
      <c r="IP472" s="1456" t="str">
        <f t="shared" si="229"/>
        <v/>
      </c>
      <c r="IQ472" s="1456" t="str">
        <f t="shared" si="230"/>
        <v/>
      </c>
      <c r="IR472" s="1456" t="str">
        <f t="shared" si="231"/>
        <v/>
      </c>
      <c r="IS472" s="1456" t="str">
        <f t="shared" si="232"/>
        <v/>
      </c>
      <c r="IT472" s="1456" t="str">
        <f t="shared" si="233"/>
        <v/>
      </c>
      <c r="IU472" s="1456" t="str">
        <f t="shared" si="234"/>
        <v/>
      </c>
      <c r="IV472" s="1456" t="str">
        <f t="shared" si="235"/>
        <v/>
      </c>
      <c r="IW472" s="1456" t="str">
        <f t="shared" si="236"/>
        <v/>
      </c>
      <c r="IX472" s="1456" t="str">
        <f t="shared" si="237"/>
        <v/>
      </c>
      <c r="IY472" s="1456" t="str">
        <f t="shared" si="238"/>
        <v/>
      </c>
      <c r="IZ472" s="1456" t="str">
        <f t="shared" si="239"/>
        <v/>
      </c>
      <c r="JA472" s="1456" t="str">
        <f t="shared" si="240"/>
        <v/>
      </c>
      <c r="JB472" s="1456" t="str">
        <f t="shared" si="241"/>
        <v/>
      </c>
      <c r="JC472" s="1456" t="str">
        <f t="shared" si="242"/>
        <v/>
      </c>
      <c r="JD472" s="1456" t="str">
        <f t="shared" si="243"/>
        <v/>
      </c>
      <c r="JE472" s="1456" t="str">
        <f t="shared" si="244"/>
        <v/>
      </c>
      <c r="JF472" s="1456" t="str">
        <f t="shared" si="245"/>
        <v/>
      </c>
      <c r="JG472" s="1456" t="str">
        <f t="shared" si="246"/>
        <v/>
      </c>
      <c r="JH472" s="1456" t="str">
        <f t="shared" si="247"/>
        <v/>
      </c>
      <c r="JI472" s="1456" t="str">
        <f t="shared" si="248"/>
        <v/>
      </c>
      <c r="JJ472" s="1456" t="str">
        <f t="shared" si="249"/>
        <v/>
      </c>
      <c r="JK472" s="1456" t="str">
        <f t="shared" si="250"/>
        <v/>
      </c>
      <c r="JL472" s="1456" t="str">
        <f t="shared" si="251"/>
        <v/>
      </c>
      <c r="JM472" s="1456" t="str">
        <f t="shared" si="252"/>
        <v/>
      </c>
      <c r="JN472" s="1456" t="str">
        <f t="shared" si="253"/>
        <v/>
      </c>
      <c r="JO472" s="1456" t="str">
        <f t="shared" si="254"/>
        <v/>
      </c>
      <c r="JP472" s="1456" t="str">
        <f t="shared" si="255"/>
        <v/>
      </c>
      <c r="JQ472" s="1456" t="str">
        <f t="shared" si="256"/>
        <v/>
      </c>
      <c r="JR472" s="1456" t="str">
        <f t="shared" si="257"/>
        <v/>
      </c>
      <c r="JS472" s="1456" t="str">
        <f t="shared" si="258"/>
        <v/>
      </c>
      <c r="JT472" s="1456" t="str">
        <f t="shared" si="259"/>
        <v/>
      </c>
      <c r="JU472" s="1456" t="str">
        <f t="shared" si="260"/>
        <v/>
      </c>
      <c r="JV472" s="1456" t="str">
        <f t="shared" si="261"/>
        <v/>
      </c>
      <c r="JW472" s="1456" t="str">
        <f t="shared" si="262"/>
        <v/>
      </c>
      <c r="JX472" s="1456" t="str">
        <f t="shared" si="263"/>
        <v/>
      </c>
      <c r="JY472" s="1456" t="str">
        <f t="shared" si="264"/>
        <v/>
      </c>
      <c r="JZ472" s="1456" t="str">
        <f t="shared" si="265"/>
        <v/>
      </c>
      <c r="KA472" s="1456" t="str">
        <f t="shared" si="266"/>
        <v/>
      </c>
      <c r="KB472" s="1456" t="str">
        <f t="shared" si="267"/>
        <v/>
      </c>
      <c r="KC472" s="1456" t="str">
        <f t="shared" si="268"/>
        <v/>
      </c>
      <c r="KD472" s="1456" t="str">
        <f t="shared" si="269"/>
        <v/>
      </c>
      <c r="KE472" s="1456" t="str">
        <f t="shared" si="270"/>
        <v/>
      </c>
      <c r="KF472" s="1456" t="str">
        <f t="shared" si="271"/>
        <v/>
      </c>
      <c r="KG472" s="1456" t="str">
        <f t="shared" si="272"/>
        <v/>
      </c>
      <c r="KH472" s="1456" t="str">
        <f t="shared" si="273"/>
        <v/>
      </c>
      <c r="KI472" s="1456" t="str">
        <f t="shared" si="274"/>
        <v/>
      </c>
      <c r="KJ472" s="1456" t="str">
        <f t="shared" si="275"/>
        <v/>
      </c>
      <c r="KK472" s="1456" t="str">
        <f t="shared" si="276"/>
        <v/>
      </c>
      <c r="KL472" s="1456" t="str">
        <f t="shared" si="277"/>
        <v/>
      </c>
      <c r="KM472" s="1456" t="str">
        <f t="shared" si="278"/>
        <v/>
      </c>
      <c r="KN472" s="1456" t="str">
        <f t="shared" si="279"/>
        <v/>
      </c>
      <c r="KO472" s="1456" t="str">
        <f t="shared" si="280"/>
        <v/>
      </c>
      <c r="KP472" s="1456" t="str">
        <f t="shared" si="281"/>
        <v/>
      </c>
      <c r="KQ472" s="1456" t="str">
        <f t="shared" si="282"/>
        <v/>
      </c>
      <c r="KR472" s="1456" t="str">
        <f t="shared" si="283"/>
        <v/>
      </c>
      <c r="KS472" s="1456" t="str">
        <f t="shared" si="284"/>
        <v/>
      </c>
      <c r="KT472" s="1456" t="str">
        <f t="shared" si="285"/>
        <v/>
      </c>
      <c r="KU472" s="1456" t="str">
        <f t="shared" si="286"/>
        <v/>
      </c>
      <c r="KV472" s="1456" t="str">
        <f t="shared" si="287"/>
        <v/>
      </c>
      <c r="KW472" s="1456" t="str">
        <f t="shared" si="288"/>
        <v/>
      </c>
      <c r="KX472" s="1456" t="str">
        <f t="shared" si="289"/>
        <v/>
      </c>
      <c r="KY472" s="1456" t="str">
        <f t="shared" si="290"/>
        <v/>
      </c>
      <c r="KZ472" s="1456" t="str">
        <f t="shared" si="291"/>
        <v/>
      </c>
      <c r="LA472" s="1456" t="str">
        <f t="shared" si="292"/>
        <v/>
      </c>
      <c r="LB472" s="1456" t="str">
        <f t="shared" si="293"/>
        <v/>
      </c>
      <c r="LC472" s="1456" t="str">
        <f t="shared" si="294"/>
        <v/>
      </c>
      <c r="LD472" s="1456" t="str">
        <f t="shared" si="295"/>
        <v/>
      </c>
      <c r="LE472" s="1456" t="str">
        <f t="shared" si="296"/>
        <v/>
      </c>
      <c r="LF472" s="1456" t="str">
        <f t="shared" si="297"/>
        <v/>
      </c>
      <c r="LG472" s="1446" t="str">
        <f t="shared" si="298"/>
        <v/>
      </c>
      <c r="LH472" s="1446" t="str">
        <f t="shared" si="299"/>
        <v/>
      </c>
      <c r="LI472" s="1446" t="str">
        <f t="shared" si="300"/>
        <v/>
      </c>
      <c r="LJ472" s="1446" t="str">
        <f t="shared" si="301"/>
        <v/>
      </c>
      <c r="LK472" s="1446"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318">
        <f t="shared" si="323"/>
        <v>0</v>
      </c>
      <c r="MG472" s="1318">
        <f t="shared" si="324"/>
        <v>0</v>
      </c>
      <c r="MH472" s="1318">
        <f t="shared" si="325"/>
        <v>0</v>
      </c>
      <c r="MI472" s="1318">
        <f t="shared" si="326"/>
        <v>0</v>
      </c>
      <c r="MJ472" s="1318">
        <f t="shared" si="327"/>
        <v>0</v>
      </c>
      <c r="MK472" s="1318">
        <f t="shared" si="333"/>
        <v>0</v>
      </c>
      <c r="ML472" s="1318">
        <f t="shared" si="334"/>
        <v>0</v>
      </c>
      <c r="MM472" s="1318">
        <f t="shared" si="335"/>
        <v>0</v>
      </c>
      <c r="MN472" s="1318">
        <f t="shared" si="336"/>
        <v>0</v>
      </c>
      <c r="MO472" s="1318">
        <f t="shared" si="337"/>
        <v>0</v>
      </c>
      <c r="MP472" s="1318">
        <f t="shared" si="328"/>
        <v>0</v>
      </c>
      <c r="MQ472" s="1318">
        <f t="shared" si="329"/>
        <v>0</v>
      </c>
      <c r="MR472" s="1318">
        <f t="shared" si="330"/>
        <v>0</v>
      </c>
      <c r="MS472" s="1318">
        <f t="shared" si="331"/>
        <v>0</v>
      </c>
      <c r="MT472" s="1318">
        <f t="shared" si="332"/>
        <v>0</v>
      </c>
      <c r="NP472" s="251" t="s">
        <v>1175</v>
      </c>
    </row>
    <row r="473" spans="1:380" ht="13.9" customHeight="1">
      <c r="A473" s="2246" t="str">
        <f t="shared" si="0"/>
        <v/>
      </c>
      <c r="B473" s="2265">
        <f>'Part V-Revenues &amp; Expenses'!B35</f>
        <v>0</v>
      </c>
      <c r="C473" s="2266">
        <f>'Part V-Revenues &amp; Expenses'!C35</f>
        <v>0</v>
      </c>
      <c r="D473" s="2267">
        <f>'Part V-Revenues &amp; Expenses'!D35</f>
        <v>0</v>
      </c>
      <c r="E473" s="2268">
        <f>'Part V-Revenues &amp; Expenses'!E35</f>
        <v>0</v>
      </c>
      <c r="F473" s="2268">
        <f>'Part V-Revenues &amp; Expenses'!F35</f>
        <v>0</v>
      </c>
      <c r="G473" s="2268">
        <f>'Part V-Revenues &amp; Expenses'!G35</f>
        <v>0</v>
      </c>
      <c r="H473" s="2268">
        <f>'Part V-Revenues &amp; Expenses'!H35</f>
        <v>0</v>
      </c>
      <c r="I473" s="2268">
        <f>'Part V-Revenues &amp; Expenses'!I35</f>
        <v>0</v>
      </c>
      <c r="J473" s="2268">
        <f>'Part V-Revenues &amp; Expenses'!J35</f>
        <v>0</v>
      </c>
      <c r="K473" s="2269">
        <f>'Part V-Revenues &amp; Expenses'!K35</f>
        <v>0</v>
      </c>
      <c r="L473" s="2270">
        <f t="shared" si="1"/>
        <v>0</v>
      </c>
      <c r="M473" s="2270">
        <f t="shared" si="2"/>
        <v>0</v>
      </c>
      <c r="N473" s="2139">
        <f>'Part V-Revenues &amp; Expenses'!N35</f>
        <v>0</v>
      </c>
      <c r="O473" s="963">
        <f>'Part V-Revenues &amp; Expenses'!O35</f>
        <v>0</v>
      </c>
      <c r="P473" s="2139">
        <f>'Part V-Revenues &amp; Expenses'!P35</f>
        <v>0</v>
      </c>
      <c r="Q473" s="1455">
        <f>'Part V-Revenues &amp; Expenses'!Q35</f>
        <v>0</v>
      </c>
      <c r="R473" s="2271"/>
      <c r="S473" s="2272"/>
      <c r="T473" s="2273"/>
      <c r="U473" s="2273"/>
      <c r="V473" s="2273"/>
      <c r="W473" s="2273"/>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456" t="str">
        <f t="shared" si="213"/>
        <v/>
      </c>
      <c r="IA473" s="1456" t="str">
        <f t="shared" si="214"/>
        <v/>
      </c>
      <c r="IB473" s="1456" t="str">
        <f t="shared" si="215"/>
        <v/>
      </c>
      <c r="IC473" s="1456" t="str">
        <f t="shared" si="216"/>
        <v/>
      </c>
      <c r="ID473" s="1456" t="str">
        <f t="shared" si="217"/>
        <v/>
      </c>
      <c r="IE473" s="1456" t="str">
        <f t="shared" si="218"/>
        <v/>
      </c>
      <c r="IF473" s="1456" t="str">
        <f t="shared" si="219"/>
        <v/>
      </c>
      <c r="IG473" s="1456" t="str">
        <f t="shared" si="220"/>
        <v/>
      </c>
      <c r="IH473" s="1456" t="str">
        <f t="shared" si="221"/>
        <v/>
      </c>
      <c r="II473" s="1456" t="str">
        <f t="shared" si="222"/>
        <v/>
      </c>
      <c r="IJ473" s="1456" t="str">
        <f t="shared" si="223"/>
        <v/>
      </c>
      <c r="IK473" s="1456" t="str">
        <f t="shared" si="224"/>
        <v/>
      </c>
      <c r="IL473" s="1456" t="str">
        <f t="shared" si="225"/>
        <v/>
      </c>
      <c r="IM473" s="1456" t="str">
        <f t="shared" si="226"/>
        <v/>
      </c>
      <c r="IN473" s="1456" t="str">
        <f t="shared" si="227"/>
        <v/>
      </c>
      <c r="IO473" s="1456" t="str">
        <f t="shared" si="228"/>
        <v/>
      </c>
      <c r="IP473" s="1456" t="str">
        <f t="shared" si="229"/>
        <v/>
      </c>
      <c r="IQ473" s="1456" t="str">
        <f t="shared" si="230"/>
        <v/>
      </c>
      <c r="IR473" s="1456" t="str">
        <f t="shared" si="231"/>
        <v/>
      </c>
      <c r="IS473" s="1456" t="str">
        <f t="shared" si="232"/>
        <v/>
      </c>
      <c r="IT473" s="1456" t="str">
        <f t="shared" si="233"/>
        <v/>
      </c>
      <c r="IU473" s="1456" t="str">
        <f t="shared" si="234"/>
        <v/>
      </c>
      <c r="IV473" s="1456" t="str">
        <f t="shared" si="235"/>
        <v/>
      </c>
      <c r="IW473" s="1456" t="str">
        <f t="shared" si="236"/>
        <v/>
      </c>
      <c r="IX473" s="1456" t="str">
        <f t="shared" si="237"/>
        <v/>
      </c>
      <c r="IY473" s="1456" t="str">
        <f t="shared" si="238"/>
        <v/>
      </c>
      <c r="IZ473" s="1456" t="str">
        <f t="shared" si="239"/>
        <v/>
      </c>
      <c r="JA473" s="1456" t="str">
        <f t="shared" si="240"/>
        <v/>
      </c>
      <c r="JB473" s="1456" t="str">
        <f t="shared" si="241"/>
        <v/>
      </c>
      <c r="JC473" s="1456" t="str">
        <f t="shared" si="242"/>
        <v/>
      </c>
      <c r="JD473" s="1456" t="str">
        <f t="shared" si="243"/>
        <v/>
      </c>
      <c r="JE473" s="1456" t="str">
        <f t="shared" si="244"/>
        <v/>
      </c>
      <c r="JF473" s="1456" t="str">
        <f t="shared" si="245"/>
        <v/>
      </c>
      <c r="JG473" s="1456" t="str">
        <f t="shared" si="246"/>
        <v/>
      </c>
      <c r="JH473" s="1456" t="str">
        <f t="shared" si="247"/>
        <v/>
      </c>
      <c r="JI473" s="1456" t="str">
        <f t="shared" si="248"/>
        <v/>
      </c>
      <c r="JJ473" s="1456" t="str">
        <f t="shared" si="249"/>
        <v/>
      </c>
      <c r="JK473" s="1456" t="str">
        <f t="shared" si="250"/>
        <v/>
      </c>
      <c r="JL473" s="1456" t="str">
        <f t="shared" si="251"/>
        <v/>
      </c>
      <c r="JM473" s="1456" t="str">
        <f t="shared" si="252"/>
        <v/>
      </c>
      <c r="JN473" s="1456" t="str">
        <f t="shared" si="253"/>
        <v/>
      </c>
      <c r="JO473" s="1456" t="str">
        <f t="shared" si="254"/>
        <v/>
      </c>
      <c r="JP473" s="1456" t="str">
        <f t="shared" si="255"/>
        <v/>
      </c>
      <c r="JQ473" s="1456" t="str">
        <f t="shared" si="256"/>
        <v/>
      </c>
      <c r="JR473" s="1456" t="str">
        <f t="shared" si="257"/>
        <v/>
      </c>
      <c r="JS473" s="1456" t="str">
        <f t="shared" si="258"/>
        <v/>
      </c>
      <c r="JT473" s="1456" t="str">
        <f t="shared" si="259"/>
        <v/>
      </c>
      <c r="JU473" s="1456" t="str">
        <f t="shared" si="260"/>
        <v/>
      </c>
      <c r="JV473" s="1456" t="str">
        <f t="shared" si="261"/>
        <v/>
      </c>
      <c r="JW473" s="1456" t="str">
        <f t="shared" si="262"/>
        <v/>
      </c>
      <c r="JX473" s="1456" t="str">
        <f t="shared" si="263"/>
        <v/>
      </c>
      <c r="JY473" s="1456" t="str">
        <f t="shared" si="264"/>
        <v/>
      </c>
      <c r="JZ473" s="1456" t="str">
        <f t="shared" si="265"/>
        <v/>
      </c>
      <c r="KA473" s="1456" t="str">
        <f t="shared" si="266"/>
        <v/>
      </c>
      <c r="KB473" s="1456" t="str">
        <f t="shared" si="267"/>
        <v/>
      </c>
      <c r="KC473" s="1456" t="str">
        <f t="shared" si="268"/>
        <v/>
      </c>
      <c r="KD473" s="1456" t="str">
        <f t="shared" si="269"/>
        <v/>
      </c>
      <c r="KE473" s="1456" t="str">
        <f t="shared" si="270"/>
        <v/>
      </c>
      <c r="KF473" s="1456" t="str">
        <f t="shared" si="271"/>
        <v/>
      </c>
      <c r="KG473" s="1456" t="str">
        <f t="shared" si="272"/>
        <v/>
      </c>
      <c r="KH473" s="1456" t="str">
        <f t="shared" si="273"/>
        <v/>
      </c>
      <c r="KI473" s="1456" t="str">
        <f t="shared" si="274"/>
        <v/>
      </c>
      <c r="KJ473" s="1456" t="str">
        <f t="shared" si="275"/>
        <v/>
      </c>
      <c r="KK473" s="1456" t="str">
        <f t="shared" si="276"/>
        <v/>
      </c>
      <c r="KL473" s="1456" t="str">
        <f t="shared" si="277"/>
        <v/>
      </c>
      <c r="KM473" s="1456" t="str">
        <f t="shared" si="278"/>
        <v/>
      </c>
      <c r="KN473" s="1456" t="str">
        <f t="shared" si="279"/>
        <v/>
      </c>
      <c r="KO473" s="1456" t="str">
        <f t="shared" si="280"/>
        <v/>
      </c>
      <c r="KP473" s="1456" t="str">
        <f t="shared" si="281"/>
        <v/>
      </c>
      <c r="KQ473" s="1456" t="str">
        <f t="shared" si="282"/>
        <v/>
      </c>
      <c r="KR473" s="1456" t="str">
        <f t="shared" si="283"/>
        <v/>
      </c>
      <c r="KS473" s="1456" t="str">
        <f t="shared" si="284"/>
        <v/>
      </c>
      <c r="KT473" s="1456" t="str">
        <f t="shared" si="285"/>
        <v/>
      </c>
      <c r="KU473" s="1456" t="str">
        <f t="shared" si="286"/>
        <v/>
      </c>
      <c r="KV473" s="1456" t="str">
        <f t="shared" si="287"/>
        <v/>
      </c>
      <c r="KW473" s="1456" t="str">
        <f t="shared" si="288"/>
        <v/>
      </c>
      <c r="KX473" s="1456" t="str">
        <f t="shared" si="289"/>
        <v/>
      </c>
      <c r="KY473" s="1456" t="str">
        <f t="shared" si="290"/>
        <v/>
      </c>
      <c r="KZ473" s="1456" t="str">
        <f t="shared" si="291"/>
        <v/>
      </c>
      <c r="LA473" s="1456" t="str">
        <f t="shared" si="292"/>
        <v/>
      </c>
      <c r="LB473" s="1456" t="str">
        <f t="shared" si="293"/>
        <v/>
      </c>
      <c r="LC473" s="1456" t="str">
        <f t="shared" si="294"/>
        <v/>
      </c>
      <c r="LD473" s="1456" t="str">
        <f t="shared" si="295"/>
        <v/>
      </c>
      <c r="LE473" s="1456" t="str">
        <f t="shared" si="296"/>
        <v/>
      </c>
      <c r="LF473" s="1456" t="str">
        <f t="shared" si="297"/>
        <v/>
      </c>
      <c r="LG473" s="1446" t="str">
        <f t="shared" si="298"/>
        <v/>
      </c>
      <c r="LH473" s="1446" t="str">
        <f t="shared" si="299"/>
        <v/>
      </c>
      <c r="LI473" s="1446" t="str">
        <f t="shared" si="300"/>
        <v/>
      </c>
      <c r="LJ473" s="1446" t="str">
        <f t="shared" si="301"/>
        <v/>
      </c>
      <c r="LK473" s="1446"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318">
        <f t="shared" si="323"/>
        <v>0</v>
      </c>
      <c r="MG473" s="1318">
        <f t="shared" si="324"/>
        <v>0</v>
      </c>
      <c r="MH473" s="1318">
        <f t="shared" si="325"/>
        <v>0</v>
      </c>
      <c r="MI473" s="1318">
        <f t="shared" si="326"/>
        <v>0</v>
      </c>
      <c r="MJ473" s="1318">
        <f t="shared" si="327"/>
        <v>0</v>
      </c>
      <c r="MK473" s="1318">
        <f t="shared" si="333"/>
        <v>0</v>
      </c>
      <c r="ML473" s="1318">
        <f t="shared" si="334"/>
        <v>0</v>
      </c>
      <c r="MM473" s="1318">
        <f t="shared" si="335"/>
        <v>0</v>
      </c>
      <c r="MN473" s="1318">
        <f t="shared" si="336"/>
        <v>0</v>
      </c>
      <c r="MO473" s="1318">
        <f t="shared" si="337"/>
        <v>0</v>
      </c>
      <c r="MP473" s="1318">
        <f t="shared" si="328"/>
        <v>0</v>
      </c>
      <c r="MQ473" s="1318">
        <f t="shared" si="329"/>
        <v>0</v>
      </c>
      <c r="MR473" s="1318">
        <f t="shared" si="330"/>
        <v>0</v>
      </c>
      <c r="MS473" s="1318">
        <f t="shared" si="331"/>
        <v>0</v>
      </c>
      <c r="MT473" s="1318">
        <f t="shared" si="332"/>
        <v>0</v>
      </c>
      <c r="NP473" s="251" t="s">
        <v>1176</v>
      </c>
    </row>
    <row r="474" spans="1:380" ht="13.9" customHeight="1">
      <c r="A474" s="2246" t="str">
        <f t="shared" si="0"/>
        <v/>
      </c>
      <c r="B474" s="2265">
        <f>'Part V-Revenues &amp; Expenses'!B36</f>
        <v>0</v>
      </c>
      <c r="C474" s="2266">
        <f>'Part V-Revenues &amp; Expenses'!C36</f>
        <v>0</v>
      </c>
      <c r="D474" s="2267">
        <f>'Part V-Revenues &amp; Expenses'!D36</f>
        <v>0</v>
      </c>
      <c r="E474" s="2268">
        <f>'Part V-Revenues &amp; Expenses'!E36</f>
        <v>0</v>
      </c>
      <c r="F474" s="2268">
        <f>'Part V-Revenues &amp; Expenses'!F36</f>
        <v>0</v>
      </c>
      <c r="G474" s="2268">
        <f>'Part V-Revenues &amp; Expenses'!G36</f>
        <v>0</v>
      </c>
      <c r="H474" s="2268">
        <f>'Part V-Revenues &amp; Expenses'!H36</f>
        <v>0</v>
      </c>
      <c r="I474" s="2268">
        <f>'Part V-Revenues &amp; Expenses'!I36</f>
        <v>0</v>
      </c>
      <c r="J474" s="2268">
        <f>'Part V-Revenues &amp; Expenses'!J36</f>
        <v>0</v>
      </c>
      <c r="K474" s="2269">
        <f>'Part V-Revenues &amp; Expenses'!K36</f>
        <v>0</v>
      </c>
      <c r="L474" s="2270">
        <f t="shared" si="1"/>
        <v>0</v>
      </c>
      <c r="M474" s="2270">
        <f t="shared" si="2"/>
        <v>0</v>
      </c>
      <c r="N474" s="2139">
        <f>'Part V-Revenues &amp; Expenses'!N36</f>
        <v>0</v>
      </c>
      <c r="O474" s="963">
        <f>'Part V-Revenues &amp; Expenses'!O36</f>
        <v>0</v>
      </c>
      <c r="P474" s="2139">
        <f>'Part V-Revenues &amp; Expenses'!P36</f>
        <v>0</v>
      </c>
      <c r="Q474" s="1455">
        <f>'Part V-Revenues &amp; Expenses'!Q36</f>
        <v>0</v>
      </c>
      <c r="R474" s="2271"/>
      <c r="S474" s="2272"/>
      <c r="T474" s="2273"/>
      <c r="U474" s="2273"/>
      <c r="V474" s="2273"/>
      <c r="W474" s="2273"/>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456" t="str">
        <f t="shared" si="213"/>
        <v/>
      </c>
      <c r="IA474" s="1456" t="str">
        <f t="shared" si="214"/>
        <v/>
      </c>
      <c r="IB474" s="1456" t="str">
        <f t="shared" si="215"/>
        <v/>
      </c>
      <c r="IC474" s="1456" t="str">
        <f t="shared" si="216"/>
        <v/>
      </c>
      <c r="ID474" s="1456" t="str">
        <f t="shared" si="217"/>
        <v/>
      </c>
      <c r="IE474" s="1456" t="str">
        <f t="shared" si="218"/>
        <v/>
      </c>
      <c r="IF474" s="1456" t="str">
        <f t="shared" si="219"/>
        <v/>
      </c>
      <c r="IG474" s="1456" t="str">
        <f t="shared" si="220"/>
        <v/>
      </c>
      <c r="IH474" s="1456" t="str">
        <f t="shared" si="221"/>
        <v/>
      </c>
      <c r="II474" s="1456" t="str">
        <f t="shared" si="222"/>
        <v/>
      </c>
      <c r="IJ474" s="1456" t="str">
        <f t="shared" si="223"/>
        <v/>
      </c>
      <c r="IK474" s="1456" t="str">
        <f t="shared" si="224"/>
        <v/>
      </c>
      <c r="IL474" s="1456" t="str">
        <f t="shared" si="225"/>
        <v/>
      </c>
      <c r="IM474" s="1456" t="str">
        <f t="shared" si="226"/>
        <v/>
      </c>
      <c r="IN474" s="1456" t="str">
        <f t="shared" si="227"/>
        <v/>
      </c>
      <c r="IO474" s="1456" t="str">
        <f t="shared" si="228"/>
        <v/>
      </c>
      <c r="IP474" s="1456" t="str">
        <f t="shared" si="229"/>
        <v/>
      </c>
      <c r="IQ474" s="1456" t="str">
        <f t="shared" si="230"/>
        <v/>
      </c>
      <c r="IR474" s="1456" t="str">
        <f t="shared" si="231"/>
        <v/>
      </c>
      <c r="IS474" s="1456" t="str">
        <f t="shared" si="232"/>
        <v/>
      </c>
      <c r="IT474" s="1456" t="str">
        <f t="shared" si="233"/>
        <v/>
      </c>
      <c r="IU474" s="1456" t="str">
        <f t="shared" si="234"/>
        <v/>
      </c>
      <c r="IV474" s="1456" t="str">
        <f t="shared" si="235"/>
        <v/>
      </c>
      <c r="IW474" s="1456" t="str">
        <f t="shared" si="236"/>
        <v/>
      </c>
      <c r="IX474" s="1456" t="str">
        <f t="shared" si="237"/>
        <v/>
      </c>
      <c r="IY474" s="1456" t="str">
        <f t="shared" si="238"/>
        <v/>
      </c>
      <c r="IZ474" s="1456" t="str">
        <f t="shared" si="239"/>
        <v/>
      </c>
      <c r="JA474" s="1456" t="str">
        <f t="shared" si="240"/>
        <v/>
      </c>
      <c r="JB474" s="1456" t="str">
        <f t="shared" si="241"/>
        <v/>
      </c>
      <c r="JC474" s="1456" t="str">
        <f t="shared" si="242"/>
        <v/>
      </c>
      <c r="JD474" s="1456" t="str">
        <f t="shared" si="243"/>
        <v/>
      </c>
      <c r="JE474" s="1456" t="str">
        <f t="shared" si="244"/>
        <v/>
      </c>
      <c r="JF474" s="1456" t="str">
        <f t="shared" si="245"/>
        <v/>
      </c>
      <c r="JG474" s="1456" t="str">
        <f t="shared" si="246"/>
        <v/>
      </c>
      <c r="JH474" s="1456" t="str">
        <f t="shared" si="247"/>
        <v/>
      </c>
      <c r="JI474" s="1456" t="str">
        <f t="shared" si="248"/>
        <v/>
      </c>
      <c r="JJ474" s="1456" t="str">
        <f t="shared" si="249"/>
        <v/>
      </c>
      <c r="JK474" s="1456" t="str">
        <f t="shared" si="250"/>
        <v/>
      </c>
      <c r="JL474" s="1456" t="str">
        <f t="shared" si="251"/>
        <v/>
      </c>
      <c r="JM474" s="1456" t="str">
        <f t="shared" si="252"/>
        <v/>
      </c>
      <c r="JN474" s="1456" t="str">
        <f t="shared" si="253"/>
        <v/>
      </c>
      <c r="JO474" s="1456" t="str">
        <f t="shared" si="254"/>
        <v/>
      </c>
      <c r="JP474" s="1456" t="str">
        <f t="shared" si="255"/>
        <v/>
      </c>
      <c r="JQ474" s="1456" t="str">
        <f t="shared" si="256"/>
        <v/>
      </c>
      <c r="JR474" s="1456" t="str">
        <f t="shared" si="257"/>
        <v/>
      </c>
      <c r="JS474" s="1456" t="str">
        <f t="shared" si="258"/>
        <v/>
      </c>
      <c r="JT474" s="1456" t="str">
        <f t="shared" si="259"/>
        <v/>
      </c>
      <c r="JU474" s="1456" t="str">
        <f t="shared" si="260"/>
        <v/>
      </c>
      <c r="JV474" s="1456" t="str">
        <f t="shared" si="261"/>
        <v/>
      </c>
      <c r="JW474" s="1456" t="str">
        <f t="shared" si="262"/>
        <v/>
      </c>
      <c r="JX474" s="1456" t="str">
        <f t="shared" si="263"/>
        <v/>
      </c>
      <c r="JY474" s="1456" t="str">
        <f t="shared" si="264"/>
        <v/>
      </c>
      <c r="JZ474" s="1456" t="str">
        <f t="shared" si="265"/>
        <v/>
      </c>
      <c r="KA474" s="1456" t="str">
        <f t="shared" si="266"/>
        <v/>
      </c>
      <c r="KB474" s="1456" t="str">
        <f t="shared" si="267"/>
        <v/>
      </c>
      <c r="KC474" s="1456" t="str">
        <f t="shared" si="268"/>
        <v/>
      </c>
      <c r="KD474" s="1456" t="str">
        <f t="shared" si="269"/>
        <v/>
      </c>
      <c r="KE474" s="1456" t="str">
        <f t="shared" si="270"/>
        <v/>
      </c>
      <c r="KF474" s="1456" t="str">
        <f t="shared" si="271"/>
        <v/>
      </c>
      <c r="KG474" s="1456" t="str">
        <f t="shared" si="272"/>
        <v/>
      </c>
      <c r="KH474" s="1456" t="str">
        <f t="shared" si="273"/>
        <v/>
      </c>
      <c r="KI474" s="1456" t="str">
        <f t="shared" si="274"/>
        <v/>
      </c>
      <c r="KJ474" s="1456" t="str">
        <f t="shared" si="275"/>
        <v/>
      </c>
      <c r="KK474" s="1456" t="str">
        <f t="shared" si="276"/>
        <v/>
      </c>
      <c r="KL474" s="1456" t="str">
        <f t="shared" si="277"/>
        <v/>
      </c>
      <c r="KM474" s="1456" t="str">
        <f t="shared" si="278"/>
        <v/>
      </c>
      <c r="KN474" s="1456" t="str">
        <f t="shared" si="279"/>
        <v/>
      </c>
      <c r="KO474" s="1456" t="str">
        <f t="shared" si="280"/>
        <v/>
      </c>
      <c r="KP474" s="1456" t="str">
        <f t="shared" si="281"/>
        <v/>
      </c>
      <c r="KQ474" s="1456" t="str">
        <f t="shared" si="282"/>
        <v/>
      </c>
      <c r="KR474" s="1456" t="str">
        <f t="shared" si="283"/>
        <v/>
      </c>
      <c r="KS474" s="1456" t="str">
        <f t="shared" si="284"/>
        <v/>
      </c>
      <c r="KT474" s="1456" t="str">
        <f t="shared" si="285"/>
        <v/>
      </c>
      <c r="KU474" s="1456" t="str">
        <f t="shared" si="286"/>
        <v/>
      </c>
      <c r="KV474" s="1456" t="str">
        <f t="shared" si="287"/>
        <v/>
      </c>
      <c r="KW474" s="1456" t="str">
        <f t="shared" si="288"/>
        <v/>
      </c>
      <c r="KX474" s="1456" t="str">
        <f t="shared" si="289"/>
        <v/>
      </c>
      <c r="KY474" s="1456" t="str">
        <f t="shared" si="290"/>
        <v/>
      </c>
      <c r="KZ474" s="1456" t="str">
        <f t="shared" si="291"/>
        <v/>
      </c>
      <c r="LA474" s="1456" t="str">
        <f t="shared" si="292"/>
        <v/>
      </c>
      <c r="LB474" s="1456" t="str">
        <f t="shared" si="293"/>
        <v/>
      </c>
      <c r="LC474" s="1456" t="str">
        <f t="shared" si="294"/>
        <v/>
      </c>
      <c r="LD474" s="1456" t="str">
        <f t="shared" si="295"/>
        <v/>
      </c>
      <c r="LE474" s="1456" t="str">
        <f t="shared" si="296"/>
        <v/>
      </c>
      <c r="LF474" s="1456" t="str">
        <f t="shared" si="297"/>
        <v/>
      </c>
      <c r="LG474" s="1446" t="str">
        <f t="shared" si="298"/>
        <v/>
      </c>
      <c r="LH474" s="1446" t="str">
        <f t="shared" si="299"/>
        <v/>
      </c>
      <c r="LI474" s="1446" t="str">
        <f t="shared" si="300"/>
        <v/>
      </c>
      <c r="LJ474" s="1446" t="str">
        <f t="shared" si="301"/>
        <v/>
      </c>
      <c r="LK474" s="1446"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318">
        <f t="shared" si="323"/>
        <v>0</v>
      </c>
      <c r="MG474" s="1318">
        <f t="shared" si="324"/>
        <v>0</v>
      </c>
      <c r="MH474" s="1318">
        <f t="shared" si="325"/>
        <v>0</v>
      </c>
      <c r="MI474" s="1318">
        <f t="shared" si="326"/>
        <v>0</v>
      </c>
      <c r="MJ474" s="1318">
        <f t="shared" si="327"/>
        <v>0</v>
      </c>
      <c r="MK474" s="1318">
        <f t="shared" si="333"/>
        <v>0</v>
      </c>
      <c r="ML474" s="1318">
        <f t="shared" si="334"/>
        <v>0</v>
      </c>
      <c r="MM474" s="1318">
        <f t="shared" si="335"/>
        <v>0</v>
      </c>
      <c r="MN474" s="1318">
        <f t="shared" si="336"/>
        <v>0</v>
      </c>
      <c r="MO474" s="1318">
        <f t="shared" si="337"/>
        <v>0</v>
      </c>
      <c r="MP474" s="1318">
        <f t="shared" si="328"/>
        <v>0</v>
      </c>
      <c r="MQ474" s="1318">
        <f t="shared" si="329"/>
        <v>0</v>
      </c>
      <c r="MR474" s="1318">
        <f t="shared" si="330"/>
        <v>0</v>
      </c>
      <c r="MS474" s="1318">
        <f t="shared" si="331"/>
        <v>0</v>
      </c>
      <c r="MT474" s="1318">
        <f t="shared" si="332"/>
        <v>0</v>
      </c>
      <c r="NP474" s="251" t="s">
        <v>1177</v>
      </c>
    </row>
    <row r="475" spans="1:380" ht="13.9" customHeight="1">
      <c r="A475" s="2246" t="str">
        <f t="shared" si="0"/>
        <v/>
      </c>
      <c r="B475" s="2265">
        <f>'Part V-Revenues &amp; Expenses'!B37</f>
        <v>0</v>
      </c>
      <c r="C475" s="2266">
        <f>'Part V-Revenues &amp; Expenses'!C37</f>
        <v>0</v>
      </c>
      <c r="D475" s="2267">
        <f>'Part V-Revenues &amp; Expenses'!D37</f>
        <v>0</v>
      </c>
      <c r="E475" s="2268">
        <f>'Part V-Revenues &amp; Expenses'!E37</f>
        <v>0</v>
      </c>
      <c r="F475" s="2268">
        <f>'Part V-Revenues &amp; Expenses'!F37</f>
        <v>0</v>
      </c>
      <c r="G475" s="2268">
        <f>'Part V-Revenues &amp; Expenses'!G37</f>
        <v>0</v>
      </c>
      <c r="H475" s="2268">
        <f>'Part V-Revenues &amp; Expenses'!H37</f>
        <v>0</v>
      </c>
      <c r="I475" s="2268">
        <f>'Part V-Revenues &amp; Expenses'!I37</f>
        <v>0</v>
      </c>
      <c r="J475" s="2268">
        <f>'Part V-Revenues &amp; Expenses'!J37</f>
        <v>0</v>
      </c>
      <c r="K475" s="2269">
        <f>'Part V-Revenues &amp; Expenses'!K37</f>
        <v>0</v>
      </c>
      <c r="L475" s="2270">
        <f t="shared" si="1"/>
        <v>0</v>
      </c>
      <c r="M475" s="2270">
        <f t="shared" si="2"/>
        <v>0</v>
      </c>
      <c r="N475" s="2139">
        <f>'Part V-Revenues &amp; Expenses'!N37</f>
        <v>0</v>
      </c>
      <c r="O475" s="963">
        <f>'Part V-Revenues &amp; Expenses'!O37</f>
        <v>0</v>
      </c>
      <c r="P475" s="2139">
        <f>'Part V-Revenues &amp; Expenses'!P37</f>
        <v>0</v>
      </c>
      <c r="Q475" s="1455">
        <f>'Part V-Revenues &amp; Expenses'!Q37</f>
        <v>0</v>
      </c>
      <c r="R475" s="2271"/>
      <c r="S475" s="2272"/>
      <c r="T475" s="2273"/>
      <c r="U475" s="2273"/>
      <c r="V475" s="2273"/>
      <c r="W475" s="2273"/>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456" t="str">
        <f t="shared" si="213"/>
        <v/>
      </c>
      <c r="IA475" s="1456" t="str">
        <f t="shared" si="214"/>
        <v/>
      </c>
      <c r="IB475" s="1456" t="str">
        <f t="shared" si="215"/>
        <v/>
      </c>
      <c r="IC475" s="1456" t="str">
        <f t="shared" si="216"/>
        <v/>
      </c>
      <c r="ID475" s="1456" t="str">
        <f t="shared" si="217"/>
        <v/>
      </c>
      <c r="IE475" s="1456" t="str">
        <f t="shared" si="218"/>
        <v/>
      </c>
      <c r="IF475" s="1456" t="str">
        <f t="shared" si="219"/>
        <v/>
      </c>
      <c r="IG475" s="1456" t="str">
        <f t="shared" si="220"/>
        <v/>
      </c>
      <c r="IH475" s="1456" t="str">
        <f t="shared" si="221"/>
        <v/>
      </c>
      <c r="II475" s="1456" t="str">
        <f t="shared" si="222"/>
        <v/>
      </c>
      <c r="IJ475" s="1456" t="str">
        <f t="shared" si="223"/>
        <v/>
      </c>
      <c r="IK475" s="1456" t="str">
        <f t="shared" si="224"/>
        <v/>
      </c>
      <c r="IL475" s="1456" t="str">
        <f t="shared" si="225"/>
        <v/>
      </c>
      <c r="IM475" s="1456" t="str">
        <f t="shared" si="226"/>
        <v/>
      </c>
      <c r="IN475" s="1456" t="str">
        <f t="shared" si="227"/>
        <v/>
      </c>
      <c r="IO475" s="1456" t="str">
        <f t="shared" si="228"/>
        <v/>
      </c>
      <c r="IP475" s="1456" t="str">
        <f t="shared" si="229"/>
        <v/>
      </c>
      <c r="IQ475" s="1456" t="str">
        <f t="shared" si="230"/>
        <v/>
      </c>
      <c r="IR475" s="1456" t="str">
        <f t="shared" si="231"/>
        <v/>
      </c>
      <c r="IS475" s="1456" t="str">
        <f t="shared" si="232"/>
        <v/>
      </c>
      <c r="IT475" s="1456" t="str">
        <f t="shared" si="233"/>
        <v/>
      </c>
      <c r="IU475" s="1456" t="str">
        <f t="shared" si="234"/>
        <v/>
      </c>
      <c r="IV475" s="1456" t="str">
        <f t="shared" si="235"/>
        <v/>
      </c>
      <c r="IW475" s="1456" t="str">
        <f t="shared" si="236"/>
        <v/>
      </c>
      <c r="IX475" s="1456" t="str">
        <f t="shared" si="237"/>
        <v/>
      </c>
      <c r="IY475" s="1456" t="str">
        <f t="shared" si="238"/>
        <v/>
      </c>
      <c r="IZ475" s="1456" t="str">
        <f t="shared" si="239"/>
        <v/>
      </c>
      <c r="JA475" s="1456" t="str">
        <f t="shared" si="240"/>
        <v/>
      </c>
      <c r="JB475" s="1456" t="str">
        <f t="shared" si="241"/>
        <v/>
      </c>
      <c r="JC475" s="1456" t="str">
        <f t="shared" si="242"/>
        <v/>
      </c>
      <c r="JD475" s="1456" t="str">
        <f t="shared" si="243"/>
        <v/>
      </c>
      <c r="JE475" s="1456" t="str">
        <f t="shared" si="244"/>
        <v/>
      </c>
      <c r="JF475" s="1456" t="str">
        <f t="shared" si="245"/>
        <v/>
      </c>
      <c r="JG475" s="1456" t="str">
        <f t="shared" si="246"/>
        <v/>
      </c>
      <c r="JH475" s="1456" t="str">
        <f t="shared" si="247"/>
        <v/>
      </c>
      <c r="JI475" s="1456" t="str">
        <f t="shared" si="248"/>
        <v/>
      </c>
      <c r="JJ475" s="1456" t="str">
        <f t="shared" si="249"/>
        <v/>
      </c>
      <c r="JK475" s="1456" t="str">
        <f t="shared" si="250"/>
        <v/>
      </c>
      <c r="JL475" s="1456" t="str">
        <f t="shared" si="251"/>
        <v/>
      </c>
      <c r="JM475" s="1456" t="str">
        <f t="shared" si="252"/>
        <v/>
      </c>
      <c r="JN475" s="1456" t="str">
        <f t="shared" si="253"/>
        <v/>
      </c>
      <c r="JO475" s="1456" t="str">
        <f t="shared" si="254"/>
        <v/>
      </c>
      <c r="JP475" s="1456" t="str">
        <f t="shared" si="255"/>
        <v/>
      </c>
      <c r="JQ475" s="1456" t="str">
        <f t="shared" si="256"/>
        <v/>
      </c>
      <c r="JR475" s="1456" t="str">
        <f t="shared" si="257"/>
        <v/>
      </c>
      <c r="JS475" s="1456" t="str">
        <f t="shared" si="258"/>
        <v/>
      </c>
      <c r="JT475" s="1456" t="str">
        <f t="shared" si="259"/>
        <v/>
      </c>
      <c r="JU475" s="1456" t="str">
        <f t="shared" si="260"/>
        <v/>
      </c>
      <c r="JV475" s="1456" t="str">
        <f t="shared" si="261"/>
        <v/>
      </c>
      <c r="JW475" s="1456" t="str">
        <f t="shared" si="262"/>
        <v/>
      </c>
      <c r="JX475" s="1456" t="str">
        <f t="shared" si="263"/>
        <v/>
      </c>
      <c r="JY475" s="1456" t="str">
        <f t="shared" si="264"/>
        <v/>
      </c>
      <c r="JZ475" s="1456" t="str">
        <f t="shared" si="265"/>
        <v/>
      </c>
      <c r="KA475" s="1456" t="str">
        <f t="shared" si="266"/>
        <v/>
      </c>
      <c r="KB475" s="1456" t="str">
        <f t="shared" si="267"/>
        <v/>
      </c>
      <c r="KC475" s="1456" t="str">
        <f t="shared" si="268"/>
        <v/>
      </c>
      <c r="KD475" s="1456" t="str">
        <f t="shared" si="269"/>
        <v/>
      </c>
      <c r="KE475" s="1456" t="str">
        <f t="shared" si="270"/>
        <v/>
      </c>
      <c r="KF475" s="1456" t="str">
        <f t="shared" si="271"/>
        <v/>
      </c>
      <c r="KG475" s="1456" t="str">
        <f t="shared" si="272"/>
        <v/>
      </c>
      <c r="KH475" s="1456" t="str">
        <f t="shared" si="273"/>
        <v/>
      </c>
      <c r="KI475" s="1456" t="str">
        <f t="shared" si="274"/>
        <v/>
      </c>
      <c r="KJ475" s="1456" t="str">
        <f t="shared" si="275"/>
        <v/>
      </c>
      <c r="KK475" s="1456" t="str">
        <f t="shared" si="276"/>
        <v/>
      </c>
      <c r="KL475" s="1456" t="str">
        <f t="shared" si="277"/>
        <v/>
      </c>
      <c r="KM475" s="1456" t="str">
        <f t="shared" si="278"/>
        <v/>
      </c>
      <c r="KN475" s="1456" t="str">
        <f t="shared" si="279"/>
        <v/>
      </c>
      <c r="KO475" s="1456" t="str">
        <f t="shared" si="280"/>
        <v/>
      </c>
      <c r="KP475" s="1456" t="str">
        <f t="shared" si="281"/>
        <v/>
      </c>
      <c r="KQ475" s="1456" t="str">
        <f t="shared" si="282"/>
        <v/>
      </c>
      <c r="KR475" s="1456" t="str">
        <f t="shared" si="283"/>
        <v/>
      </c>
      <c r="KS475" s="1456" t="str">
        <f t="shared" si="284"/>
        <v/>
      </c>
      <c r="KT475" s="1456" t="str">
        <f t="shared" si="285"/>
        <v/>
      </c>
      <c r="KU475" s="1456" t="str">
        <f t="shared" si="286"/>
        <v/>
      </c>
      <c r="KV475" s="1456" t="str">
        <f t="shared" si="287"/>
        <v/>
      </c>
      <c r="KW475" s="1456" t="str">
        <f t="shared" si="288"/>
        <v/>
      </c>
      <c r="KX475" s="1456" t="str">
        <f t="shared" si="289"/>
        <v/>
      </c>
      <c r="KY475" s="1456" t="str">
        <f t="shared" si="290"/>
        <v/>
      </c>
      <c r="KZ475" s="1456" t="str">
        <f t="shared" si="291"/>
        <v/>
      </c>
      <c r="LA475" s="1456" t="str">
        <f t="shared" si="292"/>
        <v/>
      </c>
      <c r="LB475" s="1456" t="str">
        <f t="shared" si="293"/>
        <v/>
      </c>
      <c r="LC475" s="1456" t="str">
        <f t="shared" si="294"/>
        <v/>
      </c>
      <c r="LD475" s="1456" t="str">
        <f t="shared" si="295"/>
        <v/>
      </c>
      <c r="LE475" s="1456" t="str">
        <f t="shared" si="296"/>
        <v/>
      </c>
      <c r="LF475" s="1456" t="str">
        <f t="shared" si="297"/>
        <v/>
      </c>
      <c r="LG475" s="1446" t="str">
        <f t="shared" si="298"/>
        <v/>
      </c>
      <c r="LH475" s="1446" t="str">
        <f t="shared" si="299"/>
        <v/>
      </c>
      <c r="LI475" s="1446" t="str">
        <f t="shared" si="300"/>
        <v/>
      </c>
      <c r="LJ475" s="1446" t="str">
        <f t="shared" si="301"/>
        <v/>
      </c>
      <c r="LK475" s="1446"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318">
        <f t="shared" si="323"/>
        <v>0</v>
      </c>
      <c r="MG475" s="1318">
        <f t="shared" si="324"/>
        <v>0</v>
      </c>
      <c r="MH475" s="1318">
        <f t="shared" si="325"/>
        <v>0</v>
      </c>
      <c r="MI475" s="1318">
        <f t="shared" si="326"/>
        <v>0</v>
      </c>
      <c r="MJ475" s="1318">
        <f t="shared" si="327"/>
        <v>0</v>
      </c>
      <c r="MK475" s="1318">
        <f t="shared" si="333"/>
        <v>0</v>
      </c>
      <c r="ML475" s="1318">
        <f t="shared" si="334"/>
        <v>0</v>
      </c>
      <c r="MM475" s="1318">
        <f t="shared" si="335"/>
        <v>0</v>
      </c>
      <c r="MN475" s="1318">
        <f t="shared" si="336"/>
        <v>0</v>
      </c>
      <c r="MO475" s="1318">
        <f t="shared" si="337"/>
        <v>0</v>
      </c>
      <c r="MP475" s="1318">
        <f t="shared" si="328"/>
        <v>0</v>
      </c>
      <c r="MQ475" s="1318">
        <f t="shared" si="329"/>
        <v>0</v>
      </c>
      <c r="MR475" s="1318">
        <f t="shared" si="330"/>
        <v>0</v>
      </c>
      <c r="MS475" s="1318">
        <f t="shared" si="331"/>
        <v>0</v>
      </c>
      <c r="MT475" s="1318">
        <f t="shared" si="332"/>
        <v>0</v>
      </c>
      <c r="NP475" s="251" t="s">
        <v>1178</v>
      </c>
    </row>
    <row r="476" spans="1:380" ht="13.9" customHeight="1">
      <c r="A476" s="2246" t="str">
        <f t="shared" si="0"/>
        <v/>
      </c>
      <c r="B476" s="2265">
        <f>'Part V-Revenues &amp; Expenses'!B38</f>
        <v>0</v>
      </c>
      <c r="C476" s="2266">
        <f>'Part V-Revenues &amp; Expenses'!C38</f>
        <v>0</v>
      </c>
      <c r="D476" s="2267">
        <f>'Part V-Revenues &amp; Expenses'!D38</f>
        <v>0</v>
      </c>
      <c r="E476" s="2268">
        <f>'Part V-Revenues &amp; Expenses'!E38</f>
        <v>0</v>
      </c>
      <c r="F476" s="2268">
        <f>'Part V-Revenues &amp; Expenses'!F38</f>
        <v>0</v>
      </c>
      <c r="G476" s="2268">
        <f>'Part V-Revenues &amp; Expenses'!G38</f>
        <v>0</v>
      </c>
      <c r="H476" s="2268">
        <f>'Part V-Revenues &amp; Expenses'!H38</f>
        <v>0</v>
      </c>
      <c r="I476" s="2268">
        <f>'Part V-Revenues &amp; Expenses'!I38</f>
        <v>0</v>
      </c>
      <c r="J476" s="2268">
        <f>'Part V-Revenues &amp; Expenses'!J38</f>
        <v>0</v>
      </c>
      <c r="K476" s="2269">
        <f>'Part V-Revenues &amp; Expenses'!K38</f>
        <v>0</v>
      </c>
      <c r="L476" s="2270">
        <f t="shared" si="1"/>
        <v>0</v>
      </c>
      <c r="M476" s="2270">
        <f t="shared" si="2"/>
        <v>0</v>
      </c>
      <c r="N476" s="2139">
        <f>'Part V-Revenues &amp; Expenses'!N38</f>
        <v>0</v>
      </c>
      <c r="O476" s="963">
        <f>'Part V-Revenues &amp; Expenses'!O38</f>
        <v>0</v>
      </c>
      <c r="P476" s="2139">
        <f>'Part V-Revenues &amp; Expenses'!P38</f>
        <v>0</v>
      </c>
      <c r="Q476" s="1455">
        <f>'Part V-Revenues &amp; Expenses'!Q38</f>
        <v>0</v>
      </c>
      <c r="R476" s="2271"/>
      <c r="S476" s="2272"/>
      <c r="T476" s="2273"/>
      <c r="U476" s="2273"/>
      <c r="V476" s="2273"/>
      <c r="W476" s="2273"/>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456" t="str">
        <f t="shared" si="213"/>
        <v/>
      </c>
      <c r="IA476" s="1456" t="str">
        <f t="shared" si="214"/>
        <v/>
      </c>
      <c r="IB476" s="1456" t="str">
        <f t="shared" si="215"/>
        <v/>
      </c>
      <c r="IC476" s="1456" t="str">
        <f t="shared" si="216"/>
        <v/>
      </c>
      <c r="ID476" s="1456" t="str">
        <f t="shared" si="217"/>
        <v/>
      </c>
      <c r="IE476" s="1456" t="str">
        <f t="shared" si="218"/>
        <v/>
      </c>
      <c r="IF476" s="1456" t="str">
        <f t="shared" si="219"/>
        <v/>
      </c>
      <c r="IG476" s="1456" t="str">
        <f t="shared" si="220"/>
        <v/>
      </c>
      <c r="IH476" s="1456" t="str">
        <f t="shared" si="221"/>
        <v/>
      </c>
      <c r="II476" s="1456" t="str">
        <f t="shared" si="222"/>
        <v/>
      </c>
      <c r="IJ476" s="1456" t="str">
        <f t="shared" si="223"/>
        <v/>
      </c>
      <c r="IK476" s="1456" t="str">
        <f t="shared" si="224"/>
        <v/>
      </c>
      <c r="IL476" s="1456" t="str">
        <f t="shared" si="225"/>
        <v/>
      </c>
      <c r="IM476" s="1456" t="str">
        <f t="shared" si="226"/>
        <v/>
      </c>
      <c r="IN476" s="1456" t="str">
        <f t="shared" si="227"/>
        <v/>
      </c>
      <c r="IO476" s="1456" t="str">
        <f t="shared" si="228"/>
        <v/>
      </c>
      <c r="IP476" s="1456" t="str">
        <f t="shared" si="229"/>
        <v/>
      </c>
      <c r="IQ476" s="1456" t="str">
        <f t="shared" si="230"/>
        <v/>
      </c>
      <c r="IR476" s="1456" t="str">
        <f t="shared" si="231"/>
        <v/>
      </c>
      <c r="IS476" s="1456" t="str">
        <f t="shared" si="232"/>
        <v/>
      </c>
      <c r="IT476" s="1456" t="str">
        <f t="shared" si="233"/>
        <v/>
      </c>
      <c r="IU476" s="1456" t="str">
        <f t="shared" si="234"/>
        <v/>
      </c>
      <c r="IV476" s="1456" t="str">
        <f t="shared" si="235"/>
        <v/>
      </c>
      <c r="IW476" s="1456" t="str">
        <f t="shared" si="236"/>
        <v/>
      </c>
      <c r="IX476" s="1456" t="str">
        <f t="shared" si="237"/>
        <v/>
      </c>
      <c r="IY476" s="1456" t="str">
        <f t="shared" si="238"/>
        <v/>
      </c>
      <c r="IZ476" s="1456" t="str">
        <f t="shared" si="239"/>
        <v/>
      </c>
      <c r="JA476" s="1456" t="str">
        <f t="shared" si="240"/>
        <v/>
      </c>
      <c r="JB476" s="1456" t="str">
        <f t="shared" si="241"/>
        <v/>
      </c>
      <c r="JC476" s="1456" t="str">
        <f t="shared" si="242"/>
        <v/>
      </c>
      <c r="JD476" s="1456" t="str">
        <f t="shared" si="243"/>
        <v/>
      </c>
      <c r="JE476" s="1456" t="str">
        <f t="shared" si="244"/>
        <v/>
      </c>
      <c r="JF476" s="1456" t="str">
        <f t="shared" si="245"/>
        <v/>
      </c>
      <c r="JG476" s="1456" t="str">
        <f t="shared" si="246"/>
        <v/>
      </c>
      <c r="JH476" s="1456" t="str">
        <f t="shared" si="247"/>
        <v/>
      </c>
      <c r="JI476" s="1456" t="str">
        <f t="shared" si="248"/>
        <v/>
      </c>
      <c r="JJ476" s="1456" t="str">
        <f t="shared" si="249"/>
        <v/>
      </c>
      <c r="JK476" s="1456" t="str">
        <f t="shared" si="250"/>
        <v/>
      </c>
      <c r="JL476" s="1456" t="str">
        <f t="shared" si="251"/>
        <v/>
      </c>
      <c r="JM476" s="1456" t="str">
        <f t="shared" si="252"/>
        <v/>
      </c>
      <c r="JN476" s="1456" t="str">
        <f t="shared" si="253"/>
        <v/>
      </c>
      <c r="JO476" s="1456" t="str">
        <f t="shared" si="254"/>
        <v/>
      </c>
      <c r="JP476" s="1456" t="str">
        <f t="shared" si="255"/>
        <v/>
      </c>
      <c r="JQ476" s="1456" t="str">
        <f t="shared" si="256"/>
        <v/>
      </c>
      <c r="JR476" s="1456" t="str">
        <f t="shared" si="257"/>
        <v/>
      </c>
      <c r="JS476" s="1456" t="str">
        <f t="shared" si="258"/>
        <v/>
      </c>
      <c r="JT476" s="1456" t="str">
        <f t="shared" si="259"/>
        <v/>
      </c>
      <c r="JU476" s="1456" t="str">
        <f t="shared" si="260"/>
        <v/>
      </c>
      <c r="JV476" s="1456" t="str">
        <f t="shared" si="261"/>
        <v/>
      </c>
      <c r="JW476" s="1456" t="str">
        <f t="shared" si="262"/>
        <v/>
      </c>
      <c r="JX476" s="1456" t="str">
        <f t="shared" si="263"/>
        <v/>
      </c>
      <c r="JY476" s="1456" t="str">
        <f t="shared" si="264"/>
        <v/>
      </c>
      <c r="JZ476" s="1456" t="str">
        <f t="shared" si="265"/>
        <v/>
      </c>
      <c r="KA476" s="1456" t="str">
        <f t="shared" si="266"/>
        <v/>
      </c>
      <c r="KB476" s="1456" t="str">
        <f t="shared" si="267"/>
        <v/>
      </c>
      <c r="KC476" s="1456" t="str">
        <f t="shared" si="268"/>
        <v/>
      </c>
      <c r="KD476" s="1456" t="str">
        <f t="shared" si="269"/>
        <v/>
      </c>
      <c r="KE476" s="1456" t="str">
        <f t="shared" si="270"/>
        <v/>
      </c>
      <c r="KF476" s="1456" t="str">
        <f t="shared" si="271"/>
        <v/>
      </c>
      <c r="KG476" s="1456" t="str">
        <f t="shared" si="272"/>
        <v/>
      </c>
      <c r="KH476" s="1456" t="str">
        <f t="shared" si="273"/>
        <v/>
      </c>
      <c r="KI476" s="1456" t="str">
        <f t="shared" si="274"/>
        <v/>
      </c>
      <c r="KJ476" s="1456" t="str">
        <f t="shared" si="275"/>
        <v/>
      </c>
      <c r="KK476" s="1456" t="str">
        <f t="shared" si="276"/>
        <v/>
      </c>
      <c r="KL476" s="1456" t="str">
        <f t="shared" si="277"/>
        <v/>
      </c>
      <c r="KM476" s="1456" t="str">
        <f t="shared" si="278"/>
        <v/>
      </c>
      <c r="KN476" s="1456" t="str">
        <f t="shared" si="279"/>
        <v/>
      </c>
      <c r="KO476" s="1456" t="str">
        <f t="shared" si="280"/>
        <v/>
      </c>
      <c r="KP476" s="1456" t="str">
        <f t="shared" si="281"/>
        <v/>
      </c>
      <c r="KQ476" s="1456" t="str">
        <f t="shared" si="282"/>
        <v/>
      </c>
      <c r="KR476" s="1456" t="str">
        <f t="shared" si="283"/>
        <v/>
      </c>
      <c r="KS476" s="1456" t="str">
        <f t="shared" si="284"/>
        <v/>
      </c>
      <c r="KT476" s="1456" t="str">
        <f t="shared" si="285"/>
        <v/>
      </c>
      <c r="KU476" s="1456" t="str">
        <f t="shared" si="286"/>
        <v/>
      </c>
      <c r="KV476" s="1456" t="str">
        <f t="shared" si="287"/>
        <v/>
      </c>
      <c r="KW476" s="1456" t="str">
        <f t="shared" si="288"/>
        <v/>
      </c>
      <c r="KX476" s="1456" t="str">
        <f t="shared" si="289"/>
        <v/>
      </c>
      <c r="KY476" s="1456" t="str">
        <f t="shared" si="290"/>
        <v/>
      </c>
      <c r="KZ476" s="1456" t="str">
        <f t="shared" si="291"/>
        <v/>
      </c>
      <c r="LA476" s="1456" t="str">
        <f t="shared" si="292"/>
        <v/>
      </c>
      <c r="LB476" s="1456" t="str">
        <f t="shared" si="293"/>
        <v/>
      </c>
      <c r="LC476" s="1456" t="str">
        <f t="shared" si="294"/>
        <v/>
      </c>
      <c r="LD476" s="1456" t="str">
        <f t="shared" si="295"/>
        <v/>
      </c>
      <c r="LE476" s="1456" t="str">
        <f t="shared" si="296"/>
        <v/>
      </c>
      <c r="LF476" s="1456" t="str">
        <f t="shared" si="297"/>
        <v/>
      </c>
      <c r="LG476" s="1446" t="str">
        <f t="shared" si="298"/>
        <v/>
      </c>
      <c r="LH476" s="1446" t="str">
        <f t="shared" si="299"/>
        <v/>
      </c>
      <c r="LI476" s="1446" t="str">
        <f t="shared" si="300"/>
        <v/>
      </c>
      <c r="LJ476" s="1446" t="str">
        <f t="shared" si="301"/>
        <v/>
      </c>
      <c r="LK476" s="1446"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318">
        <f t="shared" si="323"/>
        <v>0</v>
      </c>
      <c r="MG476" s="1318">
        <f t="shared" si="324"/>
        <v>0</v>
      </c>
      <c r="MH476" s="1318">
        <f t="shared" si="325"/>
        <v>0</v>
      </c>
      <c r="MI476" s="1318">
        <f t="shared" si="326"/>
        <v>0</v>
      </c>
      <c r="MJ476" s="1318">
        <f t="shared" si="327"/>
        <v>0</v>
      </c>
      <c r="MK476" s="1318">
        <f t="shared" si="333"/>
        <v>0</v>
      </c>
      <c r="ML476" s="1318">
        <f t="shared" si="334"/>
        <v>0</v>
      </c>
      <c r="MM476" s="1318">
        <f t="shared" si="335"/>
        <v>0</v>
      </c>
      <c r="MN476" s="1318">
        <f t="shared" si="336"/>
        <v>0</v>
      </c>
      <c r="MO476" s="1318">
        <f t="shared" si="337"/>
        <v>0</v>
      </c>
      <c r="MP476" s="1318">
        <f t="shared" si="328"/>
        <v>0</v>
      </c>
      <c r="MQ476" s="1318">
        <f t="shared" si="329"/>
        <v>0</v>
      </c>
      <c r="MR476" s="1318">
        <f t="shared" si="330"/>
        <v>0</v>
      </c>
      <c r="MS476" s="1318">
        <f t="shared" si="331"/>
        <v>0</v>
      </c>
      <c r="MT476" s="1318">
        <f t="shared" si="332"/>
        <v>0</v>
      </c>
      <c r="NP476" s="251" t="s">
        <v>1179</v>
      </c>
    </row>
    <row r="477" spans="1:380" ht="13.9" customHeight="1">
      <c r="A477" s="2246" t="str">
        <f t="shared" si="0"/>
        <v/>
      </c>
      <c r="B477" s="2265">
        <f>'Part V-Revenues &amp; Expenses'!B39</f>
        <v>0</v>
      </c>
      <c r="C477" s="2266">
        <f>'Part V-Revenues &amp; Expenses'!C39</f>
        <v>0</v>
      </c>
      <c r="D477" s="2267">
        <f>'Part V-Revenues &amp; Expenses'!D39</f>
        <v>0</v>
      </c>
      <c r="E477" s="2268">
        <f>'Part V-Revenues &amp; Expenses'!E39</f>
        <v>0</v>
      </c>
      <c r="F477" s="2268">
        <f>'Part V-Revenues &amp; Expenses'!F39</f>
        <v>0</v>
      </c>
      <c r="G477" s="2268">
        <f>'Part V-Revenues &amp; Expenses'!G39</f>
        <v>0</v>
      </c>
      <c r="H477" s="2268">
        <f>'Part V-Revenues &amp; Expenses'!H39</f>
        <v>0</v>
      </c>
      <c r="I477" s="2268">
        <f>'Part V-Revenues &amp; Expenses'!I39</f>
        <v>0</v>
      </c>
      <c r="J477" s="2268">
        <f>'Part V-Revenues &amp; Expenses'!J39</f>
        <v>0</v>
      </c>
      <c r="K477" s="2269">
        <f>'Part V-Revenues &amp; Expenses'!K39</f>
        <v>0</v>
      </c>
      <c r="L477" s="2270">
        <f t="shared" si="1"/>
        <v>0</v>
      </c>
      <c r="M477" s="2270">
        <f t="shared" si="2"/>
        <v>0</v>
      </c>
      <c r="N477" s="2139">
        <f>'Part V-Revenues &amp; Expenses'!N39</f>
        <v>0</v>
      </c>
      <c r="O477" s="963">
        <f>'Part V-Revenues &amp; Expenses'!O39</f>
        <v>0</v>
      </c>
      <c r="P477" s="2139">
        <f>'Part V-Revenues &amp; Expenses'!P39</f>
        <v>0</v>
      </c>
      <c r="Q477" s="1455">
        <f>'Part V-Revenues &amp; Expenses'!Q39</f>
        <v>0</v>
      </c>
      <c r="R477" s="2271"/>
      <c r="S477" s="2272"/>
      <c r="T477" s="2273"/>
      <c r="U477" s="2273"/>
      <c r="V477" s="2273"/>
      <c r="W477" s="2273"/>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456" t="str">
        <f t="shared" si="213"/>
        <v/>
      </c>
      <c r="IA477" s="1456" t="str">
        <f t="shared" si="214"/>
        <v/>
      </c>
      <c r="IB477" s="1456" t="str">
        <f t="shared" si="215"/>
        <v/>
      </c>
      <c r="IC477" s="1456" t="str">
        <f t="shared" si="216"/>
        <v/>
      </c>
      <c r="ID477" s="1456" t="str">
        <f t="shared" si="217"/>
        <v/>
      </c>
      <c r="IE477" s="1456" t="str">
        <f t="shared" si="218"/>
        <v/>
      </c>
      <c r="IF477" s="1456" t="str">
        <f t="shared" si="219"/>
        <v/>
      </c>
      <c r="IG477" s="1456" t="str">
        <f t="shared" si="220"/>
        <v/>
      </c>
      <c r="IH477" s="1456" t="str">
        <f t="shared" si="221"/>
        <v/>
      </c>
      <c r="II477" s="1456" t="str">
        <f t="shared" si="222"/>
        <v/>
      </c>
      <c r="IJ477" s="1456" t="str">
        <f t="shared" si="223"/>
        <v/>
      </c>
      <c r="IK477" s="1456" t="str">
        <f t="shared" si="224"/>
        <v/>
      </c>
      <c r="IL477" s="1456" t="str">
        <f t="shared" si="225"/>
        <v/>
      </c>
      <c r="IM477" s="1456" t="str">
        <f t="shared" si="226"/>
        <v/>
      </c>
      <c r="IN477" s="1456" t="str">
        <f t="shared" si="227"/>
        <v/>
      </c>
      <c r="IO477" s="1456" t="str">
        <f t="shared" si="228"/>
        <v/>
      </c>
      <c r="IP477" s="1456" t="str">
        <f t="shared" si="229"/>
        <v/>
      </c>
      <c r="IQ477" s="1456" t="str">
        <f t="shared" si="230"/>
        <v/>
      </c>
      <c r="IR477" s="1456" t="str">
        <f t="shared" si="231"/>
        <v/>
      </c>
      <c r="IS477" s="1456" t="str">
        <f t="shared" si="232"/>
        <v/>
      </c>
      <c r="IT477" s="1456" t="str">
        <f t="shared" si="233"/>
        <v/>
      </c>
      <c r="IU477" s="1456" t="str">
        <f t="shared" si="234"/>
        <v/>
      </c>
      <c r="IV477" s="1456" t="str">
        <f t="shared" si="235"/>
        <v/>
      </c>
      <c r="IW477" s="1456" t="str">
        <f t="shared" si="236"/>
        <v/>
      </c>
      <c r="IX477" s="1456" t="str">
        <f t="shared" si="237"/>
        <v/>
      </c>
      <c r="IY477" s="1456" t="str">
        <f t="shared" si="238"/>
        <v/>
      </c>
      <c r="IZ477" s="1456" t="str">
        <f t="shared" si="239"/>
        <v/>
      </c>
      <c r="JA477" s="1456" t="str">
        <f t="shared" si="240"/>
        <v/>
      </c>
      <c r="JB477" s="1456" t="str">
        <f t="shared" si="241"/>
        <v/>
      </c>
      <c r="JC477" s="1456" t="str">
        <f t="shared" si="242"/>
        <v/>
      </c>
      <c r="JD477" s="1456" t="str">
        <f t="shared" si="243"/>
        <v/>
      </c>
      <c r="JE477" s="1456" t="str">
        <f t="shared" si="244"/>
        <v/>
      </c>
      <c r="JF477" s="1456" t="str">
        <f t="shared" si="245"/>
        <v/>
      </c>
      <c r="JG477" s="1456" t="str">
        <f t="shared" si="246"/>
        <v/>
      </c>
      <c r="JH477" s="1456" t="str">
        <f t="shared" si="247"/>
        <v/>
      </c>
      <c r="JI477" s="1456" t="str">
        <f t="shared" si="248"/>
        <v/>
      </c>
      <c r="JJ477" s="1456" t="str">
        <f t="shared" si="249"/>
        <v/>
      </c>
      <c r="JK477" s="1456" t="str">
        <f t="shared" si="250"/>
        <v/>
      </c>
      <c r="JL477" s="1456" t="str">
        <f t="shared" si="251"/>
        <v/>
      </c>
      <c r="JM477" s="1456" t="str">
        <f t="shared" si="252"/>
        <v/>
      </c>
      <c r="JN477" s="1456" t="str">
        <f t="shared" si="253"/>
        <v/>
      </c>
      <c r="JO477" s="1456" t="str">
        <f t="shared" si="254"/>
        <v/>
      </c>
      <c r="JP477" s="1456" t="str">
        <f t="shared" si="255"/>
        <v/>
      </c>
      <c r="JQ477" s="1456" t="str">
        <f t="shared" si="256"/>
        <v/>
      </c>
      <c r="JR477" s="1456" t="str">
        <f t="shared" si="257"/>
        <v/>
      </c>
      <c r="JS477" s="1456" t="str">
        <f t="shared" si="258"/>
        <v/>
      </c>
      <c r="JT477" s="1456" t="str">
        <f t="shared" si="259"/>
        <v/>
      </c>
      <c r="JU477" s="1456" t="str">
        <f t="shared" si="260"/>
        <v/>
      </c>
      <c r="JV477" s="1456" t="str">
        <f t="shared" si="261"/>
        <v/>
      </c>
      <c r="JW477" s="1456" t="str">
        <f t="shared" si="262"/>
        <v/>
      </c>
      <c r="JX477" s="1456" t="str">
        <f t="shared" si="263"/>
        <v/>
      </c>
      <c r="JY477" s="1456" t="str">
        <f t="shared" si="264"/>
        <v/>
      </c>
      <c r="JZ477" s="1456" t="str">
        <f t="shared" si="265"/>
        <v/>
      </c>
      <c r="KA477" s="1456" t="str">
        <f t="shared" si="266"/>
        <v/>
      </c>
      <c r="KB477" s="1456" t="str">
        <f t="shared" si="267"/>
        <v/>
      </c>
      <c r="KC477" s="1456" t="str">
        <f t="shared" si="268"/>
        <v/>
      </c>
      <c r="KD477" s="1456" t="str">
        <f t="shared" si="269"/>
        <v/>
      </c>
      <c r="KE477" s="1456" t="str">
        <f t="shared" si="270"/>
        <v/>
      </c>
      <c r="KF477" s="1456" t="str">
        <f t="shared" si="271"/>
        <v/>
      </c>
      <c r="KG477" s="1456" t="str">
        <f t="shared" si="272"/>
        <v/>
      </c>
      <c r="KH477" s="1456" t="str">
        <f t="shared" si="273"/>
        <v/>
      </c>
      <c r="KI477" s="1456" t="str">
        <f t="shared" si="274"/>
        <v/>
      </c>
      <c r="KJ477" s="1456" t="str">
        <f t="shared" si="275"/>
        <v/>
      </c>
      <c r="KK477" s="1456" t="str">
        <f t="shared" si="276"/>
        <v/>
      </c>
      <c r="KL477" s="1456" t="str">
        <f t="shared" si="277"/>
        <v/>
      </c>
      <c r="KM477" s="1456" t="str">
        <f t="shared" si="278"/>
        <v/>
      </c>
      <c r="KN477" s="1456" t="str">
        <f t="shared" si="279"/>
        <v/>
      </c>
      <c r="KO477" s="1456" t="str">
        <f t="shared" si="280"/>
        <v/>
      </c>
      <c r="KP477" s="1456" t="str">
        <f t="shared" si="281"/>
        <v/>
      </c>
      <c r="KQ477" s="1456" t="str">
        <f t="shared" si="282"/>
        <v/>
      </c>
      <c r="KR477" s="1456" t="str">
        <f t="shared" si="283"/>
        <v/>
      </c>
      <c r="KS477" s="1456" t="str">
        <f t="shared" si="284"/>
        <v/>
      </c>
      <c r="KT477" s="1456" t="str">
        <f t="shared" si="285"/>
        <v/>
      </c>
      <c r="KU477" s="1456" t="str">
        <f t="shared" si="286"/>
        <v/>
      </c>
      <c r="KV477" s="1456" t="str">
        <f t="shared" si="287"/>
        <v/>
      </c>
      <c r="KW477" s="1456" t="str">
        <f t="shared" si="288"/>
        <v/>
      </c>
      <c r="KX477" s="1456" t="str">
        <f t="shared" si="289"/>
        <v/>
      </c>
      <c r="KY477" s="1456" t="str">
        <f t="shared" si="290"/>
        <v/>
      </c>
      <c r="KZ477" s="1456" t="str">
        <f t="shared" si="291"/>
        <v/>
      </c>
      <c r="LA477" s="1456" t="str">
        <f t="shared" si="292"/>
        <v/>
      </c>
      <c r="LB477" s="1456" t="str">
        <f t="shared" si="293"/>
        <v/>
      </c>
      <c r="LC477" s="1456" t="str">
        <f t="shared" si="294"/>
        <v/>
      </c>
      <c r="LD477" s="1456" t="str">
        <f t="shared" si="295"/>
        <v/>
      </c>
      <c r="LE477" s="1456" t="str">
        <f t="shared" si="296"/>
        <v/>
      </c>
      <c r="LF477" s="1456" t="str">
        <f t="shared" si="297"/>
        <v/>
      </c>
      <c r="LG477" s="1446" t="str">
        <f t="shared" si="298"/>
        <v/>
      </c>
      <c r="LH477" s="1446" t="str">
        <f t="shared" si="299"/>
        <v/>
      </c>
      <c r="LI477" s="1446" t="str">
        <f t="shared" si="300"/>
        <v/>
      </c>
      <c r="LJ477" s="1446" t="str">
        <f t="shared" si="301"/>
        <v/>
      </c>
      <c r="LK477" s="1446"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318">
        <f t="shared" si="323"/>
        <v>0</v>
      </c>
      <c r="MG477" s="1318">
        <f t="shared" si="324"/>
        <v>0</v>
      </c>
      <c r="MH477" s="1318">
        <f t="shared" si="325"/>
        <v>0</v>
      </c>
      <c r="MI477" s="1318">
        <f t="shared" si="326"/>
        <v>0</v>
      </c>
      <c r="MJ477" s="1318">
        <f t="shared" si="327"/>
        <v>0</v>
      </c>
      <c r="MK477" s="1318">
        <f t="shared" si="333"/>
        <v>0</v>
      </c>
      <c r="ML477" s="1318">
        <f t="shared" si="334"/>
        <v>0</v>
      </c>
      <c r="MM477" s="1318">
        <f t="shared" si="335"/>
        <v>0</v>
      </c>
      <c r="MN477" s="1318">
        <f t="shared" si="336"/>
        <v>0</v>
      </c>
      <c r="MO477" s="1318">
        <f t="shared" si="337"/>
        <v>0</v>
      </c>
      <c r="MP477" s="1318">
        <f t="shared" si="328"/>
        <v>0</v>
      </c>
      <c r="MQ477" s="1318">
        <f t="shared" si="329"/>
        <v>0</v>
      </c>
      <c r="MR477" s="1318">
        <f t="shared" si="330"/>
        <v>0</v>
      </c>
      <c r="MS477" s="1318">
        <f t="shared" si="331"/>
        <v>0</v>
      </c>
      <c r="MT477" s="1318">
        <f t="shared" si="332"/>
        <v>0</v>
      </c>
      <c r="NP477" s="251" t="s">
        <v>1180</v>
      </c>
    </row>
    <row r="478" spans="1:380" ht="13.9" customHeight="1">
      <c r="A478" s="2246" t="str">
        <f t="shared" si="0"/>
        <v/>
      </c>
      <c r="B478" s="2265">
        <f>'Part V-Revenues &amp; Expenses'!B40</f>
        <v>0</v>
      </c>
      <c r="C478" s="2266">
        <f>'Part V-Revenues &amp; Expenses'!C40</f>
        <v>0</v>
      </c>
      <c r="D478" s="2267">
        <f>'Part V-Revenues &amp; Expenses'!D40</f>
        <v>0</v>
      </c>
      <c r="E478" s="2268">
        <f>'Part V-Revenues &amp; Expenses'!E40</f>
        <v>0</v>
      </c>
      <c r="F478" s="2268">
        <f>'Part V-Revenues &amp; Expenses'!F40</f>
        <v>0</v>
      </c>
      <c r="G478" s="2268">
        <f>'Part V-Revenues &amp; Expenses'!G40</f>
        <v>0</v>
      </c>
      <c r="H478" s="2268">
        <f>'Part V-Revenues &amp; Expenses'!H40</f>
        <v>0</v>
      </c>
      <c r="I478" s="2268">
        <f>'Part V-Revenues &amp; Expenses'!I40</f>
        <v>0</v>
      </c>
      <c r="J478" s="2268">
        <f>'Part V-Revenues &amp; Expenses'!J40</f>
        <v>0</v>
      </c>
      <c r="K478" s="2269">
        <f>'Part V-Revenues &amp; Expenses'!K40</f>
        <v>0</v>
      </c>
      <c r="L478" s="2270">
        <f t="shared" si="1"/>
        <v>0</v>
      </c>
      <c r="M478" s="2270">
        <f t="shared" si="2"/>
        <v>0</v>
      </c>
      <c r="N478" s="2139">
        <f>'Part V-Revenues &amp; Expenses'!N40</f>
        <v>0</v>
      </c>
      <c r="O478" s="963">
        <f>'Part V-Revenues &amp; Expenses'!O40</f>
        <v>0</v>
      </c>
      <c r="P478" s="2139">
        <f>'Part V-Revenues &amp; Expenses'!P40</f>
        <v>0</v>
      </c>
      <c r="Q478" s="1455">
        <f>'Part V-Revenues &amp; Expenses'!Q40</f>
        <v>0</v>
      </c>
      <c r="R478" s="2271"/>
      <c r="S478" s="2272"/>
      <c r="T478" s="2273"/>
      <c r="U478" s="2273"/>
      <c r="V478" s="2273"/>
      <c r="W478" s="2273"/>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456" t="str">
        <f t="shared" si="213"/>
        <v/>
      </c>
      <c r="IA478" s="1456" t="str">
        <f t="shared" si="214"/>
        <v/>
      </c>
      <c r="IB478" s="1456" t="str">
        <f t="shared" si="215"/>
        <v/>
      </c>
      <c r="IC478" s="1456" t="str">
        <f t="shared" si="216"/>
        <v/>
      </c>
      <c r="ID478" s="1456" t="str">
        <f t="shared" si="217"/>
        <v/>
      </c>
      <c r="IE478" s="1456" t="str">
        <f t="shared" si="218"/>
        <v/>
      </c>
      <c r="IF478" s="1456" t="str">
        <f t="shared" si="219"/>
        <v/>
      </c>
      <c r="IG478" s="1456" t="str">
        <f t="shared" si="220"/>
        <v/>
      </c>
      <c r="IH478" s="1456" t="str">
        <f t="shared" si="221"/>
        <v/>
      </c>
      <c r="II478" s="1456" t="str">
        <f t="shared" si="222"/>
        <v/>
      </c>
      <c r="IJ478" s="1456" t="str">
        <f t="shared" si="223"/>
        <v/>
      </c>
      <c r="IK478" s="1456" t="str">
        <f t="shared" si="224"/>
        <v/>
      </c>
      <c r="IL478" s="1456" t="str">
        <f t="shared" si="225"/>
        <v/>
      </c>
      <c r="IM478" s="1456" t="str">
        <f t="shared" si="226"/>
        <v/>
      </c>
      <c r="IN478" s="1456" t="str">
        <f t="shared" si="227"/>
        <v/>
      </c>
      <c r="IO478" s="1456" t="str">
        <f t="shared" si="228"/>
        <v/>
      </c>
      <c r="IP478" s="1456" t="str">
        <f t="shared" si="229"/>
        <v/>
      </c>
      <c r="IQ478" s="1456" t="str">
        <f t="shared" si="230"/>
        <v/>
      </c>
      <c r="IR478" s="1456" t="str">
        <f t="shared" si="231"/>
        <v/>
      </c>
      <c r="IS478" s="1456" t="str">
        <f t="shared" si="232"/>
        <v/>
      </c>
      <c r="IT478" s="1456" t="str">
        <f t="shared" si="233"/>
        <v/>
      </c>
      <c r="IU478" s="1456" t="str">
        <f t="shared" si="234"/>
        <v/>
      </c>
      <c r="IV478" s="1456" t="str">
        <f t="shared" si="235"/>
        <v/>
      </c>
      <c r="IW478" s="1456" t="str">
        <f t="shared" si="236"/>
        <v/>
      </c>
      <c r="IX478" s="1456" t="str">
        <f t="shared" si="237"/>
        <v/>
      </c>
      <c r="IY478" s="1456" t="str">
        <f t="shared" si="238"/>
        <v/>
      </c>
      <c r="IZ478" s="1456" t="str">
        <f t="shared" si="239"/>
        <v/>
      </c>
      <c r="JA478" s="1456" t="str">
        <f t="shared" si="240"/>
        <v/>
      </c>
      <c r="JB478" s="1456" t="str">
        <f t="shared" si="241"/>
        <v/>
      </c>
      <c r="JC478" s="1456" t="str">
        <f t="shared" si="242"/>
        <v/>
      </c>
      <c r="JD478" s="1456" t="str">
        <f t="shared" si="243"/>
        <v/>
      </c>
      <c r="JE478" s="1456" t="str">
        <f t="shared" si="244"/>
        <v/>
      </c>
      <c r="JF478" s="1456" t="str">
        <f t="shared" si="245"/>
        <v/>
      </c>
      <c r="JG478" s="1456" t="str">
        <f t="shared" si="246"/>
        <v/>
      </c>
      <c r="JH478" s="1456" t="str">
        <f t="shared" si="247"/>
        <v/>
      </c>
      <c r="JI478" s="1456" t="str">
        <f t="shared" si="248"/>
        <v/>
      </c>
      <c r="JJ478" s="1456" t="str">
        <f t="shared" si="249"/>
        <v/>
      </c>
      <c r="JK478" s="1456" t="str">
        <f t="shared" si="250"/>
        <v/>
      </c>
      <c r="JL478" s="1456" t="str">
        <f t="shared" si="251"/>
        <v/>
      </c>
      <c r="JM478" s="1456" t="str">
        <f t="shared" si="252"/>
        <v/>
      </c>
      <c r="JN478" s="1456" t="str">
        <f t="shared" si="253"/>
        <v/>
      </c>
      <c r="JO478" s="1456" t="str">
        <f t="shared" si="254"/>
        <v/>
      </c>
      <c r="JP478" s="1456" t="str">
        <f t="shared" si="255"/>
        <v/>
      </c>
      <c r="JQ478" s="1456" t="str">
        <f t="shared" si="256"/>
        <v/>
      </c>
      <c r="JR478" s="1456" t="str">
        <f t="shared" si="257"/>
        <v/>
      </c>
      <c r="JS478" s="1456" t="str">
        <f t="shared" si="258"/>
        <v/>
      </c>
      <c r="JT478" s="1456" t="str">
        <f t="shared" si="259"/>
        <v/>
      </c>
      <c r="JU478" s="1456" t="str">
        <f t="shared" si="260"/>
        <v/>
      </c>
      <c r="JV478" s="1456" t="str">
        <f t="shared" si="261"/>
        <v/>
      </c>
      <c r="JW478" s="1456" t="str">
        <f t="shared" si="262"/>
        <v/>
      </c>
      <c r="JX478" s="1456" t="str">
        <f t="shared" si="263"/>
        <v/>
      </c>
      <c r="JY478" s="1456" t="str">
        <f t="shared" si="264"/>
        <v/>
      </c>
      <c r="JZ478" s="1456" t="str">
        <f t="shared" si="265"/>
        <v/>
      </c>
      <c r="KA478" s="1456" t="str">
        <f t="shared" si="266"/>
        <v/>
      </c>
      <c r="KB478" s="1456" t="str">
        <f t="shared" si="267"/>
        <v/>
      </c>
      <c r="KC478" s="1456" t="str">
        <f t="shared" si="268"/>
        <v/>
      </c>
      <c r="KD478" s="1456" t="str">
        <f t="shared" si="269"/>
        <v/>
      </c>
      <c r="KE478" s="1456" t="str">
        <f t="shared" si="270"/>
        <v/>
      </c>
      <c r="KF478" s="1456" t="str">
        <f t="shared" si="271"/>
        <v/>
      </c>
      <c r="KG478" s="1456" t="str">
        <f t="shared" si="272"/>
        <v/>
      </c>
      <c r="KH478" s="1456" t="str">
        <f t="shared" si="273"/>
        <v/>
      </c>
      <c r="KI478" s="1456" t="str">
        <f t="shared" si="274"/>
        <v/>
      </c>
      <c r="KJ478" s="1456" t="str">
        <f t="shared" si="275"/>
        <v/>
      </c>
      <c r="KK478" s="1456" t="str">
        <f t="shared" si="276"/>
        <v/>
      </c>
      <c r="KL478" s="1456" t="str">
        <f t="shared" si="277"/>
        <v/>
      </c>
      <c r="KM478" s="1456" t="str">
        <f t="shared" si="278"/>
        <v/>
      </c>
      <c r="KN478" s="1456" t="str">
        <f t="shared" si="279"/>
        <v/>
      </c>
      <c r="KO478" s="1456" t="str">
        <f t="shared" si="280"/>
        <v/>
      </c>
      <c r="KP478" s="1456" t="str">
        <f t="shared" si="281"/>
        <v/>
      </c>
      <c r="KQ478" s="1456" t="str">
        <f t="shared" si="282"/>
        <v/>
      </c>
      <c r="KR478" s="1456" t="str">
        <f t="shared" si="283"/>
        <v/>
      </c>
      <c r="KS478" s="1456" t="str">
        <f t="shared" si="284"/>
        <v/>
      </c>
      <c r="KT478" s="1456" t="str">
        <f t="shared" si="285"/>
        <v/>
      </c>
      <c r="KU478" s="1456" t="str">
        <f t="shared" si="286"/>
        <v/>
      </c>
      <c r="KV478" s="1456" t="str">
        <f t="shared" si="287"/>
        <v/>
      </c>
      <c r="KW478" s="1456" t="str">
        <f t="shared" si="288"/>
        <v/>
      </c>
      <c r="KX478" s="1456" t="str">
        <f t="shared" si="289"/>
        <v/>
      </c>
      <c r="KY478" s="1456" t="str">
        <f t="shared" si="290"/>
        <v/>
      </c>
      <c r="KZ478" s="1456" t="str">
        <f t="shared" si="291"/>
        <v/>
      </c>
      <c r="LA478" s="1456" t="str">
        <f t="shared" si="292"/>
        <v/>
      </c>
      <c r="LB478" s="1456" t="str">
        <f t="shared" si="293"/>
        <v/>
      </c>
      <c r="LC478" s="1456" t="str">
        <f t="shared" si="294"/>
        <v/>
      </c>
      <c r="LD478" s="1456" t="str">
        <f t="shared" si="295"/>
        <v/>
      </c>
      <c r="LE478" s="1456" t="str">
        <f t="shared" si="296"/>
        <v/>
      </c>
      <c r="LF478" s="1456" t="str">
        <f t="shared" si="297"/>
        <v/>
      </c>
      <c r="LG478" s="1446" t="str">
        <f t="shared" si="298"/>
        <v/>
      </c>
      <c r="LH478" s="1446" t="str">
        <f t="shared" si="299"/>
        <v/>
      </c>
      <c r="LI478" s="1446" t="str">
        <f t="shared" si="300"/>
        <v/>
      </c>
      <c r="LJ478" s="1446" t="str">
        <f t="shared" si="301"/>
        <v/>
      </c>
      <c r="LK478" s="1446"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318">
        <f t="shared" si="323"/>
        <v>0</v>
      </c>
      <c r="MG478" s="1318">
        <f t="shared" si="324"/>
        <v>0</v>
      </c>
      <c r="MH478" s="1318">
        <f t="shared" si="325"/>
        <v>0</v>
      </c>
      <c r="MI478" s="1318">
        <f t="shared" si="326"/>
        <v>0</v>
      </c>
      <c r="MJ478" s="1318">
        <f t="shared" si="327"/>
        <v>0</v>
      </c>
      <c r="MK478" s="1318">
        <f t="shared" si="333"/>
        <v>0</v>
      </c>
      <c r="ML478" s="1318">
        <f t="shared" si="334"/>
        <v>0</v>
      </c>
      <c r="MM478" s="1318">
        <f t="shared" si="335"/>
        <v>0</v>
      </c>
      <c r="MN478" s="1318">
        <f t="shared" si="336"/>
        <v>0</v>
      </c>
      <c r="MO478" s="1318">
        <f t="shared" si="337"/>
        <v>0</v>
      </c>
      <c r="MP478" s="1318">
        <f t="shared" si="328"/>
        <v>0</v>
      </c>
      <c r="MQ478" s="1318">
        <f t="shared" si="329"/>
        <v>0</v>
      </c>
      <c r="MR478" s="1318">
        <f t="shared" si="330"/>
        <v>0</v>
      </c>
      <c r="MS478" s="1318">
        <f t="shared" si="331"/>
        <v>0</v>
      </c>
      <c r="MT478" s="1318">
        <f t="shared" si="332"/>
        <v>0</v>
      </c>
      <c r="NP478" s="251" t="s">
        <v>1181</v>
      </c>
    </row>
    <row r="479" spans="1:380" ht="13.9" customHeight="1">
      <c r="A479" s="2246" t="str">
        <f t="shared" si="0"/>
        <v/>
      </c>
      <c r="B479" s="2265">
        <f>'Part V-Revenues &amp; Expenses'!B41</f>
        <v>0</v>
      </c>
      <c r="C479" s="2266">
        <f>'Part V-Revenues &amp; Expenses'!C41</f>
        <v>0</v>
      </c>
      <c r="D479" s="2267">
        <f>'Part V-Revenues &amp; Expenses'!D41</f>
        <v>0</v>
      </c>
      <c r="E479" s="2268">
        <f>'Part V-Revenues &amp; Expenses'!E41</f>
        <v>0</v>
      </c>
      <c r="F479" s="2268">
        <f>'Part V-Revenues &amp; Expenses'!F41</f>
        <v>0</v>
      </c>
      <c r="G479" s="2268">
        <f>'Part V-Revenues &amp; Expenses'!G41</f>
        <v>0</v>
      </c>
      <c r="H479" s="2268">
        <f>'Part V-Revenues &amp; Expenses'!H41</f>
        <v>0</v>
      </c>
      <c r="I479" s="2268">
        <f>'Part V-Revenues &amp; Expenses'!I41</f>
        <v>0</v>
      </c>
      <c r="J479" s="2268">
        <f>'Part V-Revenues &amp; Expenses'!J41</f>
        <v>0</v>
      </c>
      <c r="K479" s="2269">
        <f>'Part V-Revenues &amp; Expenses'!K41</f>
        <v>0</v>
      </c>
      <c r="L479" s="2270">
        <f t="shared" si="1"/>
        <v>0</v>
      </c>
      <c r="M479" s="2270">
        <f t="shared" si="2"/>
        <v>0</v>
      </c>
      <c r="N479" s="2139">
        <f>'Part V-Revenues &amp; Expenses'!N41</f>
        <v>0</v>
      </c>
      <c r="O479" s="963">
        <f>'Part V-Revenues &amp; Expenses'!O41</f>
        <v>0</v>
      </c>
      <c r="P479" s="2139">
        <f>'Part V-Revenues &amp; Expenses'!P41</f>
        <v>0</v>
      </c>
      <c r="Q479" s="1455">
        <f>'Part V-Revenues &amp; Expenses'!Q41</f>
        <v>0</v>
      </c>
      <c r="R479" s="2271"/>
      <c r="S479" s="2272"/>
      <c r="T479" s="2273"/>
      <c r="U479" s="2273"/>
      <c r="V479" s="2273"/>
      <c r="W479" s="2273"/>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456" t="str">
        <f t="shared" si="213"/>
        <v/>
      </c>
      <c r="IA479" s="1456" t="str">
        <f t="shared" si="214"/>
        <v/>
      </c>
      <c r="IB479" s="1456" t="str">
        <f t="shared" si="215"/>
        <v/>
      </c>
      <c r="IC479" s="1456" t="str">
        <f t="shared" si="216"/>
        <v/>
      </c>
      <c r="ID479" s="1456" t="str">
        <f t="shared" si="217"/>
        <v/>
      </c>
      <c r="IE479" s="1456" t="str">
        <f t="shared" si="218"/>
        <v/>
      </c>
      <c r="IF479" s="1456" t="str">
        <f t="shared" si="219"/>
        <v/>
      </c>
      <c r="IG479" s="1456" t="str">
        <f t="shared" si="220"/>
        <v/>
      </c>
      <c r="IH479" s="1456" t="str">
        <f t="shared" si="221"/>
        <v/>
      </c>
      <c r="II479" s="1456" t="str">
        <f t="shared" si="222"/>
        <v/>
      </c>
      <c r="IJ479" s="1456" t="str">
        <f t="shared" si="223"/>
        <v/>
      </c>
      <c r="IK479" s="1456" t="str">
        <f t="shared" si="224"/>
        <v/>
      </c>
      <c r="IL479" s="1456" t="str">
        <f t="shared" si="225"/>
        <v/>
      </c>
      <c r="IM479" s="1456" t="str">
        <f t="shared" si="226"/>
        <v/>
      </c>
      <c r="IN479" s="1456" t="str">
        <f t="shared" si="227"/>
        <v/>
      </c>
      <c r="IO479" s="1456" t="str">
        <f t="shared" si="228"/>
        <v/>
      </c>
      <c r="IP479" s="1456" t="str">
        <f t="shared" si="229"/>
        <v/>
      </c>
      <c r="IQ479" s="1456" t="str">
        <f t="shared" si="230"/>
        <v/>
      </c>
      <c r="IR479" s="1456" t="str">
        <f t="shared" si="231"/>
        <v/>
      </c>
      <c r="IS479" s="1456" t="str">
        <f t="shared" si="232"/>
        <v/>
      </c>
      <c r="IT479" s="1456" t="str">
        <f t="shared" si="233"/>
        <v/>
      </c>
      <c r="IU479" s="1456" t="str">
        <f t="shared" si="234"/>
        <v/>
      </c>
      <c r="IV479" s="1456" t="str">
        <f t="shared" si="235"/>
        <v/>
      </c>
      <c r="IW479" s="1456" t="str">
        <f t="shared" si="236"/>
        <v/>
      </c>
      <c r="IX479" s="1456" t="str">
        <f t="shared" si="237"/>
        <v/>
      </c>
      <c r="IY479" s="1456" t="str">
        <f t="shared" si="238"/>
        <v/>
      </c>
      <c r="IZ479" s="1456" t="str">
        <f t="shared" si="239"/>
        <v/>
      </c>
      <c r="JA479" s="1456" t="str">
        <f t="shared" si="240"/>
        <v/>
      </c>
      <c r="JB479" s="1456" t="str">
        <f t="shared" si="241"/>
        <v/>
      </c>
      <c r="JC479" s="1456" t="str">
        <f t="shared" si="242"/>
        <v/>
      </c>
      <c r="JD479" s="1456" t="str">
        <f t="shared" si="243"/>
        <v/>
      </c>
      <c r="JE479" s="1456" t="str">
        <f t="shared" si="244"/>
        <v/>
      </c>
      <c r="JF479" s="1456" t="str">
        <f t="shared" si="245"/>
        <v/>
      </c>
      <c r="JG479" s="1456" t="str">
        <f t="shared" si="246"/>
        <v/>
      </c>
      <c r="JH479" s="1456" t="str">
        <f t="shared" si="247"/>
        <v/>
      </c>
      <c r="JI479" s="1456" t="str">
        <f t="shared" si="248"/>
        <v/>
      </c>
      <c r="JJ479" s="1456" t="str">
        <f t="shared" si="249"/>
        <v/>
      </c>
      <c r="JK479" s="1456" t="str">
        <f t="shared" si="250"/>
        <v/>
      </c>
      <c r="JL479" s="1456" t="str">
        <f t="shared" si="251"/>
        <v/>
      </c>
      <c r="JM479" s="1456" t="str">
        <f t="shared" si="252"/>
        <v/>
      </c>
      <c r="JN479" s="1456" t="str">
        <f t="shared" si="253"/>
        <v/>
      </c>
      <c r="JO479" s="1456" t="str">
        <f t="shared" si="254"/>
        <v/>
      </c>
      <c r="JP479" s="1456" t="str">
        <f t="shared" si="255"/>
        <v/>
      </c>
      <c r="JQ479" s="1456" t="str">
        <f t="shared" si="256"/>
        <v/>
      </c>
      <c r="JR479" s="1456" t="str">
        <f t="shared" si="257"/>
        <v/>
      </c>
      <c r="JS479" s="1456" t="str">
        <f t="shared" si="258"/>
        <v/>
      </c>
      <c r="JT479" s="1456" t="str">
        <f t="shared" si="259"/>
        <v/>
      </c>
      <c r="JU479" s="1456" t="str">
        <f t="shared" si="260"/>
        <v/>
      </c>
      <c r="JV479" s="1456" t="str">
        <f t="shared" si="261"/>
        <v/>
      </c>
      <c r="JW479" s="1456" t="str">
        <f t="shared" si="262"/>
        <v/>
      </c>
      <c r="JX479" s="1456" t="str">
        <f t="shared" si="263"/>
        <v/>
      </c>
      <c r="JY479" s="1456" t="str">
        <f t="shared" si="264"/>
        <v/>
      </c>
      <c r="JZ479" s="1456" t="str">
        <f t="shared" si="265"/>
        <v/>
      </c>
      <c r="KA479" s="1456" t="str">
        <f t="shared" si="266"/>
        <v/>
      </c>
      <c r="KB479" s="1456" t="str">
        <f t="shared" si="267"/>
        <v/>
      </c>
      <c r="KC479" s="1456" t="str">
        <f t="shared" si="268"/>
        <v/>
      </c>
      <c r="KD479" s="1456" t="str">
        <f t="shared" si="269"/>
        <v/>
      </c>
      <c r="KE479" s="1456" t="str">
        <f t="shared" si="270"/>
        <v/>
      </c>
      <c r="KF479" s="1456" t="str">
        <f t="shared" si="271"/>
        <v/>
      </c>
      <c r="KG479" s="1456" t="str">
        <f t="shared" si="272"/>
        <v/>
      </c>
      <c r="KH479" s="1456" t="str">
        <f t="shared" si="273"/>
        <v/>
      </c>
      <c r="KI479" s="1456" t="str">
        <f t="shared" si="274"/>
        <v/>
      </c>
      <c r="KJ479" s="1456" t="str">
        <f t="shared" si="275"/>
        <v/>
      </c>
      <c r="KK479" s="1456" t="str">
        <f t="shared" si="276"/>
        <v/>
      </c>
      <c r="KL479" s="1456" t="str">
        <f t="shared" si="277"/>
        <v/>
      </c>
      <c r="KM479" s="1456" t="str">
        <f t="shared" si="278"/>
        <v/>
      </c>
      <c r="KN479" s="1456" t="str">
        <f t="shared" si="279"/>
        <v/>
      </c>
      <c r="KO479" s="1456" t="str">
        <f t="shared" si="280"/>
        <v/>
      </c>
      <c r="KP479" s="1456" t="str">
        <f t="shared" si="281"/>
        <v/>
      </c>
      <c r="KQ479" s="1456" t="str">
        <f t="shared" si="282"/>
        <v/>
      </c>
      <c r="KR479" s="1456" t="str">
        <f t="shared" si="283"/>
        <v/>
      </c>
      <c r="KS479" s="1456" t="str">
        <f t="shared" si="284"/>
        <v/>
      </c>
      <c r="KT479" s="1456" t="str">
        <f t="shared" si="285"/>
        <v/>
      </c>
      <c r="KU479" s="1456" t="str">
        <f t="shared" si="286"/>
        <v/>
      </c>
      <c r="KV479" s="1456" t="str">
        <f t="shared" si="287"/>
        <v/>
      </c>
      <c r="KW479" s="1456" t="str">
        <f t="shared" si="288"/>
        <v/>
      </c>
      <c r="KX479" s="1456" t="str">
        <f t="shared" si="289"/>
        <v/>
      </c>
      <c r="KY479" s="1456" t="str">
        <f t="shared" si="290"/>
        <v/>
      </c>
      <c r="KZ479" s="1456" t="str">
        <f t="shared" si="291"/>
        <v/>
      </c>
      <c r="LA479" s="1456" t="str">
        <f t="shared" si="292"/>
        <v/>
      </c>
      <c r="LB479" s="1456" t="str">
        <f t="shared" si="293"/>
        <v/>
      </c>
      <c r="LC479" s="1456" t="str">
        <f t="shared" si="294"/>
        <v/>
      </c>
      <c r="LD479" s="1456" t="str">
        <f t="shared" si="295"/>
        <v/>
      </c>
      <c r="LE479" s="1456" t="str">
        <f t="shared" si="296"/>
        <v/>
      </c>
      <c r="LF479" s="1456" t="str">
        <f t="shared" si="297"/>
        <v/>
      </c>
      <c r="LG479" s="1446" t="str">
        <f t="shared" si="298"/>
        <v/>
      </c>
      <c r="LH479" s="1446" t="str">
        <f t="shared" si="299"/>
        <v/>
      </c>
      <c r="LI479" s="1446" t="str">
        <f t="shared" si="300"/>
        <v/>
      </c>
      <c r="LJ479" s="1446" t="str">
        <f t="shared" si="301"/>
        <v/>
      </c>
      <c r="LK479" s="1446"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318">
        <f t="shared" si="323"/>
        <v>0</v>
      </c>
      <c r="MG479" s="1318">
        <f t="shared" si="324"/>
        <v>0</v>
      </c>
      <c r="MH479" s="1318">
        <f t="shared" si="325"/>
        <v>0</v>
      </c>
      <c r="MI479" s="1318">
        <f t="shared" si="326"/>
        <v>0</v>
      </c>
      <c r="MJ479" s="1318">
        <f t="shared" si="327"/>
        <v>0</v>
      </c>
      <c r="MK479" s="1318">
        <f t="shared" si="333"/>
        <v>0</v>
      </c>
      <c r="ML479" s="1318">
        <f t="shared" si="334"/>
        <v>0</v>
      </c>
      <c r="MM479" s="1318">
        <f t="shared" si="335"/>
        <v>0</v>
      </c>
      <c r="MN479" s="1318">
        <f t="shared" si="336"/>
        <v>0</v>
      </c>
      <c r="MO479" s="1318">
        <f t="shared" si="337"/>
        <v>0</v>
      </c>
      <c r="MP479" s="1318">
        <f t="shared" si="328"/>
        <v>0</v>
      </c>
      <c r="MQ479" s="1318">
        <f t="shared" si="329"/>
        <v>0</v>
      </c>
      <c r="MR479" s="1318">
        <f t="shared" si="330"/>
        <v>0</v>
      </c>
      <c r="MS479" s="1318">
        <f t="shared" si="331"/>
        <v>0</v>
      </c>
      <c r="MT479" s="1318">
        <f t="shared" si="332"/>
        <v>0</v>
      </c>
      <c r="NP479" s="251" t="s">
        <v>1182</v>
      </c>
    </row>
    <row r="480" spans="1:380" ht="13.9" customHeight="1">
      <c r="A480" s="2246" t="str">
        <f t="shared" si="0"/>
        <v/>
      </c>
      <c r="B480" s="2265">
        <f>'Part V-Revenues &amp; Expenses'!B42</f>
        <v>0</v>
      </c>
      <c r="C480" s="2266">
        <f>'Part V-Revenues &amp; Expenses'!C42</f>
        <v>0</v>
      </c>
      <c r="D480" s="2267">
        <f>'Part V-Revenues &amp; Expenses'!D42</f>
        <v>0</v>
      </c>
      <c r="E480" s="2268">
        <f>'Part V-Revenues &amp; Expenses'!E42</f>
        <v>0</v>
      </c>
      <c r="F480" s="2268">
        <f>'Part V-Revenues &amp; Expenses'!F42</f>
        <v>0</v>
      </c>
      <c r="G480" s="2268">
        <f>'Part V-Revenues &amp; Expenses'!G42</f>
        <v>0</v>
      </c>
      <c r="H480" s="2268">
        <f>'Part V-Revenues &amp; Expenses'!H42</f>
        <v>0</v>
      </c>
      <c r="I480" s="2268">
        <f>'Part V-Revenues &amp; Expenses'!I42</f>
        <v>0</v>
      </c>
      <c r="J480" s="2268">
        <f>'Part V-Revenues &amp; Expenses'!J42</f>
        <v>0</v>
      </c>
      <c r="K480" s="2269">
        <f>'Part V-Revenues &amp; Expenses'!K42</f>
        <v>0</v>
      </c>
      <c r="L480" s="2270">
        <f t="shared" si="1"/>
        <v>0</v>
      </c>
      <c r="M480" s="2270">
        <f t="shared" si="2"/>
        <v>0</v>
      </c>
      <c r="N480" s="2139">
        <f>'Part V-Revenues &amp; Expenses'!N42</f>
        <v>0</v>
      </c>
      <c r="O480" s="963">
        <f>'Part V-Revenues &amp; Expenses'!O42</f>
        <v>0</v>
      </c>
      <c r="P480" s="2139">
        <f>'Part V-Revenues &amp; Expenses'!P42</f>
        <v>0</v>
      </c>
      <c r="Q480" s="1455">
        <f>'Part V-Revenues &amp; Expenses'!Q42</f>
        <v>0</v>
      </c>
      <c r="R480" s="2271"/>
      <c r="S480" s="2272"/>
      <c r="T480" s="2273"/>
      <c r="U480" s="2273"/>
      <c r="V480" s="2273"/>
      <c r="W480" s="2273"/>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456" t="str">
        <f t="shared" si="213"/>
        <v/>
      </c>
      <c r="IA480" s="1456" t="str">
        <f t="shared" si="214"/>
        <v/>
      </c>
      <c r="IB480" s="1456" t="str">
        <f t="shared" si="215"/>
        <v/>
      </c>
      <c r="IC480" s="1456" t="str">
        <f t="shared" si="216"/>
        <v/>
      </c>
      <c r="ID480" s="1456" t="str">
        <f t="shared" si="217"/>
        <v/>
      </c>
      <c r="IE480" s="1456" t="str">
        <f t="shared" si="218"/>
        <v/>
      </c>
      <c r="IF480" s="1456" t="str">
        <f t="shared" si="219"/>
        <v/>
      </c>
      <c r="IG480" s="1456" t="str">
        <f t="shared" si="220"/>
        <v/>
      </c>
      <c r="IH480" s="1456" t="str">
        <f t="shared" si="221"/>
        <v/>
      </c>
      <c r="II480" s="1456" t="str">
        <f t="shared" si="222"/>
        <v/>
      </c>
      <c r="IJ480" s="1456" t="str">
        <f t="shared" si="223"/>
        <v/>
      </c>
      <c r="IK480" s="1456" t="str">
        <f t="shared" si="224"/>
        <v/>
      </c>
      <c r="IL480" s="1456" t="str">
        <f t="shared" si="225"/>
        <v/>
      </c>
      <c r="IM480" s="1456" t="str">
        <f t="shared" si="226"/>
        <v/>
      </c>
      <c r="IN480" s="1456" t="str">
        <f t="shared" si="227"/>
        <v/>
      </c>
      <c r="IO480" s="1456" t="str">
        <f t="shared" si="228"/>
        <v/>
      </c>
      <c r="IP480" s="1456" t="str">
        <f t="shared" si="229"/>
        <v/>
      </c>
      <c r="IQ480" s="1456" t="str">
        <f t="shared" si="230"/>
        <v/>
      </c>
      <c r="IR480" s="1456" t="str">
        <f t="shared" si="231"/>
        <v/>
      </c>
      <c r="IS480" s="1456" t="str">
        <f t="shared" si="232"/>
        <v/>
      </c>
      <c r="IT480" s="1456" t="str">
        <f t="shared" si="233"/>
        <v/>
      </c>
      <c r="IU480" s="1456" t="str">
        <f t="shared" si="234"/>
        <v/>
      </c>
      <c r="IV480" s="1456" t="str">
        <f t="shared" si="235"/>
        <v/>
      </c>
      <c r="IW480" s="1456" t="str">
        <f t="shared" si="236"/>
        <v/>
      </c>
      <c r="IX480" s="1456" t="str">
        <f t="shared" si="237"/>
        <v/>
      </c>
      <c r="IY480" s="1456" t="str">
        <f t="shared" si="238"/>
        <v/>
      </c>
      <c r="IZ480" s="1456" t="str">
        <f t="shared" si="239"/>
        <v/>
      </c>
      <c r="JA480" s="1456" t="str">
        <f t="shared" si="240"/>
        <v/>
      </c>
      <c r="JB480" s="1456" t="str">
        <f t="shared" si="241"/>
        <v/>
      </c>
      <c r="JC480" s="1456" t="str">
        <f t="shared" si="242"/>
        <v/>
      </c>
      <c r="JD480" s="1456" t="str">
        <f t="shared" si="243"/>
        <v/>
      </c>
      <c r="JE480" s="1456" t="str">
        <f t="shared" si="244"/>
        <v/>
      </c>
      <c r="JF480" s="1456" t="str">
        <f t="shared" si="245"/>
        <v/>
      </c>
      <c r="JG480" s="1456" t="str">
        <f t="shared" si="246"/>
        <v/>
      </c>
      <c r="JH480" s="1456" t="str">
        <f t="shared" si="247"/>
        <v/>
      </c>
      <c r="JI480" s="1456" t="str">
        <f t="shared" si="248"/>
        <v/>
      </c>
      <c r="JJ480" s="1456" t="str">
        <f t="shared" si="249"/>
        <v/>
      </c>
      <c r="JK480" s="1456" t="str">
        <f t="shared" si="250"/>
        <v/>
      </c>
      <c r="JL480" s="1456" t="str">
        <f t="shared" si="251"/>
        <v/>
      </c>
      <c r="JM480" s="1456" t="str">
        <f t="shared" si="252"/>
        <v/>
      </c>
      <c r="JN480" s="1456" t="str">
        <f t="shared" si="253"/>
        <v/>
      </c>
      <c r="JO480" s="1456" t="str">
        <f t="shared" si="254"/>
        <v/>
      </c>
      <c r="JP480" s="1456" t="str">
        <f t="shared" si="255"/>
        <v/>
      </c>
      <c r="JQ480" s="1456" t="str">
        <f t="shared" si="256"/>
        <v/>
      </c>
      <c r="JR480" s="1456" t="str">
        <f t="shared" si="257"/>
        <v/>
      </c>
      <c r="JS480" s="1456" t="str">
        <f t="shared" si="258"/>
        <v/>
      </c>
      <c r="JT480" s="1456" t="str">
        <f t="shared" si="259"/>
        <v/>
      </c>
      <c r="JU480" s="1456" t="str">
        <f t="shared" si="260"/>
        <v/>
      </c>
      <c r="JV480" s="1456" t="str">
        <f t="shared" si="261"/>
        <v/>
      </c>
      <c r="JW480" s="1456" t="str">
        <f t="shared" si="262"/>
        <v/>
      </c>
      <c r="JX480" s="1456" t="str">
        <f t="shared" si="263"/>
        <v/>
      </c>
      <c r="JY480" s="1456" t="str">
        <f t="shared" si="264"/>
        <v/>
      </c>
      <c r="JZ480" s="1456" t="str">
        <f t="shared" si="265"/>
        <v/>
      </c>
      <c r="KA480" s="1456" t="str">
        <f t="shared" si="266"/>
        <v/>
      </c>
      <c r="KB480" s="1456" t="str">
        <f t="shared" si="267"/>
        <v/>
      </c>
      <c r="KC480" s="1456" t="str">
        <f t="shared" si="268"/>
        <v/>
      </c>
      <c r="KD480" s="1456" t="str">
        <f t="shared" si="269"/>
        <v/>
      </c>
      <c r="KE480" s="1456" t="str">
        <f t="shared" si="270"/>
        <v/>
      </c>
      <c r="KF480" s="1456" t="str">
        <f t="shared" si="271"/>
        <v/>
      </c>
      <c r="KG480" s="1456" t="str">
        <f t="shared" si="272"/>
        <v/>
      </c>
      <c r="KH480" s="1456" t="str">
        <f t="shared" si="273"/>
        <v/>
      </c>
      <c r="KI480" s="1456" t="str">
        <f t="shared" si="274"/>
        <v/>
      </c>
      <c r="KJ480" s="1456" t="str">
        <f t="shared" si="275"/>
        <v/>
      </c>
      <c r="KK480" s="1456" t="str">
        <f t="shared" si="276"/>
        <v/>
      </c>
      <c r="KL480" s="1456" t="str">
        <f t="shared" si="277"/>
        <v/>
      </c>
      <c r="KM480" s="1456" t="str">
        <f t="shared" si="278"/>
        <v/>
      </c>
      <c r="KN480" s="1456" t="str">
        <f t="shared" si="279"/>
        <v/>
      </c>
      <c r="KO480" s="1456" t="str">
        <f t="shared" si="280"/>
        <v/>
      </c>
      <c r="KP480" s="1456" t="str">
        <f t="shared" si="281"/>
        <v/>
      </c>
      <c r="KQ480" s="1456" t="str">
        <f t="shared" si="282"/>
        <v/>
      </c>
      <c r="KR480" s="1456" t="str">
        <f t="shared" si="283"/>
        <v/>
      </c>
      <c r="KS480" s="1456" t="str">
        <f t="shared" si="284"/>
        <v/>
      </c>
      <c r="KT480" s="1456" t="str">
        <f t="shared" si="285"/>
        <v/>
      </c>
      <c r="KU480" s="1456" t="str">
        <f t="shared" si="286"/>
        <v/>
      </c>
      <c r="KV480" s="1456" t="str">
        <f t="shared" si="287"/>
        <v/>
      </c>
      <c r="KW480" s="1456" t="str">
        <f t="shared" si="288"/>
        <v/>
      </c>
      <c r="KX480" s="1456" t="str">
        <f t="shared" si="289"/>
        <v/>
      </c>
      <c r="KY480" s="1456" t="str">
        <f t="shared" si="290"/>
        <v/>
      </c>
      <c r="KZ480" s="1456" t="str">
        <f t="shared" si="291"/>
        <v/>
      </c>
      <c r="LA480" s="1456" t="str">
        <f t="shared" si="292"/>
        <v/>
      </c>
      <c r="LB480" s="1456" t="str">
        <f t="shared" si="293"/>
        <v/>
      </c>
      <c r="LC480" s="1456" t="str">
        <f t="shared" si="294"/>
        <v/>
      </c>
      <c r="LD480" s="1456" t="str">
        <f t="shared" si="295"/>
        <v/>
      </c>
      <c r="LE480" s="1456" t="str">
        <f t="shared" si="296"/>
        <v/>
      </c>
      <c r="LF480" s="1456" t="str">
        <f t="shared" si="297"/>
        <v/>
      </c>
      <c r="LG480" s="1446" t="str">
        <f t="shared" si="298"/>
        <v/>
      </c>
      <c r="LH480" s="1446" t="str">
        <f t="shared" si="299"/>
        <v/>
      </c>
      <c r="LI480" s="1446" t="str">
        <f t="shared" si="300"/>
        <v/>
      </c>
      <c r="LJ480" s="1446" t="str">
        <f t="shared" si="301"/>
        <v/>
      </c>
      <c r="LK480" s="1446"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318">
        <f t="shared" si="323"/>
        <v>0</v>
      </c>
      <c r="MG480" s="1318">
        <f t="shared" si="324"/>
        <v>0</v>
      </c>
      <c r="MH480" s="1318">
        <f t="shared" si="325"/>
        <v>0</v>
      </c>
      <c r="MI480" s="1318">
        <f t="shared" si="326"/>
        <v>0</v>
      </c>
      <c r="MJ480" s="1318">
        <f t="shared" si="327"/>
        <v>0</v>
      </c>
      <c r="MK480" s="1318">
        <f t="shared" si="333"/>
        <v>0</v>
      </c>
      <c r="ML480" s="1318">
        <f t="shared" si="334"/>
        <v>0</v>
      </c>
      <c r="MM480" s="1318">
        <f t="shared" si="335"/>
        <v>0</v>
      </c>
      <c r="MN480" s="1318">
        <f t="shared" si="336"/>
        <v>0</v>
      </c>
      <c r="MO480" s="1318">
        <f t="shared" si="337"/>
        <v>0</v>
      </c>
      <c r="MP480" s="1318">
        <f t="shared" si="328"/>
        <v>0</v>
      </c>
      <c r="MQ480" s="1318">
        <f t="shared" si="329"/>
        <v>0</v>
      </c>
      <c r="MR480" s="1318">
        <f t="shared" si="330"/>
        <v>0</v>
      </c>
      <c r="MS480" s="1318">
        <f t="shared" si="331"/>
        <v>0</v>
      </c>
      <c r="MT480" s="1318">
        <f t="shared" si="332"/>
        <v>0</v>
      </c>
      <c r="NP480" s="251" t="s">
        <v>1183</v>
      </c>
    </row>
    <row r="481" spans="1:380" ht="13.9" customHeight="1">
      <c r="A481" s="2246" t="str">
        <f t="shared" si="0"/>
        <v/>
      </c>
      <c r="B481" s="2265">
        <f>'Part V-Revenues &amp; Expenses'!B43</f>
        <v>0</v>
      </c>
      <c r="C481" s="2266">
        <f>'Part V-Revenues &amp; Expenses'!C43</f>
        <v>0</v>
      </c>
      <c r="D481" s="2267">
        <f>'Part V-Revenues &amp; Expenses'!D43</f>
        <v>0</v>
      </c>
      <c r="E481" s="2268">
        <f>'Part V-Revenues &amp; Expenses'!E43</f>
        <v>0</v>
      </c>
      <c r="F481" s="2268">
        <f>'Part V-Revenues &amp; Expenses'!F43</f>
        <v>0</v>
      </c>
      <c r="G481" s="2268">
        <f>'Part V-Revenues &amp; Expenses'!G43</f>
        <v>0</v>
      </c>
      <c r="H481" s="2268">
        <f>'Part V-Revenues &amp; Expenses'!H43</f>
        <v>0</v>
      </c>
      <c r="I481" s="2268">
        <f>'Part V-Revenues &amp; Expenses'!I43</f>
        <v>0</v>
      </c>
      <c r="J481" s="2268">
        <f>'Part V-Revenues &amp; Expenses'!J43</f>
        <v>0</v>
      </c>
      <c r="K481" s="2269">
        <f>'Part V-Revenues &amp; Expenses'!K43</f>
        <v>0</v>
      </c>
      <c r="L481" s="2270">
        <f t="shared" si="1"/>
        <v>0</v>
      </c>
      <c r="M481" s="2270">
        <f t="shared" si="2"/>
        <v>0</v>
      </c>
      <c r="N481" s="2139">
        <f>'Part V-Revenues &amp; Expenses'!N43</f>
        <v>0</v>
      </c>
      <c r="O481" s="963">
        <f>'Part V-Revenues &amp; Expenses'!O43</f>
        <v>0</v>
      </c>
      <c r="P481" s="2139">
        <f>'Part V-Revenues &amp; Expenses'!P43</f>
        <v>0</v>
      </c>
      <c r="Q481" s="1455">
        <f>'Part V-Revenues &amp; Expenses'!Q43</f>
        <v>0</v>
      </c>
      <c r="R481" s="2271"/>
      <c r="S481" s="2272"/>
      <c r="T481" s="2273"/>
      <c r="U481" s="2273"/>
      <c r="V481" s="2273"/>
      <c r="W481" s="2273"/>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456" t="str">
        <f t="shared" si="213"/>
        <v/>
      </c>
      <c r="IA481" s="1456" t="str">
        <f t="shared" si="214"/>
        <v/>
      </c>
      <c r="IB481" s="1456" t="str">
        <f t="shared" si="215"/>
        <v/>
      </c>
      <c r="IC481" s="1456" t="str">
        <f t="shared" si="216"/>
        <v/>
      </c>
      <c r="ID481" s="1456" t="str">
        <f t="shared" si="217"/>
        <v/>
      </c>
      <c r="IE481" s="1456" t="str">
        <f t="shared" si="218"/>
        <v/>
      </c>
      <c r="IF481" s="1456" t="str">
        <f t="shared" si="219"/>
        <v/>
      </c>
      <c r="IG481" s="1456" t="str">
        <f t="shared" si="220"/>
        <v/>
      </c>
      <c r="IH481" s="1456" t="str">
        <f t="shared" si="221"/>
        <v/>
      </c>
      <c r="II481" s="1456" t="str">
        <f t="shared" si="222"/>
        <v/>
      </c>
      <c r="IJ481" s="1456" t="str">
        <f t="shared" si="223"/>
        <v/>
      </c>
      <c r="IK481" s="1456" t="str">
        <f t="shared" si="224"/>
        <v/>
      </c>
      <c r="IL481" s="1456" t="str">
        <f t="shared" si="225"/>
        <v/>
      </c>
      <c r="IM481" s="1456" t="str">
        <f t="shared" si="226"/>
        <v/>
      </c>
      <c r="IN481" s="1456" t="str">
        <f t="shared" si="227"/>
        <v/>
      </c>
      <c r="IO481" s="1456" t="str">
        <f t="shared" si="228"/>
        <v/>
      </c>
      <c r="IP481" s="1456" t="str">
        <f t="shared" si="229"/>
        <v/>
      </c>
      <c r="IQ481" s="1456" t="str">
        <f t="shared" si="230"/>
        <v/>
      </c>
      <c r="IR481" s="1456" t="str">
        <f t="shared" si="231"/>
        <v/>
      </c>
      <c r="IS481" s="1456" t="str">
        <f t="shared" si="232"/>
        <v/>
      </c>
      <c r="IT481" s="1456" t="str">
        <f t="shared" si="233"/>
        <v/>
      </c>
      <c r="IU481" s="1456" t="str">
        <f t="shared" si="234"/>
        <v/>
      </c>
      <c r="IV481" s="1456" t="str">
        <f t="shared" si="235"/>
        <v/>
      </c>
      <c r="IW481" s="1456" t="str">
        <f t="shared" si="236"/>
        <v/>
      </c>
      <c r="IX481" s="1456" t="str">
        <f t="shared" si="237"/>
        <v/>
      </c>
      <c r="IY481" s="1456" t="str">
        <f t="shared" si="238"/>
        <v/>
      </c>
      <c r="IZ481" s="1456" t="str">
        <f t="shared" si="239"/>
        <v/>
      </c>
      <c r="JA481" s="1456" t="str">
        <f t="shared" si="240"/>
        <v/>
      </c>
      <c r="JB481" s="1456" t="str">
        <f t="shared" si="241"/>
        <v/>
      </c>
      <c r="JC481" s="1456" t="str">
        <f t="shared" si="242"/>
        <v/>
      </c>
      <c r="JD481" s="1456" t="str">
        <f t="shared" si="243"/>
        <v/>
      </c>
      <c r="JE481" s="1456" t="str">
        <f t="shared" si="244"/>
        <v/>
      </c>
      <c r="JF481" s="1456" t="str">
        <f t="shared" si="245"/>
        <v/>
      </c>
      <c r="JG481" s="1456" t="str">
        <f t="shared" si="246"/>
        <v/>
      </c>
      <c r="JH481" s="1456" t="str">
        <f t="shared" si="247"/>
        <v/>
      </c>
      <c r="JI481" s="1456" t="str">
        <f t="shared" si="248"/>
        <v/>
      </c>
      <c r="JJ481" s="1456" t="str">
        <f t="shared" si="249"/>
        <v/>
      </c>
      <c r="JK481" s="1456" t="str">
        <f t="shared" si="250"/>
        <v/>
      </c>
      <c r="JL481" s="1456" t="str">
        <f t="shared" si="251"/>
        <v/>
      </c>
      <c r="JM481" s="1456" t="str">
        <f t="shared" si="252"/>
        <v/>
      </c>
      <c r="JN481" s="1456" t="str">
        <f t="shared" si="253"/>
        <v/>
      </c>
      <c r="JO481" s="1456" t="str">
        <f t="shared" si="254"/>
        <v/>
      </c>
      <c r="JP481" s="1456" t="str">
        <f t="shared" si="255"/>
        <v/>
      </c>
      <c r="JQ481" s="1456" t="str">
        <f t="shared" si="256"/>
        <v/>
      </c>
      <c r="JR481" s="1456" t="str">
        <f t="shared" si="257"/>
        <v/>
      </c>
      <c r="JS481" s="1456" t="str">
        <f t="shared" si="258"/>
        <v/>
      </c>
      <c r="JT481" s="1456" t="str">
        <f t="shared" si="259"/>
        <v/>
      </c>
      <c r="JU481" s="1456" t="str">
        <f t="shared" si="260"/>
        <v/>
      </c>
      <c r="JV481" s="1456" t="str">
        <f t="shared" si="261"/>
        <v/>
      </c>
      <c r="JW481" s="1456" t="str">
        <f t="shared" si="262"/>
        <v/>
      </c>
      <c r="JX481" s="1456" t="str">
        <f t="shared" si="263"/>
        <v/>
      </c>
      <c r="JY481" s="1456" t="str">
        <f t="shared" si="264"/>
        <v/>
      </c>
      <c r="JZ481" s="1456" t="str">
        <f t="shared" si="265"/>
        <v/>
      </c>
      <c r="KA481" s="1456" t="str">
        <f t="shared" si="266"/>
        <v/>
      </c>
      <c r="KB481" s="1456" t="str">
        <f t="shared" si="267"/>
        <v/>
      </c>
      <c r="KC481" s="1456" t="str">
        <f t="shared" si="268"/>
        <v/>
      </c>
      <c r="KD481" s="1456" t="str">
        <f t="shared" si="269"/>
        <v/>
      </c>
      <c r="KE481" s="1456" t="str">
        <f t="shared" si="270"/>
        <v/>
      </c>
      <c r="KF481" s="1456" t="str">
        <f t="shared" si="271"/>
        <v/>
      </c>
      <c r="KG481" s="1456" t="str">
        <f t="shared" si="272"/>
        <v/>
      </c>
      <c r="KH481" s="1456" t="str">
        <f t="shared" si="273"/>
        <v/>
      </c>
      <c r="KI481" s="1456" t="str">
        <f t="shared" si="274"/>
        <v/>
      </c>
      <c r="KJ481" s="1456" t="str">
        <f t="shared" si="275"/>
        <v/>
      </c>
      <c r="KK481" s="1456" t="str">
        <f t="shared" si="276"/>
        <v/>
      </c>
      <c r="KL481" s="1456" t="str">
        <f t="shared" si="277"/>
        <v/>
      </c>
      <c r="KM481" s="1456" t="str">
        <f t="shared" si="278"/>
        <v/>
      </c>
      <c r="KN481" s="1456" t="str">
        <f t="shared" si="279"/>
        <v/>
      </c>
      <c r="KO481" s="1456" t="str">
        <f t="shared" si="280"/>
        <v/>
      </c>
      <c r="KP481" s="1456" t="str">
        <f t="shared" si="281"/>
        <v/>
      </c>
      <c r="KQ481" s="1456" t="str">
        <f t="shared" si="282"/>
        <v/>
      </c>
      <c r="KR481" s="1456" t="str">
        <f t="shared" si="283"/>
        <v/>
      </c>
      <c r="KS481" s="1456" t="str">
        <f t="shared" si="284"/>
        <v/>
      </c>
      <c r="KT481" s="1456" t="str">
        <f t="shared" si="285"/>
        <v/>
      </c>
      <c r="KU481" s="1456" t="str">
        <f t="shared" si="286"/>
        <v/>
      </c>
      <c r="KV481" s="1456" t="str">
        <f t="shared" si="287"/>
        <v/>
      </c>
      <c r="KW481" s="1456" t="str">
        <f t="shared" si="288"/>
        <v/>
      </c>
      <c r="KX481" s="1456" t="str">
        <f t="shared" si="289"/>
        <v/>
      </c>
      <c r="KY481" s="1456" t="str">
        <f t="shared" si="290"/>
        <v/>
      </c>
      <c r="KZ481" s="1456" t="str">
        <f t="shared" si="291"/>
        <v/>
      </c>
      <c r="LA481" s="1456" t="str">
        <f t="shared" si="292"/>
        <v/>
      </c>
      <c r="LB481" s="1456" t="str">
        <f t="shared" si="293"/>
        <v/>
      </c>
      <c r="LC481" s="1456" t="str">
        <f t="shared" si="294"/>
        <v/>
      </c>
      <c r="LD481" s="1456" t="str">
        <f t="shared" si="295"/>
        <v/>
      </c>
      <c r="LE481" s="1456" t="str">
        <f t="shared" si="296"/>
        <v/>
      </c>
      <c r="LF481" s="1456" t="str">
        <f t="shared" si="297"/>
        <v/>
      </c>
      <c r="LG481" s="1446" t="str">
        <f t="shared" si="298"/>
        <v/>
      </c>
      <c r="LH481" s="1446" t="str">
        <f t="shared" si="299"/>
        <v/>
      </c>
      <c r="LI481" s="1446" t="str">
        <f t="shared" si="300"/>
        <v/>
      </c>
      <c r="LJ481" s="1446" t="str">
        <f t="shared" si="301"/>
        <v/>
      </c>
      <c r="LK481" s="1446"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318">
        <f t="shared" si="323"/>
        <v>0</v>
      </c>
      <c r="MG481" s="1318">
        <f t="shared" si="324"/>
        <v>0</v>
      </c>
      <c r="MH481" s="1318">
        <f t="shared" si="325"/>
        <v>0</v>
      </c>
      <c r="MI481" s="1318">
        <f t="shared" si="326"/>
        <v>0</v>
      </c>
      <c r="MJ481" s="1318">
        <f t="shared" si="327"/>
        <v>0</v>
      </c>
      <c r="MK481" s="1318">
        <f t="shared" si="333"/>
        <v>0</v>
      </c>
      <c r="ML481" s="1318">
        <f t="shared" si="334"/>
        <v>0</v>
      </c>
      <c r="MM481" s="1318">
        <f t="shared" si="335"/>
        <v>0</v>
      </c>
      <c r="MN481" s="1318">
        <f t="shared" si="336"/>
        <v>0</v>
      </c>
      <c r="MO481" s="1318">
        <f t="shared" si="337"/>
        <v>0</v>
      </c>
      <c r="MP481" s="1318">
        <f t="shared" si="328"/>
        <v>0</v>
      </c>
      <c r="MQ481" s="1318">
        <f t="shared" si="329"/>
        <v>0</v>
      </c>
      <c r="MR481" s="1318">
        <f t="shared" si="330"/>
        <v>0</v>
      </c>
      <c r="MS481" s="1318">
        <f t="shared" si="331"/>
        <v>0</v>
      </c>
      <c r="MT481" s="1318">
        <f t="shared" si="332"/>
        <v>0</v>
      </c>
      <c r="NP481" s="251" t="s">
        <v>1184</v>
      </c>
    </row>
    <row r="482" spans="1:380" ht="13.9" customHeight="1">
      <c r="A482" s="2246" t="str">
        <f t="shared" si="0"/>
        <v/>
      </c>
      <c r="B482" s="2265">
        <f>'Part V-Revenues &amp; Expenses'!B44</f>
        <v>0</v>
      </c>
      <c r="C482" s="2266">
        <f>'Part V-Revenues &amp; Expenses'!C44</f>
        <v>0</v>
      </c>
      <c r="D482" s="2267">
        <f>'Part V-Revenues &amp; Expenses'!D44</f>
        <v>0</v>
      </c>
      <c r="E482" s="2268">
        <f>'Part V-Revenues &amp; Expenses'!E44</f>
        <v>0</v>
      </c>
      <c r="F482" s="2268">
        <f>'Part V-Revenues &amp; Expenses'!F44</f>
        <v>0</v>
      </c>
      <c r="G482" s="2268">
        <f>'Part V-Revenues &amp; Expenses'!G44</f>
        <v>0</v>
      </c>
      <c r="H482" s="2268">
        <f>'Part V-Revenues &amp; Expenses'!H44</f>
        <v>0</v>
      </c>
      <c r="I482" s="2268">
        <f>'Part V-Revenues &amp; Expenses'!I44</f>
        <v>0</v>
      </c>
      <c r="J482" s="2268">
        <f>'Part V-Revenues &amp; Expenses'!J44</f>
        <v>0</v>
      </c>
      <c r="K482" s="2269">
        <f>'Part V-Revenues &amp; Expenses'!K44</f>
        <v>0</v>
      </c>
      <c r="L482" s="2270">
        <f t="shared" si="1"/>
        <v>0</v>
      </c>
      <c r="M482" s="2270">
        <f t="shared" si="2"/>
        <v>0</v>
      </c>
      <c r="N482" s="2139">
        <f>'Part V-Revenues &amp; Expenses'!N44</f>
        <v>0</v>
      </c>
      <c r="O482" s="963">
        <f>'Part V-Revenues &amp; Expenses'!O44</f>
        <v>0</v>
      </c>
      <c r="P482" s="2139">
        <f>'Part V-Revenues &amp; Expenses'!P44</f>
        <v>0</v>
      </c>
      <c r="Q482" s="1455">
        <f>'Part V-Revenues &amp; Expenses'!Q44</f>
        <v>0</v>
      </c>
      <c r="R482" s="2271"/>
      <c r="S482" s="2272"/>
      <c r="T482" s="2273"/>
      <c r="U482" s="2273"/>
      <c r="V482" s="2273"/>
      <c r="W482" s="2273"/>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456" t="str">
        <f t="shared" si="213"/>
        <v/>
      </c>
      <c r="IA482" s="1456" t="str">
        <f t="shared" si="214"/>
        <v/>
      </c>
      <c r="IB482" s="1456" t="str">
        <f t="shared" si="215"/>
        <v/>
      </c>
      <c r="IC482" s="1456" t="str">
        <f t="shared" si="216"/>
        <v/>
      </c>
      <c r="ID482" s="1456" t="str">
        <f t="shared" si="217"/>
        <v/>
      </c>
      <c r="IE482" s="1456" t="str">
        <f t="shared" si="218"/>
        <v/>
      </c>
      <c r="IF482" s="1456" t="str">
        <f t="shared" si="219"/>
        <v/>
      </c>
      <c r="IG482" s="1456" t="str">
        <f t="shared" si="220"/>
        <v/>
      </c>
      <c r="IH482" s="1456" t="str">
        <f t="shared" si="221"/>
        <v/>
      </c>
      <c r="II482" s="1456" t="str">
        <f t="shared" si="222"/>
        <v/>
      </c>
      <c r="IJ482" s="1456" t="str">
        <f t="shared" si="223"/>
        <v/>
      </c>
      <c r="IK482" s="1456" t="str">
        <f t="shared" si="224"/>
        <v/>
      </c>
      <c r="IL482" s="1456" t="str">
        <f t="shared" si="225"/>
        <v/>
      </c>
      <c r="IM482" s="1456" t="str">
        <f t="shared" si="226"/>
        <v/>
      </c>
      <c r="IN482" s="1456" t="str">
        <f t="shared" si="227"/>
        <v/>
      </c>
      <c r="IO482" s="1456" t="str">
        <f t="shared" si="228"/>
        <v/>
      </c>
      <c r="IP482" s="1456" t="str">
        <f t="shared" si="229"/>
        <v/>
      </c>
      <c r="IQ482" s="1456" t="str">
        <f t="shared" si="230"/>
        <v/>
      </c>
      <c r="IR482" s="1456" t="str">
        <f t="shared" si="231"/>
        <v/>
      </c>
      <c r="IS482" s="1456" t="str">
        <f t="shared" si="232"/>
        <v/>
      </c>
      <c r="IT482" s="1456" t="str">
        <f t="shared" si="233"/>
        <v/>
      </c>
      <c r="IU482" s="1456" t="str">
        <f t="shared" si="234"/>
        <v/>
      </c>
      <c r="IV482" s="1456" t="str">
        <f t="shared" si="235"/>
        <v/>
      </c>
      <c r="IW482" s="1456" t="str">
        <f t="shared" si="236"/>
        <v/>
      </c>
      <c r="IX482" s="1456" t="str">
        <f t="shared" si="237"/>
        <v/>
      </c>
      <c r="IY482" s="1456" t="str">
        <f t="shared" si="238"/>
        <v/>
      </c>
      <c r="IZ482" s="1456" t="str">
        <f t="shared" si="239"/>
        <v/>
      </c>
      <c r="JA482" s="1456" t="str">
        <f t="shared" si="240"/>
        <v/>
      </c>
      <c r="JB482" s="1456" t="str">
        <f t="shared" si="241"/>
        <v/>
      </c>
      <c r="JC482" s="1456" t="str">
        <f t="shared" si="242"/>
        <v/>
      </c>
      <c r="JD482" s="1456" t="str">
        <f t="shared" si="243"/>
        <v/>
      </c>
      <c r="JE482" s="1456" t="str">
        <f t="shared" si="244"/>
        <v/>
      </c>
      <c r="JF482" s="1456" t="str">
        <f t="shared" si="245"/>
        <v/>
      </c>
      <c r="JG482" s="1456" t="str">
        <f t="shared" si="246"/>
        <v/>
      </c>
      <c r="JH482" s="1456" t="str">
        <f t="shared" si="247"/>
        <v/>
      </c>
      <c r="JI482" s="1456" t="str">
        <f t="shared" si="248"/>
        <v/>
      </c>
      <c r="JJ482" s="1456" t="str">
        <f t="shared" si="249"/>
        <v/>
      </c>
      <c r="JK482" s="1456" t="str">
        <f t="shared" si="250"/>
        <v/>
      </c>
      <c r="JL482" s="1456" t="str">
        <f t="shared" si="251"/>
        <v/>
      </c>
      <c r="JM482" s="1456" t="str">
        <f t="shared" si="252"/>
        <v/>
      </c>
      <c r="JN482" s="1456" t="str">
        <f t="shared" si="253"/>
        <v/>
      </c>
      <c r="JO482" s="1456" t="str">
        <f t="shared" si="254"/>
        <v/>
      </c>
      <c r="JP482" s="1456" t="str">
        <f t="shared" si="255"/>
        <v/>
      </c>
      <c r="JQ482" s="1456" t="str">
        <f t="shared" si="256"/>
        <v/>
      </c>
      <c r="JR482" s="1456" t="str">
        <f t="shared" si="257"/>
        <v/>
      </c>
      <c r="JS482" s="1456" t="str">
        <f t="shared" si="258"/>
        <v/>
      </c>
      <c r="JT482" s="1456" t="str">
        <f t="shared" si="259"/>
        <v/>
      </c>
      <c r="JU482" s="1456" t="str">
        <f t="shared" si="260"/>
        <v/>
      </c>
      <c r="JV482" s="1456" t="str">
        <f t="shared" si="261"/>
        <v/>
      </c>
      <c r="JW482" s="1456" t="str">
        <f t="shared" si="262"/>
        <v/>
      </c>
      <c r="JX482" s="1456" t="str">
        <f t="shared" si="263"/>
        <v/>
      </c>
      <c r="JY482" s="1456" t="str">
        <f t="shared" si="264"/>
        <v/>
      </c>
      <c r="JZ482" s="1456" t="str">
        <f t="shared" si="265"/>
        <v/>
      </c>
      <c r="KA482" s="1456" t="str">
        <f t="shared" si="266"/>
        <v/>
      </c>
      <c r="KB482" s="1456" t="str">
        <f t="shared" si="267"/>
        <v/>
      </c>
      <c r="KC482" s="1456" t="str">
        <f t="shared" si="268"/>
        <v/>
      </c>
      <c r="KD482" s="1456" t="str">
        <f t="shared" si="269"/>
        <v/>
      </c>
      <c r="KE482" s="1456" t="str">
        <f t="shared" si="270"/>
        <v/>
      </c>
      <c r="KF482" s="1456" t="str">
        <f t="shared" si="271"/>
        <v/>
      </c>
      <c r="KG482" s="1456" t="str">
        <f t="shared" si="272"/>
        <v/>
      </c>
      <c r="KH482" s="1456" t="str">
        <f t="shared" si="273"/>
        <v/>
      </c>
      <c r="KI482" s="1456" t="str">
        <f t="shared" si="274"/>
        <v/>
      </c>
      <c r="KJ482" s="1456" t="str">
        <f t="shared" si="275"/>
        <v/>
      </c>
      <c r="KK482" s="1456" t="str">
        <f t="shared" si="276"/>
        <v/>
      </c>
      <c r="KL482" s="1456" t="str">
        <f t="shared" si="277"/>
        <v/>
      </c>
      <c r="KM482" s="1456" t="str">
        <f t="shared" si="278"/>
        <v/>
      </c>
      <c r="KN482" s="1456" t="str">
        <f t="shared" si="279"/>
        <v/>
      </c>
      <c r="KO482" s="1456" t="str">
        <f t="shared" si="280"/>
        <v/>
      </c>
      <c r="KP482" s="1456" t="str">
        <f t="shared" si="281"/>
        <v/>
      </c>
      <c r="KQ482" s="1456" t="str">
        <f t="shared" si="282"/>
        <v/>
      </c>
      <c r="KR482" s="1456" t="str">
        <f t="shared" si="283"/>
        <v/>
      </c>
      <c r="KS482" s="1456" t="str">
        <f t="shared" si="284"/>
        <v/>
      </c>
      <c r="KT482" s="1456" t="str">
        <f t="shared" si="285"/>
        <v/>
      </c>
      <c r="KU482" s="1456" t="str">
        <f t="shared" si="286"/>
        <v/>
      </c>
      <c r="KV482" s="1456" t="str">
        <f t="shared" si="287"/>
        <v/>
      </c>
      <c r="KW482" s="1456" t="str">
        <f t="shared" si="288"/>
        <v/>
      </c>
      <c r="KX482" s="1456" t="str">
        <f t="shared" si="289"/>
        <v/>
      </c>
      <c r="KY482" s="1456" t="str">
        <f t="shared" si="290"/>
        <v/>
      </c>
      <c r="KZ482" s="1456" t="str">
        <f t="shared" si="291"/>
        <v/>
      </c>
      <c r="LA482" s="1456" t="str">
        <f t="shared" si="292"/>
        <v/>
      </c>
      <c r="LB482" s="1456" t="str">
        <f t="shared" si="293"/>
        <v/>
      </c>
      <c r="LC482" s="1456" t="str">
        <f t="shared" si="294"/>
        <v/>
      </c>
      <c r="LD482" s="1456" t="str">
        <f t="shared" si="295"/>
        <v/>
      </c>
      <c r="LE482" s="1456" t="str">
        <f t="shared" si="296"/>
        <v/>
      </c>
      <c r="LF482" s="1456" t="str">
        <f t="shared" si="297"/>
        <v/>
      </c>
      <c r="LG482" s="1446" t="str">
        <f t="shared" si="298"/>
        <v/>
      </c>
      <c r="LH482" s="1446" t="str">
        <f t="shared" si="299"/>
        <v/>
      </c>
      <c r="LI482" s="1446" t="str">
        <f t="shared" si="300"/>
        <v/>
      </c>
      <c r="LJ482" s="1446" t="str">
        <f t="shared" si="301"/>
        <v/>
      </c>
      <c r="LK482" s="1446"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318">
        <f t="shared" si="323"/>
        <v>0</v>
      </c>
      <c r="MG482" s="1318">
        <f t="shared" si="324"/>
        <v>0</v>
      </c>
      <c r="MH482" s="1318">
        <f t="shared" si="325"/>
        <v>0</v>
      </c>
      <c r="MI482" s="1318">
        <f t="shared" si="326"/>
        <v>0</v>
      </c>
      <c r="MJ482" s="1318">
        <f t="shared" si="327"/>
        <v>0</v>
      </c>
      <c r="MK482" s="1318">
        <f t="shared" si="333"/>
        <v>0</v>
      </c>
      <c r="ML482" s="1318">
        <f t="shared" si="334"/>
        <v>0</v>
      </c>
      <c r="MM482" s="1318">
        <f t="shared" si="335"/>
        <v>0</v>
      </c>
      <c r="MN482" s="1318">
        <f t="shared" si="336"/>
        <v>0</v>
      </c>
      <c r="MO482" s="1318">
        <f t="shared" si="337"/>
        <v>0</v>
      </c>
      <c r="MP482" s="1318">
        <f t="shared" si="328"/>
        <v>0</v>
      </c>
      <c r="MQ482" s="1318">
        <f t="shared" si="329"/>
        <v>0</v>
      </c>
      <c r="MR482" s="1318">
        <f t="shared" si="330"/>
        <v>0</v>
      </c>
      <c r="MS482" s="1318">
        <f t="shared" si="331"/>
        <v>0</v>
      </c>
      <c r="MT482" s="1318">
        <f t="shared" si="332"/>
        <v>0</v>
      </c>
      <c r="NP482" s="251" t="s">
        <v>1185</v>
      </c>
    </row>
    <row r="483" spans="1:380" ht="13.9" customHeight="1">
      <c r="A483" s="2246" t="str">
        <f t="shared" si="0"/>
        <v/>
      </c>
      <c r="B483" s="2265">
        <f>'Part V-Revenues &amp; Expenses'!B45</f>
        <v>0</v>
      </c>
      <c r="C483" s="2266">
        <f>'Part V-Revenues &amp; Expenses'!C45</f>
        <v>0</v>
      </c>
      <c r="D483" s="2267">
        <f>'Part V-Revenues &amp; Expenses'!D45</f>
        <v>0</v>
      </c>
      <c r="E483" s="2268">
        <f>'Part V-Revenues &amp; Expenses'!E45</f>
        <v>0</v>
      </c>
      <c r="F483" s="2268">
        <f>'Part V-Revenues &amp; Expenses'!F45</f>
        <v>0</v>
      </c>
      <c r="G483" s="2268">
        <f>'Part V-Revenues &amp; Expenses'!G45</f>
        <v>0</v>
      </c>
      <c r="H483" s="2268">
        <f>'Part V-Revenues &amp; Expenses'!H45</f>
        <v>0</v>
      </c>
      <c r="I483" s="2268">
        <f>'Part V-Revenues &amp; Expenses'!I45</f>
        <v>0</v>
      </c>
      <c r="J483" s="2268">
        <f>'Part V-Revenues &amp; Expenses'!J45</f>
        <v>0</v>
      </c>
      <c r="K483" s="2269">
        <f>'Part V-Revenues &amp; Expenses'!K45</f>
        <v>0</v>
      </c>
      <c r="L483" s="2270">
        <f t="shared" si="1"/>
        <v>0</v>
      </c>
      <c r="M483" s="2270">
        <f t="shared" si="2"/>
        <v>0</v>
      </c>
      <c r="N483" s="2139">
        <f>'Part V-Revenues &amp; Expenses'!N45</f>
        <v>0</v>
      </c>
      <c r="O483" s="963">
        <f>'Part V-Revenues &amp; Expenses'!O45</f>
        <v>0</v>
      </c>
      <c r="P483" s="2139">
        <f>'Part V-Revenues &amp; Expenses'!P45</f>
        <v>0</v>
      </c>
      <c r="Q483" s="1455">
        <f>'Part V-Revenues &amp; Expenses'!Q45</f>
        <v>0</v>
      </c>
      <c r="R483" s="2271"/>
      <c r="S483" s="2272"/>
      <c r="T483" s="2273"/>
      <c r="U483" s="2273"/>
      <c r="V483" s="2273"/>
      <c r="W483" s="2273"/>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456" t="str">
        <f t="shared" si="213"/>
        <v/>
      </c>
      <c r="IA483" s="1456" t="str">
        <f t="shared" si="214"/>
        <v/>
      </c>
      <c r="IB483" s="1456" t="str">
        <f t="shared" si="215"/>
        <v/>
      </c>
      <c r="IC483" s="1456" t="str">
        <f t="shared" si="216"/>
        <v/>
      </c>
      <c r="ID483" s="1456" t="str">
        <f t="shared" si="217"/>
        <v/>
      </c>
      <c r="IE483" s="1456" t="str">
        <f t="shared" si="218"/>
        <v/>
      </c>
      <c r="IF483" s="1456" t="str">
        <f t="shared" si="219"/>
        <v/>
      </c>
      <c r="IG483" s="1456" t="str">
        <f t="shared" si="220"/>
        <v/>
      </c>
      <c r="IH483" s="1456" t="str">
        <f t="shared" si="221"/>
        <v/>
      </c>
      <c r="II483" s="1456" t="str">
        <f t="shared" si="222"/>
        <v/>
      </c>
      <c r="IJ483" s="1456" t="str">
        <f t="shared" si="223"/>
        <v/>
      </c>
      <c r="IK483" s="1456" t="str">
        <f t="shared" si="224"/>
        <v/>
      </c>
      <c r="IL483" s="1456" t="str">
        <f t="shared" si="225"/>
        <v/>
      </c>
      <c r="IM483" s="1456" t="str">
        <f t="shared" si="226"/>
        <v/>
      </c>
      <c r="IN483" s="1456" t="str">
        <f t="shared" si="227"/>
        <v/>
      </c>
      <c r="IO483" s="1456" t="str">
        <f t="shared" si="228"/>
        <v/>
      </c>
      <c r="IP483" s="1456" t="str">
        <f t="shared" si="229"/>
        <v/>
      </c>
      <c r="IQ483" s="1456" t="str">
        <f t="shared" si="230"/>
        <v/>
      </c>
      <c r="IR483" s="1456" t="str">
        <f t="shared" si="231"/>
        <v/>
      </c>
      <c r="IS483" s="1456" t="str">
        <f t="shared" si="232"/>
        <v/>
      </c>
      <c r="IT483" s="1456" t="str">
        <f t="shared" si="233"/>
        <v/>
      </c>
      <c r="IU483" s="1456" t="str">
        <f t="shared" si="234"/>
        <v/>
      </c>
      <c r="IV483" s="1456" t="str">
        <f t="shared" si="235"/>
        <v/>
      </c>
      <c r="IW483" s="1456" t="str">
        <f t="shared" si="236"/>
        <v/>
      </c>
      <c r="IX483" s="1456" t="str">
        <f t="shared" si="237"/>
        <v/>
      </c>
      <c r="IY483" s="1456" t="str">
        <f t="shared" si="238"/>
        <v/>
      </c>
      <c r="IZ483" s="1456" t="str">
        <f t="shared" si="239"/>
        <v/>
      </c>
      <c r="JA483" s="1456" t="str">
        <f t="shared" si="240"/>
        <v/>
      </c>
      <c r="JB483" s="1456" t="str">
        <f t="shared" si="241"/>
        <v/>
      </c>
      <c r="JC483" s="1456" t="str">
        <f t="shared" si="242"/>
        <v/>
      </c>
      <c r="JD483" s="1456" t="str">
        <f t="shared" si="243"/>
        <v/>
      </c>
      <c r="JE483" s="1456" t="str">
        <f t="shared" si="244"/>
        <v/>
      </c>
      <c r="JF483" s="1456" t="str">
        <f t="shared" si="245"/>
        <v/>
      </c>
      <c r="JG483" s="1456" t="str">
        <f t="shared" si="246"/>
        <v/>
      </c>
      <c r="JH483" s="1456" t="str">
        <f t="shared" si="247"/>
        <v/>
      </c>
      <c r="JI483" s="1456" t="str">
        <f t="shared" si="248"/>
        <v/>
      </c>
      <c r="JJ483" s="1456" t="str">
        <f t="shared" si="249"/>
        <v/>
      </c>
      <c r="JK483" s="1456" t="str">
        <f t="shared" si="250"/>
        <v/>
      </c>
      <c r="JL483" s="1456" t="str">
        <f t="shared" si="251"/>
        <v/>
      </c>
      <c r="JM483" s="1456" t="str">
        <f t="shared" si="252"/>
        <v/>
      </c>
      <c r="JN483" s="1456" t="str">
        <f t="shared" si="253"/>
        <v/>
      </c>
      <c r="JO483" s="1456" t="str">
        <f t="shared" si="254"/>
        <v/>
      </c>
      <c r="JP483" s="1456" t="str">
        <f t="shared" si="255"/>
        <v/>
      </c>
      <c r="JQ483" s="1456" t="str">
        <f t="shared" si="256"/>
        <v/>
      </c>
      <c r="JR483" s="1456" t="str">
        <f t="shared" si="257"/>
        <v/>
      </c>
      <c r="JS483" s="1456" t="str">
        <f t="shared" si="258"/>
        <v/>
      </c>
      <c r="JT483" s="1456" t="str">
        <f t="shared" si="259"/>
        <v/>
      </c>
      <c r="JU483" s="1456" t="str">
        <f t="shared" si="260"/>
        <v/>
      </c>
      <c r="JV483" s="1456" t="str">
        <f t="shared" si="261"/>
        <v/>
      </c>
      <c r="JW483" s="1456" t="str">
        <f t="shared" si="262"/>
        <v/>
      </c>
      <c r="JX483" s="1456" t="str">
        <f t="shared" si="263"/>
        <v/>
      </c>
      <c r="JY483" s="1456" t="str">
        <f t="shared" si="264"/>
        <v/>
      </c>
      <c r="JZ483" s="1456" t="str">
        <f t="shared" si="265"/>
        <v/>
      </c>
      <c r="KA483" s="1456" t="str">
        <f t="shared" si="266"/>
        <v/>
      </c>
      <c r="KB483" s="1456" t="str">
        <f t="shared" si="267"/>
        <v/>
      </c>
      <c r="KC483" s="1456" t="str">
        <f t="shared" si="268"/>
        <v/>
      </c>
      <c r="KD483" s="1456" t="str">
        <f t="shared" si="269"/>
        <v/>
      </c>
      <c r="KE483" s="1456" t="str">
        <f t="shared" si="270"/>
        <v/>
      </c>
      <c r="KF483" s="1456" t="str">
        <f t="shared" si="271"/>
        <v/>
      </c>
      <c r="KG483" s="1456" t="str">
        <f t="shared" si="272"/>
        <v/>
      </c>
      <c r="KH483" s="1456" t="str">
        <f t="shared" si="273"/>
        <v/>
      </c>
      <c r="KI483" s="1456" t="str">
        <f t="shared" si="274"/>
        <v/>
      </c>
      <c r="KJ483" s="1456" t="str">
        <f t="shared" si="275"/>
        <v/>
      </c>
      <c r="KK483" s="1456" t="str">
        <f t="shared" si="276"/>
        <v/>
      </c>
      <c r="KL483" s="1456" t="str">
        <f t="shared" si="277"/>
        <v/>
      </c>
      <c r="KM483" s="1456" t="str">
        <f t="shared" si="278"/>
        <v/>
      </c>
      <c r="KN483" s="1456" t="str">
        <f t="shared" si="279"/>
        <v/>
      </c>
      <c r="KO483" s="1456" t="str">
        <f t="shared" si="280"/>
        <v/>
      </c>
      <c r="KP483" s="1456" t="str">
        <f t="shared" si="281"/>
        <v/>
      </c>
      <c r="KQ483" s="1456" t="str">
        <f t="shared" si="282"/>
        <v/>
      </c>
      <c r="KR483" s="1456" t="str">
        <f t="shared" si="283"/>
        <v/>
      </c>
      <c r="KS483" s="1456" t="str">
        <f t="shared" si="284"/>
        <v/>
      </c>
      <c r="KT483" s="1456" t="str">
        <f t="shared" si="285"/>
        <v/>
      </c>
      <c r="KU483" s="1456" t="str">
        <f t="shared" si="286"/>
        <v/>
      </c>
      <c r="KV483" s="1456" t="str">
        <f t="shared" si="287"/>
        <v/>
      </c>
      <c r="KW483" s="1456" t="str">
        <f t="shared" si="288"/>
        <v/>
      </c>
      <c r="KX483" s="1456" t="str">
        <f t="shared" si="289"/>
        <v/>
      </c>
      <c r="KY483" s="1456" t="str">
        <f t="shared" si="290"/>
        <v/>
      </c>
      <c r="KZ483" s="1456" t="str">
        <f t="shared" si="291"/>
        <v/>
      </c>
      <c r="LA483" s="1456" t="str">
        <f t="shared" si="292"/>
        <v/>
      </c>
      <c r="LB483" s="1456" t="str">
        <f t="shared" si="293"/>
        <v/>
      </c>
      <c r="LC483" s="1456" t="str">
        <f t="shared" si="294"/>
        <v/>
      </c>
      <c r="LD483" s="1456" t="str">
        <f t="shared" si="295"/>
        <v/>
      </c>
      <c r="LE483" s="1456" t="str">
        <f t="shared" si="296"/>
        <v/>
      </c>
      <c r="LF483" s="1456" t="str">
        <f t="shared" si="297"/>
        <v/>
      </c>
      <c r="LG483" s="1446" t="str">
        <f t="shared" si="298"/>
        <v/>
      </c>
      <c r="LH483" s="1446" t="str">
        <f t="shared" si="299"/>
        <v/>
      </c>
      <c r="LI483" s="1446" t="str">
        <f t="shared" si="300"/>
        <v/>
      </c>
      <c r="LJ483" s="1446" t="str">
        <f t="shared" si="301"/>
        <v/>
      </c>
      <c r="LK483" s="1446"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318">
        <f t="shared" si="323"/>
        <v>0</v>
      </c>
      <c r="MG483" s="1318">
        <f t="shared" si="324"/>
        <v>0</v>
      </c>
      <c r="MH483" s="1318">
        <f t="shared" si="325"/>
        <v>0</v>
      </c>
      <c r="MI483" s="1318">
        <f t="shared" si="326"/>
        <v>0</v>
      </c>
      <c r="MJ483" s="1318">
        <f t="shared" si="327"/>
        <v>0</v>
      </c>
      <c r="MK483" s="1318">
        <f t="shared" si="333"/>
        <v>0</v>
      </c>
      <c r="ML483" s="1318">
        <f t="shared" si="334"/>
        <v>0</v>
      </c>
      <c r="MM483" s="1318">
        <f t="shared" si="335"/>
        <v>0</v>
      </c>
      <c r="MN483" s="1318">
        <f t="shared" si="336"/>
        <v>0</v>
      </c>
      <c r="MO483" s="1318">
        <f t="shared" si="337"/>
        <v>0</v>
      </c>
      <c r="MP483" s="1318">
        <f t="shared" si="328"/>
        <v>0</v>
      </c>
      <c r="MQ483" s="1318">
        <f t="shared" si="329"/>
        <v>0</v>
      </c>
      <c r="MR483" s="1318">
        <f t="shared" si="330"/>
        <v>0</v>
      </c>
      <c r="MS483" s="1318">
        <f t="shared" si="331"/>
        <v>0</v>
      </c>
      <c r="MT483" s="1318">
        <f t="shared" si="332"/>
        <v>0</v>
      </c>
      <c r="NP483" s="251" t="s">
        <v>1186</v>
      </c>
    </row>
    <row r="484" spans="1:380" ht="13.9" customHeight="1">
      <c r="A484" s="2246" t="str">
        <f t="shared" si="0"/>
        <v/>
      </c>
      <c r="B484" s="2265">
        <f>'Part V-Revenues &amp; Expenses'!B46</f>
        <v>0</v>
      </c>
      <c r="C484" s="2266">
        <f>'Part V-Revenues &amp; Expenses'!C46</f>
        <v>0</v>
      </c>
      <c r="D484" s="2267">
        <f>'Part V-Revenues &amp; Expenses'!D46</f>
        <v>0</v>
      </c>
      <c r="E484" s="2268">
        <f>'Part V-Revenues &amp; Expenses'!E46</f>
        <v>0</v>
      </c>
      <c r="F484" s="2268">
        <f>'Part V-Revenues &amp; Expenses'!F46</f>
        <v>0</v>
      </c>
      <c r="G484" s="2268">
        <f>'Part V-Revenues &amp; Expenses'!G46</f>
        <v>0</v>
      </c>
      <c r="H484" s="2268">
        <f>'Part V-Revenues &amp; Expenses'!H46</f>
        <v>0</v>
      </c>
      <c r="I484" s="2268">
        <f>'Part V-Revenues &amp; Expenses'!I46</f>
        <v>0</v>
      </c>
      <c r="J484" s="2268">
        <f>'Part V-Revenues &amp; Expenses'!J46</f>
        <v>0</v>
      </c>
      <c r="K484" s="2269">
        <f>'Part V-Revenues &amp; Expenses'!K46</f>
        <v>0</v>
      </c>
      <c r="L484" s="2270">
        <f t="shared" si="1"/>
        <v>0</v>
      </c>
      <c r="M484" s="2270">
        <f t="shared" si="2"/>
        <v>0</v>
      </c>
      <c r="N484" s="2139">
        <f>'Part V-Revenues &amp; Expenses'!N46</f>
        <v>0</v>
      </c>
      <c r="O484" s="963">
        <f>'Part V-Revenues &amp; Expenses'!O46</f>
        <v>0</v>
      </c>
      <c r="P484" s="2139">
        <f>'Part V-Revenues &amp; Expenses'!P46</f>
        <v>0</v>
      </c>
      <c r="Q484" s="1455">
        <f>'Part V-Revenues &amp; Expenses'!Q46</f>
        <v>0</v>
      </c>
      <c r="R484" s="2271"/>
      <c r="S484" s="2272"/>
      <c r="T484" s="2273"/>
      <c r="U484" s="2273"/>
      <c r="V484" s="2273"/>
      <c r="W484" s="2273"/>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456" t="str">
        <f t="shared" si="213"/>
        <v/>
      </c>
      <c r="IA484" s="1456" t="str">
        <f t="shared" si="214"/>
        <v/>
      </c>
      <c r="IB484" s="1456" t="str">
        <f t="shared" si="215"/>
        <v/>
      </c>
      <c r="IC484" s="1456" t="str">
        <f t="shared" si="216"/>
        <v/>
      </c>
      <c r="ID484" s="1456" t="str">
        <f t="shared" si="217"/>
        <v/>
      </c>
      <c r="IE484" s="1456" t="str">
        <f t="shared" si="218"/>
        <v/>
      </c>
      <c r="IF484" s="1456" t="str">
        <f t="shared" si="219"/>
        <v/>
      </c>
      <c r="IG484" s="1456" t="str">
        <f t="shared" si="220"/>
        <v/>
      </c>
      <c r="IH484" s="1456" t="str">
        <f t="shared" si="221"/>
        <v/>
      </c>
      <c r="II484" s="1456" t="str">
        <f t="shared" si="222"/>
        <v/>
      </c>
      <c r="IJ484" s="1456" t="str">
        <f t="shared" si="223"/>
        <v/>
      </c>
      <c r="IK484" s="1456" t="str">
        <f t="shared" si="224"/>
        <v/>
      </c>
      <c r="IL484" s="1456" t="str">
        <f t="shared" si="225"/>
        <v/>
      </c>
      <c r="IM484" s="1456" t="str">
        <f t="shared" si="226"/>
        <v/>
      </c>
      <c r="IN484" s="1456" t="str">
        <f t="shared" si="227"/>
        <v/>
      </c>
      <c r="IO484" s="1456" t="str">
        <f t="shared" si="228"/>
        <v/>
      </c>
      <c r="IP484" s="1456" t="str">
        <f t="shared" si="229"/>
        <v/>
      </c>
      <c r="IQ484" s="1456" t="str">
        <f t="shared" si="230"/>
        <v/>
      </c>
      <c r="IR484" s="1456" t="str">
        <f t="shared" si="231"/>
        <v/>
      </c>
      <c r="IS484" s="1456" t="str">
        <f t="shared" si="232"/>
        <v/>
      </c>
      <c r="IT484" s="1456" t="str">
        <f t="shared" si="233"/>
        <v/>
      </c>
      <c r="IU484" s="1456" t="str">
        <f t="shared" si="234"/>
        <v/>
      </c>
      <c r="IV484" s="1456" t="str">
        <f t="shared" si="235"/>
        <v/>
      </c>
      <c r="IW484" s="1456" t="str">
        <f t="shared" si="236"/>
        <v/>
      </c>
      <c r="IX484" s="1456" t="str">
        <f t="shared" si="237"/>
        <v/>
      </c>
      <c r="IY484" s="1456" t="str">
        <f t="shared" si="238"/>
        <v/>
      </c>
      <c r="IZ484" s="1456" t="str">
        <f t="shared" si="239"/>
        <v/>
      </c>
      <c r="JA484" s="1456" t="str">
        <f t="shared" si="240"/>
        <v/>
      </c>
      <c r="JB484" s="1456" t="str">
        <f t="shared" si="241"/>
        <v/>
      </c>
      <c r="JC484" s="1456" t="str">
        <f t="shared" si="242"/>
        <v/>
      </c>
      <c r="JD484" s="1456" t="str">
        <f t="shared" si="243"/>
        <v/>
      </c>
      <c r="JE484" s="1456" t="str">
        <f t="shared" si="244"/>
        <v/>
      </c>
      <c r="JF484" s="1456" t="str">
        <f t="shared" si="245"/>
        <v/>
      </c>
      <c r="JG484" s="1456" t="str">
        <f t="shared" si="246"/>
        <v/>
      </c>
      <c r="JH484" s="1456" t="str">
        <f t="shared" si="247"/>
        <v/>
      </c>
      <c r="JI484" s="1456" t="str">
        <f t="shared" si="248"/>
        <v/>
      </c>
      <c r="JJ484" s="1456" t="str">
        <f t="shared" si="249"/>
        <v/>
      </c>
      <c r="JK484" s="1456" t="str">
        <f t="shared" si="250"/>
        <v/>
      </c>
      <c r="JL484" s="1456" t="str">
        <f t="shared" si="251"/>
        <v/>
      </c>
      <c r="JM484" s="1456" t="str">
        <f t="shared" si="252"/>
        <v/>
      </c>
      <c r="JN484" s="1456" t="str">
        <f t="shared" si="253"/>
        <v/>
      </c>
      <c r="JO484" s="1456" t="str">
        <f t="shared" si="254"/>
        <v/>
      </c>
      <c r="JP484" s="1456" t="str">
        <f t="shared" si="255"/>
        <v/>
      </c>
      <c r="JQ484" s="1456" t="str">
        <f t="shared" si="256"/>
        <v/>
      </c>
      <c r="JR484" s="1456" t="str">
        <f t="shared" si="257"/>
        <v/>
      </c>
      <c r="JS484" s="1456" t="str">
        <f t="shared" si="258"/>
        <v/>
      </c>
      <c r="JT484" s="1456" t="str">
        <f t="shared" si="259"/>
        <v/>
      </c>
      <c r="JU484" s="1456" t="str">
        <f t="shared" si="260"/>
        <v/>
      </c>
      <c r="JV484" s="1456" t="str">
        <f t="shared" si="261"/>
        <v/>
      </c>
      <c r="JW484" s="1456" t="str">
        <f t="shared" si="262"/>
        <v/>
      </c>
      <c r="JX484" s="1456" t="str">
        <f t="shared" si="263"/>
        <v/>
      </c>
      <c r="JY484" s="1456" t="str">
        <f t="shared" si="264"/>
        <v/>
      </c>
      <c r="JZ484" s="1456" t="str">
        <f t="shared" si="265"/>
        <v/>
      </c>
      <c r="KA484" s="1456" t="str">
        <f t="shared" si="266"/>
        <v/>
      </c>
      <c r="KB484" s="1456" t="str">
        <f t="shared" si="267"/>
        <v/>
      </c>
      <c r="KC484" s="1456" t="str">
        <f t="shared" si="268"/>
        <v/>
      </c>
      <c r="KD484" s="1456" t="str">
        <f t="shared" si="269"/>
        <v/>
      </c>
      <c r="KE484" s="1456" t="str">
        <f t="shared" si="270"/>
        <v/>
      </c>
      <c r="KF484" s="1456" t="str">
        <f t="shared" si="271"/>
        <v/>
      </c>
      <c r="KG484" s="1456" t="str">
        <f t="shared" si="272"/>
        <v/>
      </c>
      <c r="KH484" s="1456" t="str">
        <f t="shared" si="273"/>
        <v/>
      </c>
      <c r="KI484" s="1456" t="str">
        <f t="shared" si="274"/>
        <v/>
      </c>
      <c r="KJ484" s="1456" t="str">
        <f t="shared" si="275"/>
        <v/>
      </c>
      <c r="KK484" s="1456" t="str">
        <f t="shared" si="276"/>
        <v/>
      </c>
      <c r="KL484" s="1456" t="str">
        <f t="shared" si="277"/>
        <v/>
      </c>
      <c r="KM484" s="1456" t="str">
        <f t="shared" si="278"/>
        <v/>
      </c>
      <c r="KN484" s="1456" t="str">
        <f t="shared" si="279"/>
        <v/>
      </c>
      <c r="KO484" s="1456" t="str">
        <f t="shared" si="280"/>
        <v/>
      </c>
      <c r="KP484" s="1456" t="str">
        <f t="shared" si="281"/>
        <v/>
      </c>
      <c r="KQ484" s="1456" t="str">
        <f t="shared" si="282"/>
        <v/>
      </c>
      <c r="KR484" s="1456" t="str">
        <f t="shared" si="283"/>
        <v/>
      </c>
      <c r="KS484" s="1456" t="str">
        <f t="shared" si="284"/>
        <v/>
      </c>
      <c r="KT484" s="1456" t="str">
        <f t="shared" si="285"/>
        <v/>
      </c>
      <c r="KU484" s="1456" t="str">
        <f t="shared" si="286"/>
        <v/>
      </c>
      <c r="KV484" s="1456" t="str">
        <f t="shared" si="287"/>
        <v/>
      </c>
      <c r="KW484" s="1456" t="str">
        <f t="shared" si="288"/>
        <v/>
      </c>
      <c r="KX484" s="1456" t="str">
        <f t="shared" si="289"/>
        <v/>
      </c>
      <c r="KY484" s="1456" t="str">
        <f t="shared" si="290"/>
        <v/>
      </c>
      <c r="KZ484" s="1456" t="str">
        <f t="shared" si="291"/>
        <v/>
      </c>
      <c r="LA484" s="1456" t="str">
        <f t="shared" si="292"/>
        <v/>
      </c>
      <c r="LB484" s="1456" t="str">
        <f t="shared" si="293"/>
        <v/>
      </c>
      <c r="LC484" s="1456" t="str">
        <f t="shared" si="294"/>
        <v/>
      </c>
      <c r="LD484" s="1456" t="str">
        <f t="shared" si="295"/>
        <v/>
      </c>
      <c r="LE484" s="1456" t="str">
        <f t="shared" si="296"/>
        <v/>
      </c>
      <c r="LF484" s="1456" t="str">
        <f t="shared" si="297"/>
        <v/>
      </c>
      <c r="LG484" s="1446" t="str">
        <f t="shared" si="298"/>
        <v/>
      </c>
      <c r="LH484" s="1446" t="str">
        <f t="shared" si="299"/>
        <v/>
      </c>
      <c r="LI484" s="1446" t="str">
        <f t="shared" si="300"/>
        <v/>
      </c>
      <c r="LJ484" s="1446" t="str">
        <f t="shared" si="301"/>
        <v/>
      </c>
      <c r="LK484" s="1446"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318">
        <f t="shared" si="323"/>
        <v>0</v>
      </c>
      <c r="MG484" s="1318">
        <f t="shared" si="324"/>
        <v>0</v>
      </c>
      <c r="MH484" s="1318">
        <f t="shared" si="325"/>
        <v>0</v>
      </c>
      <c r="MI484" s="1318">
        <f t="shared" si="326"/>
        <v>0</v>
      </c>
      <c r="MJ484" s="1318">
        <f t="shared" si="327"/>
        <v>0</v>
      </c>
      <c r="MK484" s="1318">
        <f t="shared" si="333"/>
        <v>0</v>
      </c>
      <c r="ML484" s="1318">
        <f t="shared" si="334"/>
        <v>0</v>
      </c>
      <c r="MM484" s="1318">
        <f t="shared" si="335"/>
        <v>0</v>
      </c>
      <c r="MN484" s="1318">
        <f t="shared" si="336"/>
        <v>0</v>
      </c>
      <c r="MO484" s="1318">
        <f t="shared" si="337"/>
        <v>0</v>
      </c>
      <c r="MP484" s="1318">
        <f t="shared" si="328"/>
        <v>0</v>
      </c>
      <c r="MQ484" s="1318">
        <f t="shared" si="329"/>
        <v>0</v>
      </c>
      <c r="MR484" s="1318">
        <f t="shared" si="330"/>
        <v>0</v>
      </c>
      <c r="MS484" s="1318">
        <f t="shared" si="331"/>
        <v>0</v>
      </c>
      <c r="MT484" s="1318">
        <f t="shared" si="332"/>
        <v>0</v>
      </c>
      <c r="NP484" s="251" t="s">
        <v>1187</v>
      </c>
    </row>
    <row r="485" spans="1:380" ht="13.9" customHeight="1">
      <c r="A485" s="2246" t="str">
        <f t="shared" si="0"/>
        <v/>
      </c>
      <c r="B485" s="2265">
        <f>'Part V-Revenues &amp; Expenses'!B47</f>
        <v>0</v>
      </c>
      <c r="C485" s="2266">
        <f>'Part V-Revenues &amp; Expenses'!C47</f>
        <v>0</v>
      </c>
      <c r="D485" s="2267">
        <f>'Part V-Revenues &amp; Expenses'!D47</f>
        <v>0</v>
      </c>
      <c r="E485" s="2268">
        <f>'Part V-Revenues &amp; Expenses'!E47</f>
        <v>0</v>
      </c>
      <c r="F485" s="2268">
        <f>'Part V-Revenues &amp; Expenses'!F47</f>
        <v>0</v>
      </c>
      <c r="G485" s="2268">
        <f>'Part V-Revenues &amp; Expenses'!G47</f>
        <v>0</v>
      </c>
      <c r="H485" s="2268">
        <f>'Part V-Revenues &amp; Expenses'!H47</f>
        <v>0</v>
      </c>
      <c r="I485" s="2268">
        <f>'Part V-Revenues &amp; Expenses'!I47</f>
        <v>0</v>
      </c>
      <c r="J485" s="2268">
        <f>'Part V-Revenues &amp; Expenses'!J47</f>
        <v>0</v>
      </c>
      <c r="K485" s="2269">
        <f>'Part V-Revenues &amp; Expenses'!K47</f>
        <v>0</v>
      </c>
      <c r="L485" s="2270">
        <f t="shared" si="1"/>
        <v>0</v>
      </c>
      <c r="M485" s="2270">
        <f t="shared" si="2"/>
        <v>0</v>
      </c>
      <c r="N485" s="2139">
        <f>'Part V-Revenues &amp; Expenses'!N47</f>
        <v>0</v>
      </c>
      <c r="O485" s="963">
        <f>'Part V-Revenues &amp; Expenses'!O47</f>
        <v>0</v>
      </c>
      <c r="P485" s="2139">
        <f>'Part V-Revenues &amp; Expenses'!P47</f>
        <v>0</v>
      </c>
      <c r="Q485" s="1455">
        <f>'Part V-Revenues &amp; Expenses'!Q47</f>
        <v>0</v>
      </c>
      <c r="R485" s="2271"/>
      <c r="S485" s="2272"/>
      <c r="T485" s="2273"/>
      <c r="U485" s="2273"/>
      <c r="V485" s="2273"/>
      <c r="W485" s="2273"/>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456" t="str">
        <f t="shared" si="213"/>
        <v/>
      </c>
      <c r="IA485" s="1456" t="str">
        <f t="shared" si="214"/>
        <v/>
      </c>
      <c r="IB485" s="1456" t="str">
        <f t="shared" si="215"/>
        <v/>
      </c>
      <c r="IC485" s="1456" t="str">
        <f t="shared" si="216"/>
        <v/>
      </c>
      <c r="ID485" s="1456" t="str">
        <f t="shared" si="217"/>
        <v/>
      </c>
      <c r="IE485" s="1456" t="str">
        <f t="shared" si="218"/>
        <v/>
      </c>
      <c r="IF485" s="1456" t="str">
        <f t="shared" si="219"/>
        <v/>
      </c>
      <c r="IG485" s="1456" t="str">
        <f t="shared" si="220"/>
        <v/>
      </c>
      <c r="IH485" s="1456" t="str">
        <f t="shared" si="221"/>
        <v/>
      </c>
      <c r="II485" s="1456" t="str">
        <f t="shared" si="222"/>
        <v/>
      </c>
      <c r="IJ485" s="1456" t="str">
        <f t="shared" si="223"/>
        <v/>
      </c>
      <c r="IK485" s="1456" t="str">
        <f t="shared" si="224"/>
        <v/>
      </c>
      <c r="IL485" s="1456" t="str">
        <f t="shared" si="225"/>
        <v/>
      </c>
      <c r="IM485" s="1456" t="str">
        <f t="shared" si="226"/>
        <v/>
      </c>
      <c r="IN485" s="1456" t="str">
        <f t="shared" si="227"/>
        <v/>
      </c>
      <c r="IO485" s="1456" t="str">
        <f t="shared" si="228"/>
        <v/>
      </c>
      <c r="IP485" s="1456" t="str">
        <f t="shared" si="229"/>
        <v/>
      </c>
      <c r="IQ485" s="1456" t="str">
        <f t="shared" si="230"/>
        <v/>
      </c>
      <c r="IR485" s="1456" t="str">
        <f t="shared" si="231"/>
        <v/>
      </c>
      <c r="IS485" s="1456" t="str">
        <f t="shared" si="232"/>
        <v/>
      </c>
      <c r="IT485" s="1456" t="str">
        <f t="shared" si="233"/>
        <v/>
      </c>
      <c r="IU485" s="1456" t="str">
        <f t="shared" si="234"/>
        <v/>
      </c>
      <c r="IV485" s="1456" t="str">
        <f t="shared" si="235"/>
        <v/>
      </c>
      <c r="IW485" s="1456" t="str">
        <f t="shared" si="236"/>
        <v/>
      </c>
      <c r="IX485" s="1456" t="str">
        <f t="shared" si="237"/>
        <v/>
      </c>
      <c r="IY485" s="1456" t="str">
        <f t="shared" si="238"/>
        <v/>
      </c>
      <c r="IZ485" s="1456" t="str">
        <f t="shared" si="239"/>
        <v/>
      </c>
      <c r="JA485" s="1456" t="str">
        <f t="shared" si="240"/>
        <v/>
      </c>
      <c r="JB485" s="1456" t="str">
        <f t="shared" si="241"/>
        <v/>
      </c>
      <c r="JC485" s="1456" t="str">
        <f t="shared" si="242"/>
        <v/>
      </c>
      <c r="JD485" s="1456" t="str">
        <f t="shared" si="243"/>
        <v/>
      </c>
      <c r="JE485" s="1456" t="str">
        <f t="shared" si="244"/>
        <v/>
      </c>
      <c r="JF485" s="1456" t="str">
        <f t="shared" si="245"/>
        <v/>
      </c>
      <c r="JG485" s="1456" t="str">
        <f t="shared" si="246"/>
        <v/>
      </c>
      <c r="JH485" s="1456" t="str">
        <f t="shared" si="247"/>
        <v/>
      </c>
      <c r="JI485" s="1456" t="str">
        <f t="shared" si="248"/>
        <v/>
      </c>
      <c r="JJ485" s="1456" t="str">
        <f t="shared" si="249"/>
        <v/>
      </c>
      <c r="JK485" s="1456" t="str">
        <f t="shared" si="250"/>
        <v/>
      </c>
      <c r="JL485" s="1456" t="str">
        <f t="shared" si="251"/>
        <v/>
      </c>
      <c r="JM485" s="1456" t="str">
        <f t="shared" si="252"/>
        <v/>
      </c>
      <c r="JN485" s="1456" t="str">
        <f t="shared" si="253"/>
        <v/>
      </c>
      <c r="JO485" s="1456" t="str">
        <f t="shared" si="254"/>
        <v/>
      </c>
      <c r="JP485" s="1456" t="str">
        <f t="shared" si="255"/>
        <v/>
      </c>
      <c r="JQ485" s="1456" t="str">
        <f t="shared" si="256"/>
        <v/>
      </c>
      <c r="JR485" s="1456" t="str">
        <f t="shared" si="257"/>
        <v/>
      </c>
      <c r="JS485" s="1456" t="str">
        <f t="shared" si="258"/>
        <v/>
      </c>
      <c r="JT485" s="1456" t="str">
        <f t="shared" si="259"/>
        <v/>
      </c>
      <c r="JU485" s="1456" t="str">
        <f t="shared" si="260"/>
        <v/>
      </c>
      <c r="JV485" s="1456" t="str">
        <f t="shared" si="261"/>
        <v/>
      </c>
      <c r="JW485" s="1456" t="str">
        <f t="shared" si="262"/>
        <v/>
      </c>
      <c r="JX485" s="1456" t="str">
        <f t="shared" si="263"/>
        <v/>
      </c>
      <c r="JY485" s="1456" t="str">
        <f t="shared" si="264"/>
        <v/>
      </c>
      <c r="JZ485" s="1456" t="str">
        <f t="shared" si="265"/>
        <v/>
      </c>
      <c r="KA485" s="1456" t="str">
        <f t="shared" si="266"/>
        <v/>
      </c>
      <c r="KB485" s="1456" t="str">
        <f t="shared" si="267"/>
        <v/>
      </c>
      <c r="KC485" s="1456" t="str">
        <f t="shared" si="268"/>
        <v/>
      </c>
      <c r="KD485" s="1456" t="str">
        <f t="shared" si="269"/>
        <v/>
      </c>
      <c r="KE485" s="1456" t="str">
        <f t="shared" si="270"/>
        <v/>
      </c>
      <c r="KF485" s="1456" t="str">
        <f t="shared" si="271"/>
        <v/>
      </c>
      <c r="KG485" s="1456" t="str">
        <f t="shared" si="272"/>
        <v/>
      </c>
      <c r="KH485" s="1456" t="str">
        <f t="shared" si="273"/>
        <v/>
      </c>
      <c r="KI485" s="1456" t="str">
        <f t="shared" si="274"/>
        <v/>
      </c>
      <c r="KJ485" s="1456" t="str">
        <f t="shared" si="275"/>
        <v/>
      </c>
      <c r="KK485" s="1456" t="str">
        <f t="shared" si="276"/>
        <v/>
      </c>
      <c r="KL485" s="1456" t="str">
        <f t="shared" si="277"/>
        <v/>
      </c>
      <c r="KM485" s="1456" t="str">
        <f t="shared" si="278"/>
        <v/>
      </c>
      <c r="KN485" s="1456" t="str">
        <f t="shared" si="279"/>
        <v/>
      </c>
      <c r="KO485" s="1456" t="str">
        <f t="shared" si="280"/>
        <v/>
      </c>
      <c r="KP485" s="1456" t="str">
        <f t="shared" si="281"/>
        <v/>
      </c>
      <c r="KQ485" s="1456" t="str">
        <f t="shared" si="282"/>
        <v/>
      </c>
      <c r="KR485" s="1456" t="str">
        <f t="shared" si="283"/>
        <v/>
      </c>
      <c r="KS485" s="1456" t="str">
        <f t="shared" si="284"/>
        <v/>
      </c>
      <c r="KT485" s="1456" t="str">
        <f t="shared" si="285"/>
        <v/>
      </c>
      <c r="KU485" s="1456" t="str">
        <f t="shared" si="286"/>
        <v/>
      </c>
      <c r="KV485" s="1456" t="str">
        <f t="shared" si="287"/>
        <v/>
      </c>
      <c r="KW485" s="1456" t="str">
        <f t="shared" si="288"/>
        <v/>
      </c>
      <c r="KX485" s="1456" t="str">
        <f t="shared" si="289"/>
        <v/>
      </c>
      <c r="KY485" s="1456" t="str">
        <f t="shared" si="290"/>
        <v/>
      </c>
      <c r="KZ485" s="1456" t="str">
        <f t="shared" si="291"/>
        <v/>
      </c>
      <c r="LA485" s="1456" t="str">
        <f t="shared" si="292"/>
        <v/>
      </c>
      <c r="LB485" s="1456" t="str">
        <f t="shared" si="293"/>
        <v/>
      </c>
      <c r="LC485" s="1456" t="str">
        <f t="shared" si="294"/>
        <v/>
      </c>
      <c r="LD485" s="1456" t="str">
        <f t="shared" si="295"/>
        <v/>
      </c>
      <c r="LE485" s="1456" t="str">
        <f t="shared" si="296"/>
        <v/>
      </c>
      <c r="LF485" s="1456" t="str">
        <f t="shared" si="297"/>
        <v/>
      </c>
      <c r="LG485" s="1446" t="str">
        <f t="shared" si="298"/>
        <v/>
      </c>
      <c r="LH485" s="1446" t="str">
        <f t="shared" si="299"/>
        <v/>
      </c>
      <c r="LI485" s="1446" t="str">
        <f t="shared" si="300"/>
        <v/>
      </c>
      <c r="LJ485" s="1446" t="str">
        <f t="shared" si="301"/>
        <v/>
      </c>
      <c r="LK485" s="1446"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318">
        <f t="shared" si="323"/>
        <v>0</v>
      </c>
      <c r="MG485" s="1318">
        <f t="shared" si="324"/>
        <v>0</v>
      </c>
      <c r="MH485" s="1318">
        <f t="shared" si="325"/>
        <v>0</v>
      </c>
      <c r="MI485" s="1318">
        <f t="shared" si="326"/>
        <v>0</v>
      </c>
      <c r="MJ485" s="1318">
        <f t="shared" si="327"/>
        <v>0</v>
      </c>
      <c r="MK485" s="1318">
        <f t="shared" si="333"/>
        <v>0</v>
      </c>
      <c r="ML485" s="1318">
        <f t="shared" si="334"/>
        <v>0</v>
      </c>
      <c r="MM485" s="1318">
        <f t="shared" si="335"/>
        <v>0</v>
      </c>
      <c r="MN485" s="1318">
        <f t="shared" si="336"/>
        <v>0</v>
      </c>
      <c r="MO485" s="1318">
        <f t="shared" si="337"/>
        <v>0</v>
      </c>
      <c r="MP485" s="1318">
        <f t="shared" si="328"/>
        <v>0</v>
      </c>
      <c r="MQ485" s="1318">
        <f t="shared" si="329"/>
        <v>0</v>
      </c>
      <c r="MR485" s="1318">
        <f t="shared" si="330"/>
        <v>0</v>
      </c>
      <c r="MS485" s="1318">
        <f t="shared" si="331"/>
        <v>0</v>
      </c>
      <c r="MT485" s="1318">
        <f t="shared" si="332"/>
        <v>0</v>
      </c>
      <c r="NP485" s="251" t="s">
        <v>1188</v>
      </c>
    </row>
    <row r="486" spans="1:380" ht="13.9" customHeight="1">
      <c r="A486" s="2246" t="str">
        <f t="shared" si="0"/>
        <v/>
      </c>
      <c r="B486" s="2265">
        <f>'Part V-Revenues &amp; Expenses'!B48</f>
        <v>0</v>
      </c>
      <c r="C486" s="2266">
        <f>'Part V-Revenues &amp; Expenses'!C48</f>
        <v>0</v>
      </c>
      <c r="D486" s="2267">
        <f>'Part V-Revenues &amp; Expenses'!D48</f>
        <v>0</v>
      </c>
      <c r="E486" s="2268">
        <f>'Part V-Revenues &amp; Expenses'!E48</f>
        <v>0</v>
      </c>
      <c r="F486" s="2268">
        <f>'Part V-Revenues &amp; Expenses'!F48</f>
        <v>0</v>
      </c>
      <c r="G486" s="2268">
        <f>'Part V-Revenues &amp; Expenses'!G48</f>
        <v>0</v>
      </c>
      <c r="H486" s="2268">
        <f>'Part V-Revenues &amp; Expenses'!H48</f>
        <v>0</v>
      </c>
      <c r="I486" s="2268">
        <f>'Part V-Revenues &amp; Expenses'!I48</f>
        <v>0</v>
      </c>
      <c r="J486" s="2268">
        <f>'Part V-Revenues &amp; Expenses'!J48</f>
        <v>0</v>
      </c>
      <c r="K486" s="2269">
        <f>'Part V-Revenues &amp; Expenses'!K48</f>
        <v>0</v>
      </c>
      <c r="L486" s="2270">
        <f t="shared" si="1"/>
        <v>0</v>
      </c>
      <c r="M486" s="2270">
        <f t="shared" si="2"/>
        <v>0</v>
      </c>
      <c r="N486" s="2139">
        <f>'Part V-Revenues &amp; Expenses'!N48</f>
        <v>0</v>
      </c>
      <c r="O486" s="963">
        <f>'Part V-Revenues &amp; Expenses'!O48</f>
        <v>0</v>
      </c>
      <c r="P486" s="2139">
        <f>'Part V-Revenues &amp; Expenses'!P48</f>
        <v>0</v>
      </c>
      <c r="Q486" s="1455">
        <f>'Part V-Revenues &amp; Expenses'!Q48</f>
        <v>0</v>
      </c>
      <c r="R486" s="2271"/>
      <c r="S486" s="2272"/>
      <c r="T486" s="2273"/>
      <c r="U486" s="2273"/>
      <c r="V486" s="2273"/>
      <c r="W486" s="2273"/>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456" t="str">
        <f t="shared" si="213"/>
        <v/>
      </c>
      <c r="IA486" s="1456" t="str">
        <f t="shared" si="214"/>
        <v/>
      </c>
      <c r="IB486" s="1456" t="str">
        <f t="shared" si="215"/>
        <v/>
      </c>
      <c r="IC486" s="1456" t="str">
        <f t="shared" si="216"/>
        <v/>
      </c>
      <c r="ID486" s="1456" t="str">
        <f t="shared" si="217"/>
        <v/>
      </c>
      <c r="IE486" s="1456" t="str">
        <f t="shared" si="218"/>
        <v/>
      </c>
      <c r="IF486" s="1456" t="str">
        <f t="shared" si="219"/>
        <v/>
      </c>
      <c r="IG486" s="1456" t="str">
        <f t="shared" si="220"/>
        <v/>
      </c>
      <c r="IH486" s="1456" t="str">
        <f t="shared" si="221"/>
        <v/>
      </c>
      <c r="II486" s="1456" t="str">
        <f t="shared" si="222"/>
        <v/>
      </c>
      <c r="IJ486" s="1456" t="str">
        <f t="shared" si="223"/>
        <v/>
      </c>
      <c r="IK486" s="1456" t="str">
        <f t="shared" si="224"/>
        <v/>
      </c>
      <c r="IL486" s="1456" t="str">
        <f t="shared" si="225"/>
        <v/>
      </c>
      <c r="IM486" s="1456" t="str">
        <f t="shared" si="226"/>
        <v/>
      </c>
      <c r="IN486" s="1456" t="str">
        <f t="shared" si="227"/>
        <v/>
      </c>
      <c r="IO486" s="1456" t="str">
        <f t="shared" si="228"/>
        <v/>
      </c>
      <c r="IP486" s="1456" t="str">
        <f t="shared" si="229"/>
        <v/>
      </c>
      <c r="IQ486" s="1456" t="str">
        <f t="shared" si="230"/>
        <v/>
      </c>
      <c r="IR486" s="1456" t="str">
        <f t="shared" si="231"/>
        <v/>
      </c>
      <c r="IS486" s="1456" t="str">
        <f t="shared" si="232"/>
        <v/>
      </c>
      <c r="IT486" s="1456" t="str">
        <f t="shared" si="233"/>
        <v/>
      </c>
      <c r="IU486" s="1456" t="str">
        <f t="shared" si="234"/>
        <v/>
      </c>
      <c r="IV486" s="1456" t="str">
        <f t="shared" si="235"/>
        <v/>
      </c>
      <c r="IW486" s="1456" t="str">
        <f t="shared" si="236"/>
        <v/>
      </c>
      <c r="IX486" s="1456" t="str">
        <f t="shared" si="237"/>
        <v/>
      </c>
      <c r="IY486" s="1456" t="str">
        <f t="shared" si="238"/>
        <v/>
      </c>
      <c r="IZ486" s="1456" t="str">
        <f t="shared" si="239"/>
        <v/>
      </c>
      <c r="JA486" s="1456" t="str">
        <f t="shared" si="240"/>
        <v/>
      </c>
      <c r="JB486" s="1456" t="str">
        <f t="shared" si="241"/>
        <v/>
      </c>
      <c r="JC486" s="1456" t="str">
        <f t="shared" si="242"/>
        <v/>
      </c>
      <c r="JD486" s="1456" t="str">
        <f t="shared" si="243"/>
        <v/>
      </c>
      <c r="JE486" s="1456" t="str">
        <f t="shared" si="244"/>
        <v/>
      </c>
      <c r="JF486" s="1456" t="str">
        <f t="shared" si="245"/>
        <v/>
      </c>
      <c r="JG486" s="1456" t="str">
        <f t="shared" si="246"/>
        <v/>
      </c>
      <c r="JH486" s="1456" t="str">
        <f t="shared" si="247"/>
        <v/>
      </c>
      <c r="JI486" s="1456" t="str">
        <f t="shared" si="248"/>
        <v/>
      </c>
      <c r="JJ486" s="1456" t="str">
        <f t="shared" si="249"/>
        <v/>
      </c>
      <c r="JK486" s="1456" t="str">
        <f t="shared" si="250"/>
        <v/>
      </c>
      <c r="JL486" s="1456" t="str">
        <f t="shared" si="251"/>
        <v/>
      </c>
      <c r="JM486" s="1456" t="str">
        <f t="shared" si="252"/>
        <v/>
      </c>
      <c r="JN486" s="1456" t="str">
        <f t="shared" si="253"/>
        <v/>
      </c>
      <c r="JO486" s="1456" t="str">
        <f t="shared" si="254"/>
        <v/>
      </c>
      <c r="JP486" s="1456" t="str">
        <f t="shared" si="255"/>
        <v/>
      </c>
      <c r="JQ486" s="1456" t="str">
        <f t="shared" si="256"/>
        <v/>
      </c>
      <c r="JR486" s="1456" t="str">
        <f t="shared" si="257"/>
        <v/>
      </c>
      <c r="JS486" s="1456" t="str">
        <f t="shared" si="258"/>
        <v/>
      </c>
      <c r="JT486" s="1456" t="str">
        <f t="shared" si="259"/>
        <v/>
      </c>
      <c r="JU486" s="1456" t="str">
        <f t="shared" si="260"/>
        <v/>
      </c>
      <c r="JV486" s="1456" t="str">
        <f t="shared" si="261"/>
        <v/>
      </c>
      <c r="JW486" s="1456" t="str">
        <f t="shared" si="262"/>
        <v/>
      </c>
      <c r="JX486" s="1456" t="str">
        <f t="shared" si="263"/>
        <v/>
      </c>
      <c r="JY486" s="1456" t="str">
        <f t="shared" si="264"/>
        <v/>
      </c>
      <c r="JZ486" s="1456" t="str">
        <f t="shared" si="265"/>
        <v/>
      </c>
      <c r="KA486" s="1456" t="str">
        <f t="shared" si="266"/>
        <v/>
      </c>
      <c r="KB486" s="1456" t="str">
        <f t="shared" si="267"/>
        <v/>
      </c>
      <c r="KC486" s="1456" t="str">
        <f t="shared" si="268"/>
        <v/>
      </c>
      <c r="KD486" s="1456" t="str">
        <f t="shared" si="269"/>
        <v/>
      </c>
      <c r="KE486" s="1456" t="str">
        <f t="shared" si="270"/>
        <v/>
      </c>
      <c r="KF486" s="1456" t="str">
        <f t="shared" si="271"/>
        <v/>
      </c>
      <c r="KG486" s="1456" t="str">
        <f t="shared" si="272"/>
        <v/>
      </c>
      <c r="KH486" s="1456" t="str">
        <f t="shared" si="273"/>
        <v/>
      </c>
      <c r="KI486" s="1456" t="str">
        <f t="shared" si="274"/>
        <v/>
      </c>
      <c r="KJ486" s="1456" t="str">
        <f t="shared" si="275"/>
        <v/>
      </c>
      <c r="KK486" s="1456" t="str">
        <f t="shared" si="276"/>
        <v/>
      </c>
      <c r="KL486" s="1456" t="str">
        <f t="shared" si="277"/>
        <v/>
      </c>
      <c r="KM486" s="1456" t="str">
        <f t="shared" si="278"/>
        <v/>
      </c>
      <c r="KN486" s="1456" t="str">
        <f t="shared" si="279"/>
        <v/>
      </c>
      <c r="KO486" s="1456" t="str">
        <f t="shared" si="280"/>
        <v/>
      </c>
      <c r="KP486" s="1456" t="str">
        <f t="shared" si="281"/>
        <v/>
      </c>
      <c r="KQ486" s="1456" t="str">
        <f t="shared" si="282"/>
        <v/>
      </c>
      <c r="KR486" s="1456" t="str">
        <f t="shared" si="283"/>
        <v/>
      </c>
      <c r="KS486" s="1456" t="str">
        <f t="shared" si="284"/>
        <v/>
      </c>
      <c r="KT486" s="1456" t="str">
        <f t="shared" si="285"/>
        <v/>
      </c>
      <c r="KU486" s="1456" t="str">
        <f t="shared" si="286"/>
        <v/>
      </c>
      <c r="KV486" s="1456" t="str">
        <f t="shared" si="287"/>
        <v/>
      </c>
      <c r="KW486" s="1456" t="str">
        <f t="shared" si="288"/>
        <v/>
      </c>
      <c r="KX486" s="1456" t="str">
        <f t="shared" si="289"/>
        <v/>
      </c>
      <c r="KY486" s="1456" t="str">
        <f t="shared" si="290"/>
        <v/>
      </c>
      <c r="KZ486" s="1456" t="str">
        <f t="shared" si="291"/>
        <v/>
      </c>
      <c r="LA486" s="1456" t="str">
        <f t="shared" si="292"/>
        <v/>
      </c>
      <c r="LB486" s="1456" t="str">
        <f t="shared" si="293"/>
        <v/>
      </c>
      <c r="LC486" s="1456" t="str">
        <f t="shared" si="294"/>
        <v/>
      </c>
      <c r="LD486" s="1456" t="str">
        <f t="shared" si="295"/>
        <v/>
      </c>
      <c r="LE486" s="1456" t="str">
        <f t="shared" si="296"/>
        <v/>
      </c>
      <c r="LF486" s="1456" t="str">
        <f t="shared" si="297"/>
        <v/>
      </c>
      <c r="LG486" s="1446" t="str">
        <f t="shared" si="298"/>
        <v/>
      </c>
      <c r="LH486" s="1446" t="str">
        <f t="shared" si="299"/>
        <v/>
      </c>
      <c r="LI486" s="1446" t="str">
        <f t="shared" si="300"/>
        <v/>
      </c>
      <c r="LJ486" s="1446" t="str">
        <f t="shared" si="301"/>
        <v/>
      </c>
      <c r="LK486" s="1446"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318">
        <f t="shared" si="323"/>
        <v>0</v>
      </c>
      <c r="MG486" s="1318">
        <f t="shared" si="324"/>
        <v>0</v>
      </c>
      <c r="MH486" s="1318">
        <f t="shared" si="325"/>
        <v>0</v>
      </c>
      <c r="MI486" s="1318">
        <f t="shared" si="326"/>
        <v>0</v>
      </c>
      <c r="MJ486" s="1318">
        <f t="shared" si="327"/>
        <v>0</v>
      </c>
      <c r="MK486" s="1318">
        <f t="shared" si="333"/>
        <v>0</v>
      </c>
      <c r="ML486" s="1318">
        <f t="shared" si="334"/>
        <v>0</v>
      </c>
      <c r="MM486" s="1318">
        <f t="shared" si="335"/>
        <v>0</v>
      </c>
      <c r="MN486" s="1318">
        <f t="shared" si="336"/>
        <v>0</v>
      </c>
      <c r="MO486" s="1318">
        <f t="shared" si="337"/>
        <v>0</v>
      </c>
      <c r="MP486" s="1318">
        <f t="shared" si="328"/>
        <v>0</v>
      </c>
      <c r="MQ486" s="1318">
        <f t="shared" si="329"/>
        <v>0</v>
      </c>
      <c r="MR486" s="1318">
        <f t="shared" si="330"/>
        <v>0</v>
      </c>
      <c r="MS486" s="1318">
        <f t="shared" si="331"/>
        <v>0</v>
      </c>
      <c r="MT486" s="1318">
        <f t="shared" si="332"/>
        <v>0</v>
      </c>
      <c r="NP486" s="251" t="s">
        <v>1189</v>
      </c>
    </row>
    <row r="487" spans="1:380" ht="13.9" customHeight="1">
      <c r="A487" s="2246">
        <f>COUNT(A449,A450,A451,A452,A453,A454,A455,A456,A457,A458,A459,A460,A461,A462,A463,A464,A465,A466,A467,A468,A469,A470,A471,A472,A473,A474,A475,A476,A477,A478)</f>
        <v>0</v>
      </c>
      <c r="B487" s="2274" t="s">
        <v>1190</v>
      </c>
      <c r="C487" s="2274"/>
      <c r="D487" s="2275" t="s">
        <v>1191</v>
      </c>
      <c r="E487" s="2276">
        <f>SUM(E449:E486)</f>
        <v>58</v>
      </c>
      <c r="F487" s="2277">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43144</v>
      </c>
      <c r="H487" s="2278" t="s">
        <v>1192</v>
      </c>
      <c r="I487" s="2279" t="s">
        <v>1193</v>
      </c>
      <c r="J487" s="2280" t="str">
        <f>IF(P505=0,"",IF(SUM(P496:P500)/P505&gt;=0.4,"Pass","Fail"))</f>
        <v>Pass</v>
      </c>
      <c r="K487" s="257"/>
      <c r="L487" s="2281" t="s">
        <v>1194</v>
      </c>
      <c r="M487" s="2282">
        <f>SUM(M449:M486)</f>
        <v>67752</v>
      </c>
      <c r="N487" s="253"/>
      <c r="O487" s="253"/>
      <c r="P487" s="253"/>
      <c r="Q487" s="253"/>
      <c r="R487" s="253"/>
      <c r="S487" s="253"/>
      <c r="T487" s="253"/>
      <c r="U487" s="253"/>
      <c r="V487" s="2254"/>
      <c r="W487" s="1319"/>
      <c r="X487" s="1319">
        <f t="shared" ref="X487:FA487" si="338">SUM(X449:X486)</f>
        <v>0</v>
      </c>
      <c r="Y487" s="1319">
        <f t="shared" si="338"/>
        <v>0</v>
      </c>
      <c r="Z487" s="1319">
        <f t="shared" si="338"/>
        <v>0</v>
      </c>
      <c r="AA487" s="1319">
        <f t="shared" si="338"/>
        <v>0</v>
      </c>
      <c r="AB487" s="1319">
        <f t="shared" si="338"/>
        <v>0</v>
      </c>
      <c r="AC487" s="1319">
        <f t="shared" si="338"/>
        <v>0</v>
      </c>
      <c r="AD487" s="1319">
        <f t="shared" si="338"/>
        <v>0</v>
      </c>
      <c r="AE487" s="1319">
        <f t="shared" si="338"/>
        <v>0</v>
      </c>
      <c r="AF487" s="1319">
        <f t="shared" si="338"/>
        <v>0</v>
      </c>
      <c r="AG487" s="1319">
        <f t="shared" si="338"/>
        <v>0</v>
      </c>
      <c r="AH487" s="1319">
        <f t="shared" si="338"/>
        <v>0</v>
      </c>
      <c r="AI487" s="1319">
        <f t="shared" si="338"/>
        <v>14</v>
      </c>
      <c r="AJ487" s="1319">
        <f t="shared" si="338"/>
        <v>15</v>
      </c>
      <c r="AK487" s="1319">
        <f t="shared" si="338"/>
        <v>0</v>
      </c>
      <c r="AL487" s="1319">
        <f t="shared" si="338"/>
        <v>0</v>
      </c>
      <c r="AM487" s="1319">
        <f>SUM(AM449:AM486)</f>
        <v>0</v>
      </c>
      <c r="AN487" s="1319">
        <f>SUM(AN449:AN486)</f>
        <v>17</v>
      </c>
      <c r="AO487" s="1319">
        <f>SUM(AO449:AO486)</f>
        <v>0</v>
      </c>
      <c r="AP487" s="1319">
        <f>SUM(AP449:AP486)</f>
        <v>0</v>
      </c>
      <c r="AQ487" s="1319">
        <f>SUM(AQ449:AQ486)</f>
        <v>0</v>
      </c>
      <c r="AR487" s="1319">
        <f t="shared" si="338"/>
        <v>0</v>
      </c>
      <c r="AS487" s="1319">
        <f t="shared" si="338"/>
        <v>0</v>
      </c>
      <c r="AT487" s="1319">
        <f t="shared" si="338"/>
        <v>0</v>
      </c>
      <c r="AU487" s="1319">
        <f t="shared" si="338"/>
        <v>0</v>
      </c>
      <c r="AV487" s="1319">
        <f t="shared" si="338"/>
        <v>0</v>
      </c>
      <c r="AW487" s="1319">
        <f t="shared" si="338"/>
        <v>0</v>
      </c>
      <c r="AX487" s="1319">
        <f t="shared" si="338"/>
        <v>6</v>
      </c>
      <c r="AY487" s="1319">
        <f t="shared" si="338"/>
        <v>0</v>
      </c>
      <c r="AZ487" s="1319">
        <f t="shared" si="338"/>
        <v>0</v>
      </c>
      <c r="BA487" s="1319">
        <f t="shared" si="338"/>
        <v>0</v>
      </c>
      <c r="BB487" s="1319">
        <f>SUM(BB449:BB486)</f>
        <v>0</v>
      </c>
      <c r="BC487" s="1319">
        <f>SUM(BC449:BC486)</f>
        <v>0</v>
      </c>
      <c r="BD487" s="1319">
        <f>SUM(BD449:BD486)</f>
        <v>0</v>
      </c>
      <c r="BE487" s="1319">
        <f>SUM(BE449:BE486)</f>
        <v>0</v>
      </c>
      <c r="BF487" s="1319">
        <f>SUM(BF449:BF486)</f>
        <v>0</v>
      </c>
      <c r="BG487" s="1319">
        <f t="shared" si="338"/>
        <v>0</v>
      </c>
      <c r="BH487" s="1319">
        <f t="shared" si="338"/>
        <v>4</v>
      </c>
      <c r="BI487" s="1319">
        <f t="shared" si="338"/>
        <v>2</v>
      </c>
      <c r="BJ487" s="1319">
        <f t="shared" si="338"/>
        <v>0</v>
      </c>
      <c r="BK487" s="1319">
        <f t="shared" si="338"/>
        <v>0</v>
      </c>
      <c r="BL487" s="1319">
        <f>SUM(BL449:BL486)</f>
        <v>0</v>
      </c>
      <c r="BM487" s="1319">
        <f>SUM(BM449:BM486)</f>
        <v>0</v>
      </c>
      <c r="BN487" s="1319">
        <f>SUM(BN449:BN486)</f>
        <v>0</v>
      </c>
      <c r="BO487" s="1319">
        <f>SUM(BO449:BO486)</f>
        <v>0</v>
      </c>
      <c r="BP487" s="1319">
        <f>SUM(BP449:BP486)</f>
        <v>0</v>
      </c>
      <c r="BQ487" s="1319">
        <f t="shared" si="338"/>
        <v>0</v>
      </c>
      <c r="BR487" s="1319">
        <f t="shared" si="338"/>
        <v>6</v>
      </c>
      <c r="BS487" s="1319">
        <f t="shared" si="338"/>
        <v>0</v>
      </c>
      <c r="BT487" s="1319">
        <f t="shared" si="338"/>
        <v>0</v>
      </c>
      <c r="BU487" s="1319">
        <f t="shared" si="338"/>
        <v>0</v>
      </c>
      <c r="BV487" s="1319">
        <f>SUM(BV449:BV486)</f>
        <v>0</v>
      </c>
      <c r="BW487" s="1319">
        <f>SUM(BW449:BW486)</f>
        <v>0</v>
      </c>
      <c r="BX487" s="1319">
        <f>SUM(BX449:BX486)</f>
        <v>0</v>
      </c>
      <c r="BY487" s="1319">
        <f>SUM(BY449:BY486)</f>
        <v>0</v>
      </c>
      <c r="BZ487" s="1319">
        <f>SUM(BZ449:BZ486)</f>
        <v>0</v>
      </c>
      <c r="CA487" s="1319">
        <f t="shared" si="338"/>
        <v>0</v>
      </c>
      <c r="CB487" s="1319">
        <f t="shared" si="338"/>
        <v>17</v>
      </c>
      <c r="CC487" s="1319">
        <f t="shared" si="338"/>
        <v>0</v>
      </c>
      <c r="CD487" s="1319">
        <f t="shared" si="338"/>
        <v>0</v>
      </c>
      <c r="CE487" s="1319">
        <f t="shared" si="338"/>
        <v>0</v>
      </c>
      <c r="CF487" s="1319">
        <f t="shared" si="338"/>
        <v>0</v>
      </c>
      <c r="CG487" s="1319">
        <f t="shared" si="338"/>
        <v>0</v>
      </c>
      <c r="CH487" s="1319">
        <f t="shared" si="338"/>
        <v>0</v>
      </c>
      <c r="CI487" s="1319">
        <f t="shared" si="338"/>
        <v>0</v>
      </c>
      <c r="CJ487" s="1319">
        <f t="shared" si="338"/>
        <v>0</v>
      </c>
      <c r="CK487" s="1319">
        <f>SUM(CK449:CK486)</f>
        <v>0</v>
      </c>
      <c r="CL487" s="1319">
        <f>SUM(CL449:CL486)</f>
        <v>0</v>
      </c>
      <c r="CM487" s="1319">
        <f>SUM(CM449:CM486)</f>
        <v>0</v>
      </c>
      <c r="CN487" s="1319">
        <f>SUM(CN449:CN486)</f>
        <v>0</v>
      </c>
      <c r="CO487" s="1319">
        <f>SUM(CO449:CO486)</f>
        <v>0</v>
      </c>
      <c r="CP487" s="1319">
        <f t="shared" ref="CP487:CY487" si="339">SUM(CP449:CP486)</f>
        <v>0</v>
      </c>
      <c r="CQ487" s="1319">
        <f t="shared" si="339"/>
        <v>0</v>
      </c>
      <c r="CR487" s="1319">
        <f t="shared" si="339"/>
        <v>0</v>
      </c>
      <c r="CS487" s="1319">
        <f t="shared" si="339"/>
        <v>0</v>
      </c>
      <c r="CT487" s="1319">
        <f t="shared" si="339"/>
        <v>0</v>
      </c>
      <c r="CU487" s="1319">
        <f t="shared" si="339"/>
        <v>0</v>
      </c>
      <c r="CV487" s="1319">
        <f t="shared" si="339"/>
        <v>0</v>
      </c>
      <c r="CW487" s="1319">
        <f t="shared" si="339"/>
        <v>0</v>
      </c>
      <c r="CX487" s="1319">
        <f t="shared" si="339"/>
        <v>0</v>
      </c>
      <c r="CY487" s="1319">
        <f t="shared" si="339"/>
        <v>0</v>
      </c>
      <c r="CZ487" s="1319">
        <f t="shared" si="338"/>
        <v>0</v>
      </c>
      <c r="DA487" s="1319">
        <f t="shared" si="338"/>
        <v>0</v>
      </c>
      <c r="DB487" s="1319">
        <f t="shared" si="338"/>
        <v>0</v>
      </c>
      <c r="DC487" s="1319">
        <f t="shared" si="338"/>
        <v>0</v>
      </c>
      <c r="DD487" s="1319">
        <f t="shared" si="338"/>
        <v>0</v>
      </c>
      <c r="DE487" s="1319">
        <f t="shared" si="338"/>
        <v>0</v>
      </c>
      <c r="DF487" s="1319">
        <f t="shared" si="338"/>
        <v>0</v>
      </c>
      <c r="DG487" s="1319">
        <f t="shared" si="338"/>
        <v>0</v>
      </c>
      <c r="DH487" s="1319">
        <f t="shared" si="338"/>
        <v>0</v>
      </c>
      <c r="DI487" s="1319">
        <f t="shared" si="338"/>
        <v>0</v>
      </c>
      <c r="DJ487" s="1319">
        <f t="shared" si="338"/>
        <v>0</v>
      </c>
      <c r="DK487" s="1319">
        <f t="shared" si="338"/>
        <v>0</v>
      </c>
      <c r="DL487" s="1319">
        <f t="shared" si="338"/>
        <v>0</v>
      </c>
      <c r="DM487" s="1319">
        <f t="shared" si="338"/>
        <v>0</v>
      </c>
      <c r="DN487" s="1319">
        <f t="shared" si="338"/>
        <v>0</v>
      </c>
      <c r="DO487" s="1319">
        <f t="shared" si="338"/>
        <v>0</v>
      </c>
      <c r="DP487" s="1319">
        <f t="shared" si="338"/>
        <v>0</v>
      </c>
      <c r="DQ487" s="1319">
        <f t="shared" si="338"/>
        <v>0</v>
      </c>
      <c r="DR487" s="1319">
        <f t="shared" si="338"/>
        <v>0</v>
      </c>
      <c r="DS487" s="1319">
        <f t="shared" si="338"/>
        <v>0</v>
      </c>
      <c r="DT487" s="1319">
        <f t="shared" si="338"/>
        <v>0</v>
      </c>
      <c r="DU487" s="1319">
        <f t="shared" si="338"/>
        <v>0</v>
      </c>
      <c r="DV487" s="1319">
        <f t="shared" si="338"/>
        <v>0</v>
      </c>
      <c r="DW487" s="1319">
        <f t="shared" si="338"/>
        <v>0</v>
      </c>
      <c r="DX487" s="1319">
        <f t="shared" si="338"/>
        <v>0</v>
      </c>
      <c r="DY487" s="1319">
        <f t="shared" si="338"/>
        <v>0</v>
      </c>
      <c r="DZ487" s="1319">
        <f t="shared" si="338"/>
        <v>0</v>
      </c>
      <c r="EA487" s="1319">
        <f t="shared" si="338"/>
        <v>0</v>
      </c>
      <c r="EB487" s="1319">
        <f t="shared" si="338"/>
        <v>0</v>
      </c>
      <c r="EC487" s="1319">
        <f t="shared" si="338"/>
        <v>0</v>
      </c>
      <c r="ED487" s="1319">
        <f t="shared" si="338"/>
        <v>0</v>
      </c>
      <c r="EE487" s="1319">
        <f t="shared" si="338"/>
        <v>0</v>
      </c>
      <c r="EF487" s="1319">
        <f t="shared" si="338"/>
        <v>0</v>
      </c>
      <c r="EG487" s="1319">
        <f t="shared" si="338"/>
        <v>0</v>
      </c>
      <c r="EH487" s="1319">
        <f t="shared" si="338"/>
        <v>0</v>
      </c>
      <c r="EI487" s="1319">
        <f t="shared" si="338"/>
        <v>0</v>
      </c>
      <c r="EJ487" s="1319">
        <f t="shared" si="338"/>
        <v>0</v>
      </c>
      <c r="EK487" s="1319">
        <f t="shared" si="338"/>
        <v>0</v>
      </c>
      <c r="EL487" s="1319">
        <f t="shared" si="338"/>
        <v>0</v>
      </c>
      <c r="EM487" s="1319">
        <f t="shared" si="338"/>
        <v>0</v>
      </c>
      <c r="EN487" s="1319">
        <f t="shared" si="338"/>
        <v>0</v>
      </c>
      <c r="EO487" s="1319">
        <f t="shared" si="338"/>
        <v>0</v>
      </c>
      <c r="EP487" s="1319">
        <f t="shared" si="338"/>
        <v>0</v>
      </c>
      <c r="EQ487" s="1319">
        <f t="shared" si="338"/>
        <v>0</v>
      </c>
      <c r="ER487" s="1319">
        <f t="shared" si="338"/>
        <v>0</v>
      </c>
      <c r="ES487" s="1319">
        <f t="shared" si="338"/>
        <v>0</v>
      </c>
      <c r="ET487" s="1319">
        <f t="shared" si="338"/>
        <v>9142</v>
      </c>
      <c r="EU487" s="1319">
        <f t="shared" si="338"/>
        <v>14445</v>
      </c>
      <c r="EV487" s="1319">
        <f t="shared" si="338"/>
        <v>0</v>
      </c>
      <c r="EW487" s="1319">
        <f t="shared" si="338"/>
        <v>0</v>
      </c>
      <c r="EX487" s="1319">
        <f t="shared" si="338"/>
        <v>0</v>
      </c>
      <c r="EY487" s="1319">
        <f t="shared" si="338"/>
        <v>11101</v>
      </c>
      <c r="EZ487" s="1319">
        <f t="shared" si="338"/>
        <v>0</v>
      </c>
      <c r="FA487" s="1319">
        <f t="shared" si="338"/>
        <v>0</v>
      </c>
      <c r="FB487" s="1319">
        <f t="shared" ref="FB487:HW487" si="340">SUM(FB449:FB486)</f>
        <v>0</v>
      </c>
      <c r="FC487" s="1319">
        <f>SUM(FC449:FC486)</f>
        <v>0</v>
      </c>
      <c r="FD487" s="1319">
        <f>SUM(FD449:FD486)</f>
        <v>0</v>
      </c>
      <c r="FE487" s="1319">
        <f>SUM(FE449:FE486)</f>
        <v>0</v>
      </c>
      <c r="FF487" s="1319">
        <f>SUM(FF449:FF486)</f>
        <v>0</v>
      </c>
      <c r="FG487" s="1319">
        <f>SUM(FG449:FG486)</f>
        <v>0</v>
      </c>
      <c r="FH487" s="1319">
        <f t="shared" si="340"/>
        <v>0</v>
      </c>
      <c r="FI487" s="1319">
        <f t="shared" si="340"/>
        <v>3918</v>
      </c>
      <c r="FJ487" s="1319">
        <f t="shared" si="340"/>
        <v>0</v>
      </c>
      <c r="FK487" s="1319">
        <f t="shared" si="340"/>
        <v>0</v>
      </c>
      <c r="FL487" s="1319">
        <f t="shared" si="340"/>
        <v>0</v>
      </c>
      <c r="FM487" s="1319">
        <f>SUM(FM449:FM486)</f>
        <v>0</v>
      </c>
      <c r="FN487" s="1319">
        <f>SUM(FN449:FN486)</f>
        <v>0</v>
      </c>
      <c r="FO487" s="1319">
        <f>SUM(FO449:FO486)</f>
        <v>0</v>
      </c>
      <c r="FP487" s="1319">
        <f>SUM(FP449:FP486)</f>
        <v>0</v>
      </c>
      <c r="FQ487" s="1319">
        <f>SUM(FQ449:FQ486)</f>
        <v>0</v>
      </c>
      <c r="FR487" s="1319">
        <f t="shared" si="340"/>
        <v>0</v>
      </c>
      <c r="FS487" s="1319">
        <f t="shared" si="340"/>
        <v>2612</v>
      </c>
      <c r="FT487" s="1319">
        <f t="shared" si="340"/>
        <v>1926</v>
      </c>
      <c r="FU487" s="1319">
        <f t="shared" si="340"/>
        <v>0</v>
      </c>
      <c r="FV487" s="1319">
        <f t="shared" si="340"/>
        <v>0</v>
      </c>
      <c r="FW487" s="1319">
        <f t="shared" si="340"/>
        <v>0</v>
      </c>
      <c r="FX487" s="1319">
        <f t="shared" si="340"/>
        <v>15019</v>
      </c>
      <c r="FY487" s="1319">
        <f t="shared" si="340"/>
        <v>0</v>
      </c>
      <c r="FZ487" s="1319">
        <f t="shared" si="340"/>
        <v>0</v>
      </c>
      <c r="GA487" s="1319">
        <f t="shared" si="340"/>
        <v>0</v>
      </c>
      <c r="GB487" s="1319">
        <f t="shared" si="340"/>
        <v>0</v>
      </c>
      <c r="GC487" s="1319">
        <f t="shared" si="340"/>
        <v>0</v>
      </c>
      <c r="GD487" s="1319">
        <f t="shared" si="340"/>
        <v>0</v>
      </c>
      <c r="GE487" s="1319">
        <f t="shared" si="340"/>
        <v>0</v>
      </c>
      <c r="GF487" s="1319">
        <f t="shared" si="340"/>
        <v>0</v>
      </c>
      <c r="GG487" s="1319">
        <f t="shared" si="340"/>
        <v>0</v>
      </c>
      <c r="GH487" s="1319">
        <f t="shared" si="340"/>
        <v>37</v>
      </c>
      <c r="GI487" s="1319">
        <f t="shared" si="340"/>
        <v>15</v>
      </c>
      <c r="GJ487" s="1319">
        <f t="shared" si="340"/>
        <v>0</v>
      </c>
      <c r="GK487" s="1319">
        <f t="shared" si="340"/>
        <v>0</v>
      </c>
      <c r="GL487" s="1319">
        <f t="shared" si="340"/>
        <v>0</v>
      </c>
      <c r="GM487" s="1319">
        <f t="shared" si="340"/>
        <v>4</v>
      </c>
      <c r="GN487" s="1319">
        <f t="shared" si="340"/>
        <v>2</v>
      </c>
      <c r="GO487" s="1319">
        <f t="shared" si="340"/>
        <v>0</v>
      </c>
      <c r="GP487" s="1319">
        <f t="shared" si="340"/>
        <v>0</v>
      </c>
      <c r="GQ487" s="1319">
        <f t="shared" si="340"/>
        <v>0</v>
      </c>
      <c r="GR487" s="1319">
        <f t="shared" si="340"/>
        <v>0</v>
      </c>
      <c r="GS487" s="1319">
        <f t="shared" si="340"/>
        <v>0</v>
      </c>
      <c r="GT487" s="1319">
        <f t="shared" si="340"/>
        <v>0</v>
      </c>
      <c r="GU487" s="1319">
        <f t="shared" si="340"/>
        <v>0</v>
      </c>
      <c r="GV487" s="1319">
        <f t="shared" si="340"/>
        <v>0</v>
      </c>
      <c r="GW487" s="1319">
        <f t="shared" si="340"/>
        <v>0</v>
      </c>
      <c r="GX487" s="1319">
        <f t="shared" si="340"/>
        <v>0</v>
      </c>
      <c r="GY487" s="1319">
        <f t="shared" si="340"/>
        <v>0</v>
      </c>
      <c r="GZ487" s="1319">
        <f t="shared" si="340"/>
        <v>0</v>
      </c>
      <c r="HA487" s="1319">
        <f t="shared" si="340"/>
        <v>0</v>
      </c>
      <c r="HB487" s="1319">
        <f t="shared" si="340"/>
        <v>0</v>
      </c>
      <c r="HC487" s="1319">
        <f t="shared" si="340"/>
        <v>0</v>
      </c>
      <c r="HD487" s="1319">
        <f t="shared" si="340"/>
        <v>0</v>
      </c>
      <c r="HE487" s="1319">
        <f t="shared" si="340"/>
        <v>0</v>
      </c>
      <c r="HF487" s="1319">
        <f t="shared" si="340"/>
        <v>0</v>
      </c>
      <c r="HG487" s="1319">
        <f t="shared" si="340"/>
        <v>0</v>
      </c>
      <c r="HH487" s="1319">
        <f t="shared" si="340"/>
        <v>0</v>
      </c>
      <c r="HI487" s="1319">
        <f t="shared" si="340"/>
        <v>0</v>
      </c>
      <c r="HJ487" s="1319">
        <f t="shared" si="340"/>
        <v>0</v>
      </c>
      <c r="HK487" s="1319">
        <f t="shared" si="340"/>
        <v>0</v>
      </c>
      <c r="HL487" s="1319">
        <f t="shared" si="340"/>
        <v>0</v>
      </c>
      <c r="HM487" s="1319">
        <f t="shared" si="340"/>
        <v>0</v>
      </c>
      <c r="HN487" s="1319">
        <f t="shared" si="340"/>
        <v>0</v>
      </c>
      <c r="HO487" s="1319">
        <f t="shared" si="340"/>
        <v>0</v>
      </c>
      <c r="HP487" s="1319">
        <f t="shared" si="340"/>
        <v>0</v>
      </c>
      <c r="HQ487" s="1319">
        <f t="shared" si="340"/>
        <v>0</v>
      </c>
      <c r="HR487" s="1319">
        <f t="shared" si="340"/>
        <v>0</v>
      </c>
      <c r="HS487" s="1319">
        <f t="shared" si="340"/>
        <v>0</v>
      </c>
      <c r="HT487" s="1319">
        <f t="shared" si="340"/>
        <v>0</v>
      </c>
      <c r="HU487" s="1319">
        <f t="shared" si="340"/>
        <v>0</v>
      </c>
      <c r="HV487" s="1319">
        <f t="shared" si="340"/>
        <v>0</v>
      </c>
      <c r="HW487" s="1319">
        <f t="shared" si="340"/>
        <v>0</v>
      </c>
      <c r="HX487" s="1319">
        <f t="shared" ref="HX487:KG487" si="341">SUM(HX449:HX486)</f>
        <v>0</v>
      </c>
      <c r="HY487" s="1319">
        <f t="shared" si="341"/>
        <v>0</v>
      </c>
      <c r="HZ487" s="1319">
        <f t="shared" si="341"/>
        <v>0</v>
      </c>
      <c r="IA487" s="1319">
        <f t="shared" si="341"/>
        <v>41</v>
      </c>
      <c r="IB487" s="1319">
        <f t="shared" si="341"/>
        <v>17</v>
      </c>
      <c r="IC487" s="1319">
        <f t="shared" si="341"/>
        <v>0</v>
      </c>
      <c r="ID487" s="1319">
        <f t="shared" si="341"/>
        <v>0</v>
      </c>
      <c r="IE487" s="1319">
        <f t="shared" si="341"/>
        <v>0</v>
      </c>
      <c r="IF487" s="1319">
        <f t="shared" si="341"/>
        <v>0</v>
      </c>
      <c r="IG487" s="1319">
        <f t="shared" si="341"/>
        <v>0</v>
      </c>
      <c r="IH487" s="1319">
        <f t="shared" si="341"/>
        <v>0</v>
      </c>
      <c r="II487" s="1319">
        <f t="shared" si="341"/>
        <v>0</v>
      </c>
      <c r="IJ487" s="1319">
        <f t="shared" si="341"/>
        <v>0</v>
      </c>
      <c r="IK487" s="1319">
        <f t="shared" si="341"/>
        <v>0</v>
      </c>
      <c r="IL487" s="1319">
        <f t="shared" si="341"/>
        <v>0</v>
      </c>
      <c r="IM487" s="1319">
        <f t="shared" si="341"/>
        <v>0</v>
      </c>
      <c r="IN487" s="1319">
        <f t="shared" si="341"/>
        <v>0</v>
      </c>
      <c r="IO487" s="1319">
        <f t="shared" si="341"/>
        <v>0</v>
      </c>
      <c r="IP487" s="1319">
        <f t="shared" si="341"/>
        <v>0</v>
      </c>
      <c r="IQ487" s="1319">
        <f t="shared" si="341"/>
        <v>0</v>
      </c>
      <c r="IR487" s="1319">
        <f t="shared" si="341"/>
        <v>0</v>
      </c>
      <c r="IS487" s="1319">
        <f t="shared" si="341"/>
        <v>0</v>
      </c>
      <c r="IT487" s="1319">
        <f t="shared" si="341"/>
        <v>0</v>
      </c>
      <c r="IU487" s="1319">
        <f t="shared" si="341"/>
        <v>0</v>
      </c>
      <c r="IV487" s="1319">
        <f t="shared" si="341"/>
        <v>0</v>
      </c>
      <c r="IW487" s="1319">
        <f t="shared" si="341"/>
        <v>0</v>
      </c>
      <c r="IX487" s="1319">
        <f t="shared" si="341"/>
        <v>0</v>
      </c>
      <c r="IY487" s="1319">
        <f t="shared" si="341"/>
        <v>0</v>
      </c>
      <c r="IZ487" s="1319">
        <f t="shared" si="341"/>
        <v>0</v>
      </c>
      <c r="JA487" s="1319">
        <f t="shared" si="341"/>
        <v>0</v>
      </c>
      <c r="JB487" s="1319">
        <f t="shared" si="341"/>
        <v>0</v>
      </c>
      <c r="JC487" s="1319">
        <f t="shared" si="341"/>
        <v>0</v>
      </c>
      <c r="JD487" s="1319">
        <f t="shared" si="341"/>
        <v>0</v>
      </c>
      <c r="JE487" s="1319">
        <f t="shared" si="341"/>
        <v>0</v>
      </c>
      <c r="JF487" s="1319">
        <f t="shared" si="341"/>
        <v>0</v>
      </c>
      <c r="JG487" s="1319">
        <f t="shared" si="341"/>
        <v>0</v>
      </c>
      <c r="JH487" s="1319">
        <f t="shared" si="341"/>
        <v>0</v>
      </c>
      <c r="JI487" s="1319">
        <f t="shared" si="341"/>
        <v>0</v>
      </c>
      <c r="JJ487" s="1319">
        <f t="shared" si="341"/>
        <v>0</v>
      </c>
      <c r="JK487" s="1319">
        <f t="shared" si="341"/>
        <v>0</v>
      </c>
      <c r="JL487" s="1319">
        <f t="shared" si="341"/>
        <v>0</v>
      </c>
      <c r="JM487" s="1319">
        <f t="shared" si="341"/>
        <v>0</v>
      </c>
      <c r="JN487" s="1319">
        <f t="shared" si="341"/>
        <v>0</v>
      </c>
      <c r="JO487" s="1319">
        <f t="shared" si="341"/>
        <v>0</v>
      </c>
      <c r="JP487" s="1319">
        <f t="shared" si="341"/>
        <v>0</v>
      </c>
      <c r="JQ487" s="1319">
        <f t="shared" si="341"/>
        <v>0</v>
      </c>
      <c r="JR487" s="1319">
        <f t="shared" si="341"/>
        <v>0</v>
      </c>
      <c r="JS487" s="1319">
        <f t="shared" si="341"/>
        <v>0</v>
      </c>
      <c r="JT487" s="1319">
        <f t="shared" si="341"/>
        <v>0</v>
      </c>
      <c r="JU487" s="1319">
        <f t="shared" si="341"/>
        <v>0</v>
      </c>
      <c r="JV487" s="1319">
        <f t="shared" si="341"/>
        <v>0</v>
      </c>
      <c r="JW487" s="1319">
        <f t="shared" si="341"/>
        <v>0</v>
      </c>
      <c r="JX487" s="1319">
        <f>SUM(JX449:JX486)</f>
        <v>0</v>
      </c>
      <c r="JY487" s="1319">
        <f>SUM(JY449:JY486)</f>
        <v>41</v>
      </c>
      <c r="JZ487" s="1319">
        <f>SUM(JZ449:JZ486)</f>
        <v>17</v>
      </c>
      <c r="KA487" s="1319">
        <f>SUM(KA449:KA486)</f>
        <v>0</v>
      </c>
      <c r="KB487" s="1319">
        <f>SUM(KB449:KB486)</f>
        <v>0</v>
      </c>
      <c r="KC487" s="1319">
        <f t="shared" si="341"/>
        <v>0</v>
      </c>
      <c r="KD487" s="1319">
        <f t="shared" si="341"/>
        <v>0</v>
      </c>
      <c r="KE487" s="1319">
        <f t="shared" si="341"/>
        <v>0</v>
      </c>
      <c r="KF487" s="1319">
        <f t="shared" si="341"/>
        <v>0</v>
      </c>
      <c r="KG487" s="1319">
        <f t="shared" si="341"/>
        <v>0</v>
      </c>
      <c r="KH487" s="1319">
        <f>SUM(KH449:KH486)</f>
        <v>0</v>
      </c>
      <c r="KI487" s="1319">
        <f>SUM(KI449:KI486)</f>
        <v>0</v>
      </c>
      <c r="KJ487" s="1319">
        <f>SUM(KJ449:KJ486)</f>
        <v>0</v>
      </c>
      <c r="KK487" s="1319">
        <f>SUM(KK449:KK486)</f>
        <v>0</v>
      </c>
      <c r="KL487" s="1319">
        <f>SUM(KL449:KL486)</f>
        <v>0</v>
      </c>
      <c r="KM487" s="1319">
        <f t="shared" ref="KM487:LA487" si="342">SUM(KM449:KM486)</f>
        <v>0</v>
      </c>
      <c r="KN487" s="1319">
        <f t="shared" si="342"/>
        <v>0</v>
      </c>
      <c r="KO487" s="1319">
        <f t="shared" si="342"/>
        <v>0</v>
      </c>
      <c r="KP487" s="1319">
        <f t="shared" si="342"/>
        <v>0</v>
      </c>
      <c r="KQ487" s="1319">
        <f t="shared" si="342"/>
        <v>0</v>
      </c>
      <c r="KR487" s="1319">
        <f>SUM(KR449:KR486)</f>
        <v>0</v>
      </c>
      <c r="KS487" s="1319">
        <f>SUM(KS449:KS486)</f>
        <v>0</v>
      </c>
      <c r="KT487" s="1319">
        <f>SUM(KT449:KT486)</f>
        <v>0</v>
      </c>
      <c r="KU487" s="1319">
        <f>SUM(KU449:KU486)</f>
        <v>0</v>
      </c>
      <c r="KV487" s="1319">
        <f>SUM(KV449:KV486)</f>
        <v>0</v>
      </c>
      <c r="KW487" s="1319">
        <f t="shared" si="342"/>
        <v>0</v>
      </c>
      <c r="KX487" s="1319">
        <f t="shared" si="342"/>
        <v>0</v>
      </c>
      <c r="KY487" s="1319">
        <f t="shared" si="342"/>
        <v>0</v>
      </c>
      <c r="KZ487" s="1319">
        <f t="shared" si="342"/>
        <v>0</v>
      </c>
      <c r="LA487" s="1319">
        <f t="shared" si="342"/>
        <v>0</v>
      </c>
      <c r="LB487" s="1319">
        <f>SUM(LB449:LB486)</f>
        <v>0</v>
      </c>
      <c r="LC487" s="1319">
        <f>SUM(LC449:LC486)</f>
        <v>0</v>
      </c>
      <c r="LD487" s="1319">
        <f>SUM(LD449:LD486)</f>
        <v>0</v>
      </c>
      <c r="LE487" s="1319">
        <f>SUM(LE449:LE486)</f>
        <v>0</v>
      </c>
      <c r="LF487" s="1319">
        <f>SUM(LF449:LF486)</f>
        <v>0</v>
      </c>
      <c r="LG487" s="1319">
        <f t="shared" ref="LG487:MU487" si="343">SUM(LG449:LG486)</f>
        <v>0</v>
      </c>
      <c r="LH487" s="1319">
        <f t="shared" si="343"/>
        <v>0</v>
      </c>
      <c r="LI487" s="1319">
        <f t="shared" si="343"/>
        <v>0</v>
      </c>
      <c r="LJ487" s="1319">
        <f t="shared" si="343"/>
        <v>0</v>
      </c>
      <c r="LK487" s="1319">
        <f t="shared" si="343"/>
        <v>0</v>
      </c>
      <c r="LL487" s="1319">
        <f t="shared" si="343"/>
        <v>0</v>
      </c>
      <c r="LM487" s="1319">
        <f t="shared" si="343"/>
        <v>0</v>
      </c>
      <c r="LN487" s="1319">
        <f t="shared" si="343"/>
        <v>0</v>
      </c>
      <c r="LO487" s="1319">
        <f t="shared" si="343"/>
        <v>0</v>
      </c>
      <c r="LP487" s="1319">
        <f t="shared" si="343"/>
        <v>0</v>
      </c>
      <c r="LQ487" s="1319">
        <f t="shared" si="343"/>
        <v>0</v>
      </c>
      <c r="LR487" s="1319">
        <f t="shared" si="343"/>
        <v>0</v>
      </c>
      <c r="LS487" s="1319">
        <f t="shared" si="343"/>
        <v>0</v>
      </c>
      <c r="LT487" s="1319">
        <f t="shared" si="343"/>
        <v>0</v>
      </c>
      <c r="LU487" s="1319">
        <f t="shared" si="343"/>
        <v>0</v>
      </c>
      <c r="LV487" s="1319">
        <f t="shared" si="343"/>
        <v>0</v>
      </c>
      <c r="LW487" s="1319">
        <f t="shared" si="343"/>
        <v>0</v>
      </c>
      <c r="LX487" s="1319">
        <f t="shared" si="343"/>
        <v>0</v>
      </c>
      <c r="LY487" s="1319">
        <f t="shared" si="343"/>
        <v>0</v>
      </c>
      <c r="LZ487" s="1319">
        <f t="shared" si="343"/>
        <v>0</v>
      </c>
      <c r="MA487" s="1319">
        <f t="shared" si="343"/>
        <v>0</v>
      </c>
      <c r="MB487" s="1319">
        <f t="shared" si="343"/>
        <v>0</v>
      </c>
      <c r="MC487" s="1319">
        <f t="shared" si="343"/>
        <v>0</v>
      </c>
      <c r="MD487" s="1319">
        <f t="shared" si="343"/>
        <v>0</v>
      </c>
      <c r="ME487" s="1319">
        <f t="shared" si="343"/>
        <v>0</v>
      </c>
      <c r="MF487" s="1319">
        <f t="shared" si="343"/>
        <v>0</v>
      </c>
      <c r="MG487" s="1319">
        <f t="shared" si="343"/>
        <v>0</v>
      </c>
      <c r="MH487" s="1319">
        <f t="shared" si="343"/>
        <v>0</v>
      </c>
      <c r="MI487" s="1319">
        <f t="shared" si="343"/>
        <v>0</v>
      </c>
      <c r="MJ487" s="1319">
        <f t="shared" si="343"/>
        <v>0</v>
      </c>
      <c r="MK487" s="1319">
        <f t="shared" si="343"/>
        <v>0</v>
      </c>
      <c r="ML487" s="1319">
        <f t="shared" si="343"/>
        <v>41</v>
      </c>
      <c r="MM487" s="1319">
        <f t="shared" si="343"/>
        <v>17</v>
      </c>
      <c r="MN487" s="1319">
        <f t="shared" si="343"/>
        <v>0</v>
      </c>
      <c r="MO487" s="1319">
        <f t="shared" si="343"/>
        <v>0</v>
      </c>
      <c r="MP487" s="1319">
        <f t="shared" si="343"/>
        <v>0</v>
      </c>
      <c r="MQ487" s="1319">
        <f t="shared" si="343"/>
        <v>0</v>
      </c>
      <c r="MR487" s="1319">
        <f t="shared" si="343"/>
        <v>0</v>
      </c>
      <c r="MS487" s="1319">
        <f t="shared" si="343"/>
        <v>0</v>
      </c>
      <c r="MT487" s="1319">
        <f t="shared" si="343"/>
        <v>0</v>
      </c>
      <c r="MU487" s="1319">
        <f t="shared" si="343"/>
        <v>0</v>
      </c>
      <c r="NP487" s="251" t="s">
        <v>1195</v>
      </c>
    </row>
    <row r="488" spans="1:380" ht="13.9" customHeight="1">
      <c r="B488" s="2283">
        <f>IF(SUM(E456:E486)=0,"",(B456*E456+B457*E457+B458*E458+B459*E459+B460*E460+B461*E461+B462*E462+B463*E463+B464*E464+B465*E465+B466*E466+B467*E467+B468*E468+B469*E469+B470*E470+B471*E471+B472*E472+B473*E473+B474*E474+B475*E475+B476*E476+B477*E477+B478*E478+B479*E479+B480*E480+B481*E481+B482*E482+B483*E483+B484*E484+B485*E485+B486*E486)/SUM(E456:E486))</f>
        <v>53.269230769230766</v>
      </c>
      <c r="C488" s="2283"/>
      <c r="D488" s="2246" t="s">
        <v>1196</v>
      </c>
      <c r="E488" s="2276">
        <f>SUM(E456:E486)</f>
        <v>52</v>
      </c>
      <c r="F488" s="2277">
        <f>(E456*F456+E457*F457+E458*F458+E459*F459+E460*F460+E461*F461+E462*F462+E463*F463+E464*F464+E465*F465+E466*F466+E467*F467+E468*F468+E469*F469+E470*F470+E471*F471+E472*F472+E473*F473+E474*F474+E475*F475+E476*F476+E477*F477+E478*F478+E479*F479+E480*F480+E481*F481+E482*F482+E483*F483+E484*F484+E485*F485+E486*F486)</f>
        <v>38606</v>
      </c>
      <c r="H488" s="2278"/>
      <c r="I488" s="2279" t="s">
        <v>1197</v>
      </c>
      <c r="J488" s="2280" t="str">
        <f>IF(P505=0,"",IF(SUM(P497:P500)/P505&gt;=0.2,"Pass","Fail"))</f>
        <v>Pass</v>
      </c>
      <c r="K488" s="257"/>
      <c r="L488" s="2275" t="s">
        <v>1198</v>
      </c>
      <c r="M488" s="2282">
        <f>M487*12</f>
        <v>813024</v>
      </c>
      <c r="N488" s="253"/>
      <c r="O488" s="253"/>
      <c r="P488" s="253"/>
      <c r="Q488" s="253"/>
      <c r="R488" s="253"/>
      <c r="S488" s="253"/>
      <c r="T488" s="253"/>
      <c r="U488" s="253"/>
      <c r="V488" s="253"/>
      <c r="W488" s="1319"/>
      <c r="X488" s="1319"/>
      <c r="Y488" s="1319"/>
      <c r="Z488" s="1319"/>
      <c r="AA488" s="1319"/>
      <c r="AB488" s="1319"/>
      <c r="AC488" s="1319"/>
      <c r="AD488" s="1319"/>
      <c r="AE488" s="1319"/>
      <c r="AF488" s="1319"/>
      <c r="AG488" s="1319"/>
      <c r="AH488" s="1319"/>
      <c r="AI488" s="1319"/>
      <c r="AJ488" s="1319"/>
      <c r="AK488" s="1319"/>
      <c r="AL488" s="1319"/>
      <c r="AM488" s="1319"/>
      <c r="AN488" s="1319"/>
      <c r="AO488" s="1319"/>
      <c r="AP488" s="1319"/>
      <c r="AQ488" s="1319"/>
      <c r="AR488" s="1319"/>
      <c r="AS488" s="1319"/>
      <c r="AT488" s="1319"/>
      <c r="AU488" s="1319"/>
      <c r="AV488" s="1319"/>
      <c r="AW488" s="1319"/>
      <c r="AX488" s="1319"/>
      <c r="AY488" s="1319"/>
      <c r="AZ488" s="1319"/>
      <c r="BA488" s="1319"/>
      <c r="BB488" s="1319"/>
      <c r="BC488" s="1319"/>
      <c r="BD488" s="1319"/>
      <c r="BE488" s="1319"/>
      <c r="BF488" s="1319"/>
      <c r="BG488" s="1319"/>
      <c r="BH488" s="1319"/>
      <c r="BI488" s="1319"/>
      <c r="BJ488" s="1319"/>
      <c r="BK488" s="1319"/>
      <c r="BL488" s="1319"/>
      <c r="BM488" s="1319"/>
      <c r="BN488" s="1319"/>
      <c r="BO488" s="1319"/>
      <c r="BP488" s="1319"/>
      <c r="BQ488" s="1319"/>
      <c r="BR488" s="1319"/>
      <c r="BS488" s="1319"/>
      <c r="BT488" s="1319"/>
      <c r="BU488" s="1319"/>
      <c r="BV488" s="1319"/>
      <c r="BW488" s="1319"/>
      <c r="BX488" s="1319"/>
      <c r="BY488" s="1319"/>
      <c r="BZ488" s="1319"/>
      <c r="CA488" s="1319"/>
      <c r="CB488" s="1319"/>
      <c r="CC488" s="1319"/>
      <c r="CD488" s="1319"/>
      <c r="CE488" s="1319"/>
      <c r="CF488" s="1319"/>
      <c r="CG488" s="1319"/>
      <c r="CH488" s="1319"/>
      <c r="CI488" s="1319"/>
      <c r="CJ488" s="1319"/>
      <c r="CK488" s="1319"/>
      <c r="CL488" s="1319"/>
      <c r="CM488" s="1319"/>
      <c r="CN488" s="1319"/>
      <c r="CO488" s="1319"/>
      <c r="CP488" s="1319"/>
      <c r="CQ488" s="1319"/>
      <c r="CR488" s="1319"/>
      <c r="CS488" s="1319"/>
      <c r="CT488" s="1319"/>
      <c r="CU488" s="1319"/>
      <c r="CV488" s="1319"/>
      <c r="CW488" s="1319"/>
      <c r="CX488" s="1319"/>
      <c r="CY488" s="1319"/>
      <c r="CZ488" s="1319"/>
      <c r="DA488" s="1319"/>
      <c r="DB488" s="1319"/>
      <c r="DC488" s="1319"/>
      <c r="DD488" s="1319"/>
      <c r="DE488" s="1319"/>
      <c r="DF488" s="1319"/>
      <c r="DG488" s="1319"/>
      <c r="DH488" s="1319"/>
      <c r="DI488" s="1319"/>
      <c r="DJ488" s="1319"/>
      <c r="DK488" s="1319"/>
      <c r="DL488" s="1319"/>
      <c r="DM488" s="1319"/>
      <c r="DN488" s="1319"/>
      <c r="DO488" s="1319"/>
      <c r="DP488" s="1319"/>
      <c r="DQ488" s="1319"/>
      <c r="DR488" s="1319"/>
      <c r="DS488" s="1319"/>
      <c r="DT488" s="1319"/>
      <c r="DU488" s="1319"/>
      <c r="DV488" s="1319"/>
      <c r="DW488" s="1319"/>
      <c r="DX488" s="1319"/>
      <c r="DY488" s="1319"/>
      <c r="DZ488" s="1319"/>
      <c r="EA488" s="1319"/>
      <c r="EB488" s="1319"/>
      <c r="EC488" s="1319"/>
      <c r="ED488" s="1319"/>
      <c r="EE488" s="1319"/>
      <c r="EF488" s="1319"/>
      <c r="EG488" s="1319"/>
      <c r="EH488" s="1319"/>
      <c r="EI488" s="1319"/>
      <c r="EJ488" s="1319"/>
      <c r="EK488" s="1319"/>
      <c r="EL488" s="1319"/>
      <c r="EM488" s="1319"/>
      <c r="EN488" s="1319"/>
      <c r="EO488" s="1319"/>
      <c r="EP488" s="1319"/>
      <c r="EQ488" s="1319"/>
      <c r="ER488" s="1319"/>
      <c r="ES488" s="1319"/>
      <c r="ET488" s="1319"/>
      <c r="EU488" s="1319"/>
      <c r="EV488" s="1319"/>
      <c r="EW488" s="1319"/>
      <c r="EX488" s="1319"/>
      <c r="EY488" s="1319"/>
      <c r="EZ488" s="1319"/>
      <c r="FA488" s="1319"/>
      <c r="FB488" s="1319"/>
      <c r="FC488" s="1319"/>
      <c r="FD488" s="1319"/>
      <c r="FE488" s="1319"/>
      <c r="FF488" s="1319"/>
      <c r="FG488" s="1319"/>
      <c r="FH488" s="1319"/>
      <c r="FI488" s="1319"/>
      <c r="FJ488" s="1319"/>
      <c r="FK488" s="1319"/>
      <c r="FL488" s="1319"/>
      <c r="FM488" s="1319"/>
      <c r="FN488" s="1319"/>
      <c r="FO488" s="1319"/>
      <c r="FP488" s="1319"/>
      <c r="FQ488" s="1319"/>
      <c r="FR488" s="1319"/>
      <c r="FS488" s="1319"/>
      <c r="FT488" s="1319"/>
      <c r="FU488" s="1319"/>
      <c r="FV488" s="1319"/>
      <c r="FW488" s="1319"/>
      <c r="FX488" s="1319"/>
      <c r="FY488" s="1319"/>
      <c r="FZ488" s="1319"/>
      <c r="GA488" s="1319"/>
      <c r="GB488" s="1319"/>
      <c r="GC488" s="1319"/>
      <c r="GD488" s="1319"/>
      <c r="GE488" s="1319"/>
      <c r="GF488" s="1319"/>
      <c r="GG488" s="1319"/>
      <c r="GH488" s="1319"/>
      <c r="GI488" s="1319"/>
      <c r="GJ488" s="1319"/>
      <c r="GK488" s="1319"/>
      <c r="GL488" s="1319"/>
      <c r="GM488" s="1319"/>
      <c r="GN488" s="1319"/>
      <c r="GO488" s="1319"/>
      <c r="GP488" s="1319"/>
      <c r="GQ488" s="1319"/>
      <c r="GR488" s="1319"/>
      <c r="GS488" s="1319"/>
      <c r="GT488" s="1319"/>
      <c r="GU488" s="1319"/>
      <c r="GV488" s="1319"/>
      <c r="GW488" s="1319"/>
      <c r="GX488" s="1319"/>
      <c r="GY488" s="1319"/>
      <c r="GZ488" s="1319"/>
      <c r="HA488" s="1319"/>
      <c r="HB488" s="1319"/>
      <c r="HC488" s="1319"/>
      <c r="HD488" s="1319"/>
      <c r="HE488" s="1319"/>
      <c r="HF488" s="1319"/>
      <c r="HG488" s="1319"/>
      <c r="HH488" s="1319"/>
      <c r="HI488" s="1319"/>
      <c r="HJ488" s="1319"/>
      <c r="HK488" s="1319"/>
      <c r="HL488" s="1319"/>
      <c r="HM488" s="1319"/>
      <c r="HN488" s="1319"/>
      <c r="HO488" s="1319"/>
      <c r="HP488" s="1319"/>
      <c r="HQ488" s="1319"/>
      <c r="HR488" s="1319"/>
      <c r="HS488" s="1319"/>
      <c r="HT488" s="1319"/>
      <c r="HU488" s="1319"/>
      <c r="HV488" s="1319"/>
      <c r="HW488" s="1319"/>
      <c r="HX488" s="1319"/>
      <c r="HY488" s="1319"/>
      <c r="HZ488" s="1319"/>
      <c r="IA488" s="1319"/>
      <c r="IB488" s="1319"/>
      <c r="IC488" s="1319"/>
      <c r="ID488" s="1319"/>
      <c r="IE488" s="1319"/>
      <c r="IF488" s="1319"/>
      <c r="IG488" s="1319"/>
      <c r="IH488" s="1319"/>
      <c r="II488" s="1319"/>
      <c r="IJ488" s="1319"/>
      <c r="IK488" s="1319"/>
      <c r="IL488" s="1319"/>
      <c r="IM488" s="1319"/>
      <c r="IN488" s="1319"/>
      <c r="IO488" s="1319"/>
      <c r="IP488" s="1319"/>
      <c r="IQ488" s="1319"/>
      <c r="IR488" s="1319"/>
      <c r="IS488" s="1319"/>
      <c r="IT488" s="1319"/>
      <c r="IU488" s="1319"/>
      <c r="IV488" s="1319"/>
      <c r="IW488" s="1319"/>
      <c r="IX488" s="1319"/>
      <c r="IY488" s="1319"/>
      <c r="IZ488" s="1319"/>
      <c r="JA488" s="1319"/>
      <c r="JB488" s="1319"/>
      <c r="JC488" s="1319"/>
      <c r="JD488" s="1319"/>
      <c r="JE488" s="1319"/>
      <c r="JF488" s="1319"/>
      <c r="JG488" s="1319"/>
      <c r="JH488" s="1319"/>
      <c r="JI488" s="1319"/>
      <c r="JJ488" s="1319"/>
      <c r="JK488" s="1319"/>
      <c r="JL488" s="1319"/>
      <c r="JM488" s="1319"/>
      <c r="JN488" s="1319"/>
      <c r="JO488" s="1319"/>
      <c r="JP488" s="1319"/>
      <c r="JQ488" s="1319"/>
      <c r="JR488" s="1319"/>
      <c r="JS488" s="1319"/>
      <c r="JT488" s="1319"/>
      <c r="JU488" s="1319"/>
      <c r="JV488" s="1319"/>
      <c r="JW488" s="1319"/>
      <c r="JX488" s="1319"/>
      <c r="JY488" s="1319"/>
      <c r="JZ488" s="1319"/>
      <c r="KA488" s="1319"/>
      <c r="KB488" s="1319"/>
      <c r="KC488" s="1319"/>
      <c r="KD488" s="1319"/>
      <c r="KE488" s="1319"/>
      <c r="KF488" s="1319"/>
      <c r="KG488" s="1319"/>
      <c r="KH488" s="1319"/>
      <c r="KI488" s="1319"/>
      <c r="KJ488" s="1319"/>
      <c r="KK488" s="1319"/>
      <c r="KL488" s="1319"/>
      <c r="KM488" s="1319"/>
      <c r="KN488" s="1319"/>
      <c r="KO488" s="1319"/>
      <c r="KP488" s="1319"/>
      <c r="KQ488" s="1319"/>
      <c r="KR488" s="1319"/>
      <c r="KS488" s="1319"/>
      <c r="KT488" s="1319"/>
      <c r="KU488" s="1319"/>
      <c r="KV488" s="1319"/>
      <c r="KW488" s="1319"/>
      <c r="KX488" s="1319"/>
      <c r="KY488" s="1319"/>
      <c r="KZ488" s="1319"/>
      <c r="LA488" s="1319"/>
      <c r="LB488" s="1319"/>
      <c r="LC488" s="1319"/>
      <c r="LD488" s="1319"/>
      <c r="LE488" s="1319"/>
      <c r="LF488" s="1319"/>
      <c r="LG488" s="1319"/>
      <c r="LH488" s="1319"/>
      <c r="LI488" s="1319"/>
      <c r="LJ488" s="1319"/>
      <c r="LK488" s="1319"/>
      <c r="LL488" s="1319"/>
      <c r="LM488" s="1319"/>
      <c r="LN488" s="1319"/>
      <c r="LO488" s="1319"/>
      <c r="LP488" s="1319"/>
      <c r="LQ488" s="1319"/>
      <c r="LR488" s="1319"/>
      <c r="LS488" s="1319"/>
      <c r="LT488" s="1319"/>
      <c r="LU488" s="1319"/>
      <c r="LV488" s="1319"/>
      <c r="LW488" s="1319"/>
      <c r="LX488" s="1319"/>
      <c r="LY488" s="1319"/>
      <c r="LZ488" s="1319"/>
      <c r="MA488" s="1319"/>
      <c r="MB488" s="1319"/>
      <c r="MC488" s="1319"/>
      <c r="MD488" s="1319"/>
      <c r="ME488" s="1319"/>
      <c r="NP488" s="251" t="s">
        <v>1199</v>
      </c>
    </row>
    <row r="489" spans="1:380" ht="6.95" customHeight="1">
      <c r="A489" s="2162" t="s">
        <v>2254</v>
      </c>
      <c r="B489" s="2107"/>
      <c r="C489" s="2107"/>
      <c r="D489" s="2107"/>
      <c r="E489" s="2107"/>
      <c r="F489" s="2107"/>
      <c r="G489" s="2107"/>
      <c r="H489" s="2107"/>
      <c r="I489" s="2107"/>
      <c r="J489" s="2107"/>
      <c r="K489" s="2107"/>
      <c r="L489" s="2107"/>
      <c r="M489" s="2107"/>
      <c r="N489" s="2107"/>
      <c r="O489" s="2107"/>
      <c r="P489" s="2107"/>
      <c r="Q489" s="2107"/>
      <c r="R489" s="2193"/>
      <c r="S489" s="253"/>
      <c r="T489" s="253"/>
      <c r="U489" s="253"/>
      <c r="V489" s="253"/>
      <c r="W489" s="1319"/>
      <c r="X489" s="1319"/>
      <c r="Y489" s="1319"/>
      <c r="Z489" s="1319"/>
      <c r="AA489" s="1319"/>
      <c r="AB489" s="1319"/>
      <c r="AC489" s="1319"/>
      <c r="AD489" s="1319"/>
      <c r="AE489" s="1319"/>
      <c r="AF489" s="1319"/>
      <c r="AG489" s="1319"/>
      <c r="AH489" s="1319"/>
      <c r="AI489" s="1319"/>
      <c r="AJ489" s="1319"/>
      <c r="AK489" s="1319"/>
      <c r="AL489" s="1319"/>
      <c r="AM489" s="1319"/>
      <c r="AN489" s="1319"/>
      <c r="AO489" s="1319"/>
      <c r="AP489" s="1319"/>
      <c r="AQ489" s="1319"/>
      <c r="AR489" s="1319"/>
      <c r="AS489" s="1319"/>
      <c r="AT489" s="1319"/>
      <c r="AU489" s="1319"/>
      <c r="AV489" s="1319"/>
      <c r="AW489" s="1319"/>
      <c r="AX489" s="1319"/>
      <c r="AY489" s="1319"/>
      <c r="AZ489" s="1319"/>
      <c r="BA489" s="1319"/>
      <c r="BB489" s="1319"/>
      <c r="BC489" s="1319"/>
      <c r="BD489" s="1319"/>
      <c r="BE489" s="1319"/>
      <c r="BF489" s="1319"/>
      <c r="BG489" s="1319"/>
      <c r="BH489" s="1319"/>
      <c r="BI489" s="1319"/>
      <c r="BJ489" s="1319"/>
      <c r="BK489" s="1319"/>
      <c r="BL489" s="1319"/>
      <c r="BM489" s="1319"/>
      <c r="BN489" s="1319"/>
      <c r="BO489" s="1319"/>
      <c r="BP489" s="1319"/>
      <c r="BQ489" s="1319"/>
      <c r="BR489" s="1319"/>
      <c r="BS489" s="1319"/>
      <c r="BT489" s="1319"/>
      <c r="BU489" s="1319"/>
      <c r="BV489" s="1319"/>
      <c r="BW489" s="1319"/>
      <c r="BX489" s="1319"/>
      <c r="BY489" s="1319"/>
      <c r="BZ489" s="1319"/>
      <c r="CA489" s="1319"/>
      <c r="CB489" s="1319"/>
      <c r="CC489" s="1319"/>
      <c r="CD489" s="1319"/>
      <c r="CE489" s="1319"/>
      <c r="CF489" s="1319"/>
      <c r="CG489" s="1319"/>
      <c r="CH489" s="1319"/>
      <c r="CI489" s="1319"/>
      <c r="CJ489" s="1319"/>
      <c r="CK489" s="1319"/>
      <c r="CL489" s="1319"/>
      <c r="CM489" s="1319"/>
      <c r="CN489" s="1319"/>
      <c r="CO489" s="1319"/>
      <c r="CP489" s="1319"/>
      <c r="CQ489" s="1319"/>
      <c r="CR489" s="1319"/>
      <c r="CS489" s="1319"/>
      <c r="CT489" s="1319"/>
      <c r="CU489" s="1319"/>
      <c r="CV489" s="1319"/>
      <c r="CW489" s="1319"/>
      <c r="CX489" s="1319"/>
      <c r="CY489" s="1319"/>
      <c r="CZ489" s="1319"/>
      <c r="DA489" s="1319"/>
      <c r="DB489" s="1319"/>
      <c r="DC489" s="1319"/>
      <c r="DD489" s="1319"/>
      <c r="DE489" s="1319"/>
      <c r="DF489" s="1319"/>
      <c r="DG489" s="1319"/>
      <c r="DH489" s="1319"/>
      <c r="DI489" s="1319"/>
      <c r="DJ489" s="1319"/>
      <c r="DK489" s="1319"/>
      <c r="DL489" s="1319"/>
      <c r="DM489" s="1319"/>
      <c r="DN489" s="1319"/>
      <c r="DO489" s="1319"/>
      <c r="DP489" s="1319"/>
      <c r="DQ489" s="1319"/>
      <c r="DR489" s="1319"/>
      <c r="DS489" s="1319"/>
      <c r="DT489" s="1319"/>
      <c r="DU489" s="1319"/>
      <c r="DV489" s="1319"/>
      <c r="DW489" s="1319"/>
      <c r="DX489" s="1319"/>
      <c r="DY489" s="1319"/>
      <c r="DZ489" s="1319"/>
      <c r="EA489" s="1319"/>
      <c r="EB489" s="1319"/>
      <c r="EC489" s="1319"/>
      <c r="ED489" s="1319"/>
      <c r="EE489" s="1319"/>
      <c r="EF489" s="1319"/>
      <c r="EG489" s="1319"/>
      <c r="EH489" s="1319"/>
      <c r="EI489" s="1319"/>
      <c r="EJ489" s="1319"/>
      <c r="EK489" s="1319"/>
      <c r="EL489" s="1319"/>
      <c r="EM489" s="1319"/>
      <c r="EN489" s="1319"/>
      <c r="EO489" s="1319"/>
      <c r="EP489" s="1319"/>
      <c r="EQ489" s="1319"/>
      <c r="ER489" s="1319"/>
      <c r="ES489" s="1319"/>
      <c r="ET489" s="1319"/>
      <c r="EU489" s="1319"/>
      <c r="EV489" s="1319"/>
      <c r="EW489" s="1319"/>
      <c r="EX489" s="1319"/>
      <c r="EY489" s="1319"/>
      <c r="EZ489" s="1319"/>
      <c r="FA489" s="1319"/>
      <c r="FB489" s="1319"/>
      <c r="FC489" s="1319"/>
      <c r="FD489" s="1319"/>
      <c r="FE489" s="1319"/>
      <c r="FF489" s="1319"/>
      <c r="FG489" s="1319"/>
      <c r="FH489" s="1319"/>
      <c r="FI489" s="1319"/>
      <c r="FJ489" s="1319"/>
      <c r="FK489" s="1319"/>
      <c r="FL489" s="1319"/>
      <c r="FM489" s="1319"/>
      <c r="FN489" s="1319"/>
      <c r="FO489" s="1319"/>
      <c r="FP489" s="1319"/>
      <c r="FQ489" s="1319"/>
      <c r="FR489" s="1319"/>
      <c r="FS489" s="1319"/>
      <c r="FT489" s="1319"/>
      <c r="FU489" s="1319"/>
      <c r="FV489" s="1319"/>
      <c r="FW489" s="1319"/>
      <c r="FX489" s="1319"/>
      <c r="FY489" s="1319"/>
      <c r="FZ489" s="1319"/>
      <c r="GA489" s="1319"/>
      <c r="GB489" s="1319"/>
      <c r="GC489" s="1319"/>
      <c r="GD489" s="1319"/>
      <c r="GE489" s="1319"/>
      <c r="GF489" s="1319"/>
      <c r="GG489" s="1319"/>
      <c r="GH489" s="1319"/>
      <c r="GI489" s="1319"/>
      <c r="GJ489" s="1319"/>
      <c r="GK489" s="1319"/>
      <c r="GL489" s="1319"/>
      <c r="GM489" s="1319"/>
      <c r="GN489" s="1319"/>
      <c r="GO489" s="1319"/>
      <c r="GP489" s="1319"/>
      <c r="GQ489" s="1319"/>
      <c r="GR489" s="1319"/>
      <c r="GS489" s="1319"/>
      <c r="GT489" s="1319"/>
      <c r="GU489" s="1319"/>
      <c r="GV489" s="1319"/>
      <c r="GW489" s="1319"/>
      <c r="GX489" s="1319"/>
      <c r="GY489" s="1319"/>
      <c r="GZ489" s="1319"/>
      <c r="HA489" s="1319"/>
      <c r="HB489" s="1319"/>
      <c r="HC489" s="1319"/>
      <c r="HD489" s="1319"/>
      <c r="HE489" s="1319"/>
      <c r="HF489" s="1319"/>
      <c r="HG489" s="1319"/>
      <c r="HH489" s="1319"/>
      <c r="HI489" s="1319"/>
      <c r="HJ489" s="1319"/>
      <c r="HK489" s="1319"/>
      <c r="HL489" s="1319"/>
      <c r="HM489" s="1319"/>
      <c r="HN489" s="1319"/>
      <c r="HO489" s="1319"/>
      <c r="HP489" s="1319"/>
      <c r="HQ489" s="1319"/>
      <c r="HR489" s="1319"/>
      <c r="HS489" s="1319"/>
      <c r="HT489" s="1319"/>
      <c r="HU489" s="1319"/>
      <c r="HV489" s="1319"/>
      <c r="HW489" s="1319"/>
      <c r="HX489" s="1319"/>
      <c r="HY489" s="1319"/>
      <c r="HZ489" s="1319"/>
      <c r="IA489" s="1319"/>
      <c r="IB489" s="1319"/>
      <c r="IC489" s="1319"/>
      <c r="ID489" s="1319"/>
      <c r="IE489" s="1319"/>
      <c r="IF489" s="1319"/>
      <c r="IG489" s="1319"/>
      <c r="IH489" s="1319"/>
      <c r="II489" s="1319"/>
      <c r="IJ489" s="1319"/>
      <c r="IK489" s="1319"/>
      <c r="IL489" s="1319"/>
      <c r="IM489" s="1319"/>
      <c r="IN489" s="1319"/>
      <c r="IO489" s="1319"/>
      <c r="IP489" s="1319"/>
      <c r="IQ489" s="1319"/>
      <c r="IR489" s="1319"/>
      <c r="IS489" s="1319"/>
      <c r="IT489" s="1319"/>
      <c r="IU489" s="1319"/>
      <c r="IV489" s="1319"/>
      <c r="IW489" s="1319"/>
      <c r="IX489" s="1319"/>
      <c r="IY489" s="1319"/>
      <c r="IZ489" s="1319"/>
      <c r="JA489" s="1319"/>
      <c r="JB489" s="1319"/>
      <c r="JC489" s="1319"/>
      <c r="JD489" s="1319"/>
      <c r="JE489" s="1319"/>
      <c r="JF489" s="1319"/>
      <c r="JG489" s="1319"/>
      <c r="JH489" s="1319"/>
      <c r="JI489" s="1319"/>
      <c r="JJ489" s="1319"/>
      <c r="JK489" s="1319"/>
      <c r="JL489" s="1319"/>
      <c r="JM489" s="1319"/>
      <c r="JN489" s="1319"/>
      <c r="JO489" s="1319"/>
      <c r="JP489" s="1319"/>
      <c r="JQ489" s="1319"/>
      <c r="JR489" s="1319"/>
      <c r="JS489" s="1319"/>
      <c r="JT489" s="1319"/>
      <c r="JU489" s="1319"/>
      <c r="JV489" s="1319"/>
      <c r="JW489" s="1319"/>
      <c r="JX489" s="1319"/>
      <c r="JY489" s="1319"/>
      <c r="JZ489" s="1319"/>
      <c r="KA489" s="1319"/>
      <c r="KB489" s="1319"/>
      <c r="KC489" s="1319"/>
      <c r="KD489" s="1319"/>
      <c r="KE489" s="1319"/>
      <c r="KF489" s="1319"/>
      <c r="KG489" s="1319"/>
      <c r="KH489" s="1319"/>
      <c r="KI489" s="1319"/>
      <c r="KJ489" s="1319"/>
      <c r="KK489" s="1319"/>
      <c r="KL489" s="1319"/>
      <c r="KM489" s="1319"/>
      <c r="KN489" s="1319"/>
      <c r="KO489" s="1319"/>
      <c r="KP489" s="1319"/>
      <c r="KQ489" s="1319"/>
      <c r="KR489" s="1319"/>
      <c r="KS489" s="1319"/>
      <c r="KT489" s="1319"/>
      <c r="KU489" s="1319"/>
      <c r="KV489" s="1319"/>
      <c r="KW489" s="1319"/>
      <c r="KX489" s="1319"/>
      <c r="KY489" s="1319"/>
      <c r="KZ489" s="1319"/>
      <c r="LA489" s="1319"/>
      <c r="LB489" s="1319"/>
      <c r="LC489" s="1319"/>
      <c r="LD489" s="1319"/>
      <c r="LE489" s="1319"/>
      <c r="LF489" s="1319"/>
      <c r="LG489" s="1319"/>
      <c r="LH489" s="1319"/>
      <c r="LI489" s="1319"/>
      <c r="LJ489" s="1319"/>
      <c r="LK489" s="1319"/>
      <c r="LL489" s="1319"/>
      <c r="LM489" s="1319"/>
      <c r="LN489" s="1319"/>
      <c r="LO489" s="1319"/>
      <c r="LP489" s="1319"/>
      <c r="LQ489" s="1319"/>
      <c r="LR489" s="1319"/>
      <c r="LS489" s="1319"/>
      <c r="LT489" s="1319"/>
      <c r="LU489" s="1319"/>
      <c r="LV489" s="1319"/>
      <c r="LW489" s="1319"/>
      <c r="LX489" s="1319"/>
      <c r="LY489" s="1319"/>
      <c r="LZ489" s="1319"/>
      <c r="MA489" s="1319"/>
      <c r="MB489" s="1319"/>
      <c r="MC489" s="1319"/>
      <c r="MD489" s="1319"/>
      <c r="ME489" s="1319"/>
    </row>
    <row r="490" spans="1:380" ht="7.5" customHeight="1">
      <c r="A490" s="2107"/>
      <c r="B490" s="2107"/>
      <c r="C490" s="2107"/>
      <c r="D490" s="2107"/>
      <c r="E490" s="2107"/>
      <c r="F490" s="2107"/>
      <c r="G490" s="2107"/>
      <c r="H490" s="2107"/>
      <c r="I490" s="2107"/>
      <c r="J490" s="2107"/>
      <c r="K490" s="2107"/>
      <c r="L490" s="2107"/>
      <c r="M490" s="2107"/>
      <c r="N490" s="2107"/>
      <c r="O490" s="2107"/>
      <c r="P490" s="2107"/>
      <c r="Q490" s="2107"/>
      <c r="R490" s="2193"/>
      <c r="S490" s="253"/>
      <c r="T490" s="253"/>
      <c r="U490" s="253"/>
      <c r="V490" s="253"/>
      <c r="W490" s="1319"/>
      <c r="X490" s="1319"/>
      <c r="Y490" s="1319"/>
      <c r="Z490" s="1319"/>
      <c r="AA490" s="1319"/>
      <c r="AB490" s="1319"/>
      <c r="AC490" s="1319"/>
      <c r="AD490" s="1319"/>
      <c r="AE490" s="1319"/>
      <c r="AF490" s="1319"/>
      <c r="AG490" s="1319"/>
      <c r="AH490" s="1319"/>
      <c r="AI490" s="1319"/>
      <c r="AJ490" s="1319"/>
      <c r="AK490" s="1319"/>
      <c r="AL490" s="1319"/>
      <c r="AM490" s="1319"/>
      <c r="AN490" s="1319"/>
      <c r="AO490" s="1319"/>
      <c r="AP490" s="1319"/>
      <c r="AQ490" s="1319"/>
      <c r="AR490" s="1319"/>
      <c r="AS490" s="1319"/>
      <c r="AT490" s="1319"/>
      <c r="AU490" s="1319"/>
      <c r="AV490" s="1319"/>
      <c r="AW490" s="1319"/>
      <c r="AX490" s="1319"/>
      <c r="AY490" s="1319"/>
      <c r="AZ490" s="1319"/>
      <c r="BA490" s="1319"/>
      <c r="BB490" s="1319"/>
      <c r="BC490" s="1319"/>
      <c r="BD490" s="1319"/>
      <c r="BE490" s="1319"/>
      <c r="BF490" s="1319"/>
      <c r="BG490" s="1319"/>
      <c r="BH490" s="1319"/>
      <c r="BI490" s="1319"/>
      <c r="BJ490" s="1319"/>
      <c r="BK490" s="1319"/>
      <c r="BL490" s="1319"/>
      <c r="BM490" s="1319"/>
      <c r="BN490" s="1319"/>
      <c r="BO490" s="1319"/>
      <c r="BP490" s="1319"/>
      <c r="BQ490" s="1319"/>
      <c r="BR490" s="1319"/>
      <c r="BS490" s="1319"/>
      <c r="BT490" s="1319"/>
      <c r="BU490" s="1319"/>
      <c r="BV490" s="1319"/>
      <c r="BW490" s="1319"/>
      <c r="BX490" s="1319"/>
      <c r="BY490" s="1319"/>
      <c r="BZ490" s="1319"/>
      <c r="CA490" s="1319"/>
      <c r="CB490" s="1319"/>
      <c r="CC490" s="1319"/>
      <c r="CD490" s="1319"/>
      <c r="CE490" s="1319"/>
      <c r="CF490" s="1319"/>
      <c r="CG490" s="1319"/>
      <c r="CH490" s="1319"/>
      <c r="CI490" s="1319"/>
      <c r="CJ490" s="1319"/>
      <c r="CK490" s="1319"/>
      <c r="CL490" s="1319"/>
      <c r="CM490" s="1319"/>
      <c r="CN490" s="1319"/>
      <c r="CO490" s="1319"/>
      <c r="CP490" s="1319"/>
      <c r="CQ490" s="1319"/>
      <c r="CR490" s="1319"/>
      <c r="CS490" s="1319"/>
      <c r="CT490" s="1319"/>
      <c r="CU490" s="1319"/>
      <c r="CV490" s="1319"/>
      <c r="CW490" s="1319"/>
      <c r="CX490" s="1319"/>
      <c r="CY490" s="1319"/>
      <c r="CZ490" s="1319"/>
      <c r="DA490" s="1319"/>
      <c r="DB490" s="1319"/>
      <c r="DC490" s="1319"/>
      <c r="DD490" s="1319"/>
      <c r="DE490" s="1319"/>
      <c r="DF490" s="1319"/>
      <c r="DG490" s="1319"/>
      <c r="DH490" s="1319"/>
      <c r="DI490" s="1319"/>
      <c r="DJ490" s="1319"/>
      <c r="DK490" s="1319"/>
      <c r="DL490" s="1319"/>
      <c r="DM490" s="1319"/>
      <c r="DN490" s="1319"/>
      <c r="DO490" s="1319"/>
      <c r="DP490" s="1319"/>
      <c r="DQ490" s="1319"/>
      <c r="DR490" s="1319"/>
      <c r="DS490" s="1319"/>
      <c r="DT490" s="1319"/>
      <c r="DU490" s="1319"/>
      <c r="DV490" s="1319"/>
      <c r="DW490" s="1319"/>
      <c r="DX490" s="1319"/>
      <c r="DY490" s="1319"/>
      <c r="DZ490" s="1319"/>
      <c r="EA490" s="1319"/>
      <c r="EB490" s="1319"/>
      <c r="EC490" s="1319"/>
      <c r="ED490" s="1319"/>
      <c r="EE490" s="1319"/>
      <c r="EF490" s="1319"/>
      <c r="EG490" s="1319"/>
      <c r="EH490" s="1319"/>
      <c r="EI490" s="1319"/>
      <c r="EJ490" s="1319"/>
      <c r="EK490" s="1319"/>
      <c r="EL490" s="1319"/>
      <c r="EM490" s="1319"/>
      <c r="EN490" s="1319"/>
      <c r="EO490" s="1319"/>
      <c r="EP490" s="1319"/>
      <c r="EQ490" s="1319"/>
      <c r="ER490" s="1319"/>
      <c r="ES490" s="1319"/>
      <c r="ET490" s="1319"/>
      <c r="EU490" s="1319"/>
      <c r="EV490" s="1319"/>
      <c r="EW490" s="1319"/>
      <c r="EX490" s="1319"/>
      <c r="EY490" s="1319"/>
      <c r="EZ490" s="1319"/>
      <c r="FA490" s="1319"/>
      <c r="FB490" s="1319"/>
      <c r="FC490" s="1319"/>
      <c r="FD490" s="1319"/>
      <c r="FE490" s="1319"/>
      <c r="FF490" s="1319"/>
      <c r="FG490" s="1319"/>
      <c r="FH490" s="1319"/>
      <c r="FI490" s="1319"/>
      <c r="FJ490" s="1319"/>
      <c r="FK490" s="1319"/>
      <c r="FL490" s="1319"/>
      <c r="FM490" s="1319"/>
      <c r="FN490" s="1319"/>
      <c r="FO490" s="1319"/>
      <c r="FP490" s="1319"/>
      <c r="FQ490" s="1319"/>
      <c r="FR490" s="1319"/>
      <c r="FS490" s="1319"/>
      <c r="FT490" s="1319"/>
      <c r="FU490" s="1319"/>
      <c r="FV490" s="1319"/>
      <c r="FW490" s="1319"/>
      <c r="FX490" s="1319"/>
      <c r="FY490" s="1319"/>
      <c r="FZ490" s="1319"/>
      <c r="GA490" s="1319"/>
      <c r="GB490" s="1319"/>
      <c r="GC490" s="1319"/>
      <c r="GD490" s="1319"/>
      <c r="GE490" s="1319"/>
      <c r="GF490" s="1319"/>
      <c r="GG490" s="1319"/>
      <c r="GH490" s="1319"/>
      <c r="GI490" s="1319"/>
      <c r="GJ490" s="1319"/>
      <c r="GK490" s="1319"/>
      <c r="GL490" s="1319"/>
      <c r="GM490" s="1319"/>
      <c r="GN490" s="1319"/>
      <c r="GO490" s="1319"/>
      <c r="GP490" s="1319"/>
      <c r="GQ490" s="1319"/>
      <c r="GR490" s="1319"/>
      <c r="GS490" s="1319"/>
      <c r="GT490" s="1319"/>
      <c r="GU490" s="1319"/>
      <c r="GV490" s="1319"/>
      <c r="GW490" s="1319"/>
      <c r="GX490" s="1319"/>
      <c r="GY490" s="1319"/>
      <c r="GZ490" s="1319"/>
      <c r="HA490" s="1319"/>
      <c r="HB490" s="1319"/>
      <c r="HC490" s="1319"/>
      <c r="HD490" s="1319"/>
      <c r="HE490" s="1319"/>
      <c r="HF490" s="1319"/>
      <c r="HG490" s="1319"/>
      <c r="HH490" s="1319"/>
      <c r="HI490" s="1319"/>
      <c r="HJ490" s="1319"/>
      <c r="HK490" s="1319"/>
      <c r="HL490" s="1319"/>
      <c r="HM490" s="1319"/>
      <c r="HN490" s="1319"/>
      <c r="HO490" s="1319"/>
      <c r="HP490" s="1319"/>
      <c r="HQ490" s="1319"/>
      <c r="HR490" s="1319"/>
      <c r="HS490" s="1319"/>
      <c r="HT490" s="1319"/>
      <c r="HU490" s="1319"/>
      <c r="HV490" s="1319"/>
      <c r="HW490" s="1319"/>
      <c r="HX490" s="1319"/>
      <c r="HY490" s="1319"/>
      <c r="HZ490" s="1319"/>
      <c r="IA490" s="1319"/>
      <c r="IB490" s="1319"/>
      <c r="IC490" s="1319"/>
      <c r="ID490" s="1319"/>
      <c r="IE490" s="1319"/>
      <c r="IF490" s="1319"/>
      <c r="IG490" s="1319"/>
      <c r="IH490" s="1319"/>
      <c r="II490" s="1319"/>
      <c r="IJ490" s="1319"/>
      <c r="IK490" s="1319"/>
      <c r="IL490" s="1319"/>
      <c r="IM490" s="1319"/>
      <c r="IN490" s="1319"/>
      <c r="IO490" s="1319"/>
      <c r="IP490" s="1319"/>
      <c r="IQ490" s="1319"/>
      <c r="IR490" s="1319"/>
      <c r="IS490" s="1319"/>
      <c r="IT490" s="1319"/>
      <c r="IU490" s="1319"/>
      <c r="IV490" s="1319"/>
      <c r="IW490" s="1319"/>
      <c r="IX490" s="1319"/>
      <c r="IY490" s="1319"/>
      <c r="IZ490" s="1319"/>
      <c r="JA490" s="1319"/>
      <c r="JB490" s="1319"/>
      <c r="JC490" s="1319"/>
      <c r="JD490" s="1319"/>
      <c r="JE490" s="1319"/>
      <c r="JF490" s="1319"/>
      <c r="JG490" s="1319"/>
      <c r="JH490" s="1319"/>
      <c r="JI490" s="1319"/>
      <c r="JJ490" s="1319"/>
      <c r="JK490" s="1319"/>
      <c r="JL490" s="1319"/>
      <c r="JM490" s="1319"/>
      <c r="JN490" s="1319"/>
      <c r="JO490" s="1319"/>
      <c r="JP490" s="1319"/>
      <c r="JQ490" s="1319"/>
      <c r="JR490" s="1319"/>
      <c r="JS490" s="1319"/>
      <c r="JT490" s="1319"/>
      <c r="JU490" s="1319"/>
      <c r="JV490" s="1319"/>
      <c r="JW490" s="1319"/>
      <c r="JX490" s="1319"/>
      <c r="JY490" s="1319"/>
      <c r="JZ490" s="1319"/>
      <c r="KA490" s="1319"/>
      <c r="KB490" s="1319"/>
      <c r="KC490" s="1319"/>
      <c r="KD490" s="1319"/>
      <c r="KE490" s="1319"/>
      <c r="KF490" s="1319"/>
      <c r="KG490" s="1319"/>
      <c r="KH490" s="1319"/>
      <c r="KI490" s="1319"/>
      <c r="KJ490" s="1319"/>
      <c r="KK490" s="1319"/>
      <c r="KL490" s="1319"/>
      <c r="KM490" s="1319"/>
      <c r="KN490" s="1319"/>
      <c r="KO490" s="1319"/>
      <c r="KP490" s="1319"/>
      <c r="KQ490" s="1319"/>
      <c r="KR490" s="1319"/>
      <c r="KS490" s="1319"/>
      <c r="KT490" s="1319"/>
      <c r="KU490" s="1319"/>
      <c r="KV490" s="1319"/>
      <c r="KW490" s="1319"/>
      <c r="KX490" s="1319"/>
      <c r="KY490" s="1319"/>
      <c r="KZ490" s="1319"/>
      <c r="LA490" s="1319"/>
      <c r="LB490" s="1319"/>
      <c r="LC490" s="1319"/>
      <c r="LD490" s="1319"/>
      <c r="LE490" s="1319"/>
      <c r="LF490" s="1319"/>
      <c r="LG490" s="1319"/>
      <c r="LH490" s="1319"/>
      <c r="LI490" s="1319"/>
      <c r="LJ490" s="1319"/>
      <c r="LK490" s="1319"/>
      <c r="LL490" s="1319"/>
      <c r="LM490" s="1319"/>
      <c r="LN490" s="1319"/>
      <c r="LO490" s="1319"/>
      <c r="LP490" s="1319"/>
      <c r="LQ490" s="1319"/>
      <c r="LR490" s="1319"/>
      <c r="LS490" s="1319"/>
      <c r="LT490" s="1319"/>
      <c r="LU490" s="1319"/>
      <c r="LV490" s="1319"/>
      <c r="LW490" s="1319"/>
      <c r="LX490" s="1319"/>
      <c r="LY490" s="1319"/>
      <c r="LZ490" s="1319"/>
      <c r="MA490" s="1319"/>
      <c r="MB490" s="1319"/>
      <c r="MC490" s="1319"/>
      <c r="MD490" s="1319"/>
      <c r="ME490" s="1319"/>
    </row>
    <row r="491" spans="1:380" ht="14.65" customHeight="1">
      <c r="A491" s="255" t="s">
        <v>25</v>
      </c>
      <c r="B491" s="255" t="s">
        <v>1201</v>
      </c>
      <c r="K491" s="2284" t="s">
        <v>1202</v>
      </c>
      <c r="O491" s="2101" t="str">
        <f>'Part V-Revenues &amp; Expenses'!O53</f>
        <v>40% of Units at 60% of AMI</v>
      </c>
      <c r="P491" s="2101"/>
      <c r="S491" s="1317" t="str">
        <f>B491</f>
        <v>UNIT SUMMARY</v>
      </c>
      <c r="T491" s="1317"/>
      <c r="U491" s="1317"/>
      <c r="V491" s="1317"/>
      <c r="AY491" s="253"/>
      <c r="BD491" s="253"/>
      <c r="JW491" s="1318"/>
      <c r="KB491" s="1318"/>
      <c r="KG491" s="1318"/>
      <c r="KL491" s="1318"/>
      <c r="KM491" s="1318"/>
      <c r="KN491" s="1318"/>
      <c r="KO491" s="1318"/>
      <c r="KP491" s="1318"/>
      <c r="KQ491" s="1318"/>
      <c r="KR491" s="1318"/>
      <c r="KS491" s="1318"/>
      <c r="KT491" s="1318"/>
      <c r="KU491" s="1318"/>
      <c r="KV491" s="1318"/>
      <c r="KW491" s="1318"/>
      <c r="KX491" s="1318"/>
      <c r="KY491" s="1318"/>
      <c r="KZ491" s="1318"/>
      <c r="LA491" s="1318"/>
      <c r="LB491" s="1318"/>
      <c r="LC491" s="1318"/>
      <c r="LD491" s="1318"/>
      <c r="LE491" s="1318"/>
      <c r="LF491" s="1318"/>
      <c r="LG491" s="1318"/>
      <c r="LN491" s="255"/>
      <c r="LO491" s="255"/>
      <c r="ME491" s="255"/>
    </row>
    <row r="492" spans="1:380" ht="14.25" customHeight="1">
      <c r="A492" s="255"/>
      <c r="B492" s="255"/>
      <c r="K492" s="1380" t="s">
        <v>1204</v>
      </c>
      <c r="O492" s="2101" t="str">
        <f>'Part V-Revenues &amp; Expenses'!O54</f>
        <v>N/a</v>
      </c>
      <c r="P492" s="2101"/>
      <c r="S492" s="255"/>
      <c r="T492" s="255"/>
      <c r="U492" s="2246"/>
      <c r="AY492" s="253"/>
      <c r="BD492" s="253"/>
      <c r="JW492" s="1318"/>
      <c r="KB492" s="1318"/>
      <c r="KG492" s="1318"/>
      <c r="KL492" s="1318"/>
      <c r="KM492" s="1318"/>
      <c r="KN492" s="1318"/>
      <c r="KO492" s="1318"/>
      <c r="KP492" s="1318"/>
      <c r="KQ492" s="1318"/>
      <c r="KR492" s="1318"/>
      <c r="KS492" s="1318"/>
      <c r="KT492" s="1318"/>
      <c r="KU492" s="1318"/>
      <c r="KV492" s="1318"/>
      <c r="KW492" s="1318"/>
      <c r="KX492" s="1318"/>
      <c r="KY492" s="1318"/>
      <c r="KZ492" s="1318"/>
      <c r="LA492" s="1318"/>
      <c r="LB492" s="1318"/>
      <c r="LC492" s="1318"/>
      <c r="LD492" s="1318"/>
      <c r="LE492" s="1318"/>
      <c r="LF492" s="1318"/>
      <c r="LG492" s="1318"/>
      <c r="LN492" s="255"/>
      <c r="LO492" s="255"/>
      <c r="ME492" s="255"/>
    </row>
    <row r="493" spans="1:380" ht="14.65" customHeight="1">
      <c r="A493" s="255"/>
      <c r="B493" s="255" t="s">
        <v>1206</v>
      </c>
      <c r="H493" s="251" t="s">
        <v>1207</v>
      </c>
      <c r="K493" s="2285" t="s">
        <v>792</v>
      </c>
      <c r="L493" s="1457" t="s">
        <v>1208</v>
      </c>
      <c r="M493" s="1457" t="s">
        <v>1209</v>
      </c>
      <c r="N493" s="1457" t="s">
        <v>1210</v>
      </c>
      <c r="O493" s="1457" t="s">
        <v>1211</v>
      </c>
      <c r="P493" s="1457" t="s">
        <v>299</v>
      </c>
      <c r="S493" s="255" t="s">
        <v>814</v>
      </c>
      <c r="T493" s="255"/>
      <c r="U493" s="2246"/>
      <c r="AR493" s="1457"/>
      <c r="AS493" s="1457"/>
      <c r="AT493" s="1457"/>
      <c r="AU493" s="1457"/>
      <c r="AV493" s="1457"/>
      <c r="AW493" s="1457"/>
      <c r="AY493" s="253"/>
      <c r="BB493" s="1457"/>
      <c r="BD493" s="253"/>
      <c r="JW493" s="1318"/>
      <c r="KB493" s="1318"/>
      <c r="KG493" s="1318"/>
      <c r="KL493" s="1318"/>
      <c r="KM493" s="1318"/>
      <c r="KN493" s="1318"/>
      <c r="KO493" s="1318"/>
      <c r="KP493" s="1318"/>
      <c r="KQ493" s="1318"/>
      <c r="KR493" s="1318"/>
      <c r="KS493" s="1318"/>
      <c r="KT493" s="1318"/>
      <c r="KU493" s="1318"/>
      <c r="KV493" s="1318"/>
      <c r="KW493" s="1318"/>
      <c r="KX493" s="1318"/>
      <c r="KY493" s="1318"/>
      <c r="KZ493" s="1318"/>
      <c r="LA493" s="1318"/>
      <c r="LB493" s="1318"/>
      <c r="LC493" s="1318"/>
      <c r="LD493" s="1318"/>
      <c r="LE493" s="1318"/>
      <c r="LF493" s="1318"/>
      <c r="LG493" s="1318"/>
      <c r="LN493" s="255"/>
      <c r="LO493" s="255"/>
      <c r="ME493" s="255"/>
    </row>
    <row r="494" spans="1:380" ht="15" customHeight="1">
      <c r="A494" s="2286" t="s">
        <v>1212</v>
      </c>
      <c r="B494" s="2286"/>
      <c r="C494" s="253" t="s">
        <v>1213</v>
      </c>
      <c r="D494" s="253"/>
      <c r="E494" s="253"/>
      <c r="F494" s="253"/>
      <c r="H494" s="1106" t="s">
        <v>1214</v>
      </c>
      <c r="I494" s="256"/>
      <c r="K494" s="2287">
        <f>X487</f>
        <v>0</v>
      </c>
      <c r="L494" s="2287">
        <f>Y487</f>
        <v>0</v>
      </c>
      <c r="M494" s="2287">
        <f>Z487</f>
        <v>0</v>
      </c>
      <c r="N494" s="2287">
        <f>AA487</f>
        <v>0</v>
      </c>
      <c r="O494" s="2287">
        <f>AB487</f>
        <v>0</v>
      </c>
      <c r="P494" s="2287">
        <f t="shared" ref="P494:P505" si="344">SUM(K494:O494)</f>
        <v>0</v>
      </c>
      <c r="Q494" s="2107" t="s">
        <v>1215</v>
      </c>
      <c r="R494" s="1438"/>
      <c r="S494" s="2273"/>
      <c r="T494" s="2273"/>
      <c r="U494" s="2273"/>
      <c r="V494" s="2273"/>
      <c r="W494" s="2273"/>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318"/>
      <c r="KB494" s="1318"/>
      <c r="KG494" s="1318"/>
      <c r="KL494" s="1318"/>
      <c r="KM494" s="1318"/>
      <c r="KN494" s="1318"/>
      <c r="KO494" s="1318"/>
      <c r="KP494" s="1318"/>
      <c r="KQ494" s="1318"/>
      <c r="KR494" s="1318"/>
      <c r="KS494" s="1318"/>
      <c r="KT494" s="1318"/>
      <c r="KU494" s="1318"/>
      <c r="KV494" s="1318"/>
      <c r="KW494" s="1318"/>
      <c r="KX494" s="1318"/>
      <c r="KY494" s="1318"/>
      <c r="KZ494" s="1318"/>
      <c r="LA494" s="1318"/>
      <c r="LB494" s="1318"/>
      <c r="LC494" s="1318"/>
      <c r="LD494" s="1318"/>
      <c r="LE494" s="1318"/>
      <c r="LF494" s="1318"/>
      <c r="LG494" s="1318"/>
      <c r="LN494" s="255"/>
      <c r="LO494" s="255"/>
      <c r="ME494" s="255"/>
    </row>
    <row r="495" spans="1:380" ht="15" customHeight="1">
      <c r="A495" s="2286"/>
      <c r="B495" s="2286"/>
      <c r="C495" s="253"/>
      <c r="D495" s="253"/>
      <c r="E495" s="253"/>
      <c r="F495" s="253"/>
      <c r="H495" s="1106" t="s">
        <v>1216</v>
      </c>
      <c r="I495" s="256"/>
      <c r="K495" s="2287">
        <f>AC487</f>
        <v>0</v>
      </c>
      <c r="L495" s="2287">
        <f>AD487</f>
        <v>0</v>
      </c>
      <c r="M495" s="2287">
        <f>AE487</f>
        <v>0</v>
      </c>
      <c r="N495" s="2287">
        <f>AF487</f>
        <v>0</v>
      </c>
      <c r="O495" s="2287">
        <f>AG487</f>
        <v>0</v>
      </c>
      <c r="P495" s="2287">
        <f t="shared" si="344"/>
        <v>0</v>
      </c>
      <c r="Q495" s="2107"/>
      <c r="R495" s="1438"/>
      <c r="S495" s="2273"/>
      <c r="T495" s="2273"/>
      <c r="U495" s="2273"/>
      <c r="V495" s="2273"/>
      <c r="W495" s="2273"/>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318"/>
      <c r="KB495" s="1318"/>
      <c r="KG495" s="1318"/>
      <c r="KL495" s="1318"/>
      <c r="KM495" s="1318"/>
      <c r="KN495" s="1318"/>
      <c r="KO495" s="1318"/>
      <c r="KP495" s="1318"/>
      <c r="KQ495" s="1318"/>
      <c r="KR495" s="1318"/>
      <c r="KS495" s="1318"/>
      <c r="KT495" s="1318"/>
      <c r="KU495" s="1318"/>
      <c r="KV495" s="1318"/>
      <c r="KW495" s="1318"/>
      <c r="KX495" s="1318"/>
      <c r="KY495" s="1318"/>
      <c r="KZ495" s="1318"/>
      <c r="LA495" s="1318"/>
      <c r="LB495" s="1318"/>
      <c r="LC495" s="1318"/>
      <c r="LD495" s="1318"/>
      <c r="LE495" s="1318"/>
      <c r="LF495" s="1318"/>
      <c r="LG495" s="1318"/>
      <c r="LN495" s="255"/>
      <c r="LO495" s="255"/>
      <c r="ME495" s="255"/>
    </row>
    <row r="496" spans="1:380" ht="15" customHeight="1">
      <c r="A496" s="2286"/>
      <c r="B496" s="2286"/>
      <c r="C496" s="253"/>
      <c r="D496" s="253"/>
      <c r="E496" s="253"/>
      <c r="F496" s="253"/>
      <c r="H496" s="1106" t="s">
        <v>1217</v>
      </c>
      <c r="I496" s="256"/>
      <c r="K496" s="2287">
        <f>AH487</f>
        <v>0</v>
      </c>
      <c r="L496" s="2287">
        <f>AI487</f>
        <v>14</v>
      </c>
      <c r="M496" s="2287">
        <f>AJ487</f>
        <v>15</v>
      </c>
      <c r="N496" s="2287">
        <f>AK487</f>
        <v>0</v>
      </c>
      <c r="O496" s="2287">
        <f>AL487</f>
        <v>0</v>
      </c>
      <c r="P496" s="2287">
        <f t="shared" si="344"/>
        <v>29</v>
      </c>
      <c r="Q496" s="2107"/>
      <c r="R496" s="1438"/>
      <c r="S496" s="2273"/>
      <c r="T496" s="2273"/>
      <c r="U496" s="2273"/>
      <c r="V496" s="2273"/>
      <c r="W496" s="2273"/>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318"/>
      <c r="KB496" s="1318"/>
      <c r="KG496" s="1318"/>
      <c r="KL496" s="1318"/>
      <c r="KM496" s="1318"/>
      <c r="KN496" s="1318"/>
      <c r="KO496" s="1318"/>
      <c r="KP496" s="1318"/>
      <c r="KQ496" s="1318"/>
      <c r="KR496" s="1318"/>
      <c r="KS496" s="1318"/>
      <c r="KT496" s="1318"/>
      <c r="KU496" s="1318"/>
      <c r="KV496" s="1318"/>
      <c r="KW496" s="1318"/>
      <c r="KX496" s="1318"/>
      <c r="KY496" s="1318"/>
      <c r="KZ496" s="1318"/>
      <c r="LA496" s="1318"/>
      <c r="LB496" s="1318"/>
      <c r="LC496" s="1318"/>
      <c r="LD496" s="1318"/>
      <c r="LE496" s="1318"/>
      <c r="LF496" s="1318"/>
      <c r="LG496" s="1318"/>
      <c r="LN496" s="255"/>
      <c r="LO496" s="255"/>
      <c r="ME496" s="255"/>
    </row>
    <row r="497" spans="1:343" ht="15" customHeight="1">
      <c r="A497" s="2286"/>
      <c r="B497" s="2286"/>
      <c r="C497" s="253"/>
      <c r="D497" s="253"/>
      <c r="E497" s="253"/>
      <c r="F497" s="253"/>
      <c r="H497" s="1106" t="s">
        <v>1218</v>
      </c>
      <c r="I497" s="256"/>
      <c r="K497" s="2287">
        <f>AM487</f>
        <v>0</v>
      </c>
      <c r="L497" s="2287">
        <f>AN487</f>
        <v>17</v>
      </c>
      <c r="M497" s="2287">
        <f>AO487</f>
        <v>0</v>
      </c>
      <c r="N497" s="2287">
        <f>AP487</f>
        <v>0</v>
      </c>
      <c r="O497" s="2287">
        <f>AQ487</f>
        <v>0</v>
      </c>
      <c r="P497" s="2287">
        <f t="shared" si="344"/>
        <v>17</v>
      </c>
      <c r="Q497" s="2107"/>
      <c r="R497" s="1438"/>
      <c r="S497" s="2273"/>
      <c r="T497" s="2273"/>
      <c r="U497" s="2273"/>
      <c r="V497" s="2273"/>
      <c r="W497" s="2273"/>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318"/>
      <c r="KB497" s="1318"/>
      <c r="KG497" s="1318"/>
      <c r="KL497" s="1318"/>
      <c r="KM497" s="1318"/>
      <c r="KN497" s="1318"/>
      <c r="KO497" s="1318"/>
      <c r="KP497" s="1318"/>
      <c r="KQ497" s="1318"/>
      <c r="KR497" s="1318"/>
      <c r="KS497" s="1318"/>
      <c r="KT497" s="1318"/>
      <c r="KU497" s="1318"/>
      <c r="KV497" s="1318"/>
      <c r="KW497" s="1318"/>
      <c r="KX497" s="1318"/>
      <c r="KY497" s="1318"/>
      <c r="KZ497" s="1318"/>
      <c r="LA497" s="1318"/>
      <c r="LB497" s="1318"/>
      <c r="LC497" s="1318"/>
      <c r="LD497" s="1318"/>
      <c r="LE497" s="1318"/>
      <c r="LF497" s="1318"/>
      <c r="LG497" s="1318"/>
      <c r="LN497" s="255"/>
      <c r="LO497" s="255"/>
      <c r="ME497" s="255"/>
    </row>
    <row r="498" spans="1:343" ht="15" customHeight="1">
      <c r="A498" s="2286"/>
      <c r="B498" s="2286"/>
      <c r="C498" s="253"/>
      <c r="D498" s="253"/>
      <c r="E498" s="253"/>
      <c r="F498" s="253"/>
      <c r="H498" s="1106" t="s">
        <v>1219</v>
      </c>
      <c r="I498" s="256"/>
      <c r="K498" s="2287">
        <f>AR487</f>
        <v>0</v>
      </c>
      <c r="L498" s="2287">
        <f>AS487</f>
        <v>0</v>
      </c>
      <c r="M498" s="2287">
        <f>AT487</f>
        <v>0</v>
      </c>
      <c r="N498" s="2287">
        <f>AU487</f>
        <v>0</v>
      </c>
      <c r="O498" s="2287">
        <f>AV487</f>
        <v>0</v>
      </c>
      <c r="P498" s="2287">
        <f t="shared" si="344"/>
        <v>0</v>
      </c>
      <c r="Q498" s="2107"/>
      <c r="R498" s="1438"/>
      <c r="S498" s="2273"/>
      <c r="T498" s="2273"/>
      <c r="U498" s="2273"/>
      <c r="V498" s="2273"/>
      <c r="W498" s="2273"/>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318"/>
      <c r="KB498" s="1318"/>
      <c r="KG498" s="1318"/>
      <c r="KL498" s="1318"/>
      <c r="KM498" s="1318"/>
      <c r="KN498" s="1318"/>
      <c r="KO498" s="1318"/>
      <c r="KP498" s="1318"/>
      <c r="KQ498" s="1318"/>
      <c r="KR498" s="1318"/>
      <c r="KS498" s="1318"/>
      <c r="KT498" s="1318"/>
      <c r="KU498" s="1318"/>
      <c r="KV498" s="1318"/>
      <c r="KW498" s="1318"/>
      <c r="KX498" s="1318"/>
      <c r="KY498" s="1318"/>
      <c r="KZ498" s="1318"/>
      <c r="LA498" s="1318"/>
      <c r="LB498" s="1318"/>
      <c r="LC498" s="1318"/>
      <c r="LD498" s="1318"/>
      <c r="LE498" s="1318"/>
      <c r="LF498" s="1318"/>
      <c r="LG498" s="1318"/>
      <c r="LN498" s="255"/>
      <c r="LO498" s="255"/>
      <c r="ME498" s="255"/>
    </row>
    <row r="499" spans="1:343" ht="15" customHeight="1">
      <c r="A499" s="2286"/>
      <c r="B499" s="2286"/>
      <c r="C499" s="253"/>
      <c r="D499" s="253"/>
      <c r="E499" s="253"/>
      <c r="F499" s="253"/>
      <c r="H499" s="1106" t="s">
        <v>1220</v>
      </c>
      <c r="I499" s="256"/>
      <c r="K499" s="2287">
        <f>AW487</f>
        <v>0</v>
      </c>
      <c r="L499" s="2287">
        <f>AX487</f>
        <v>6</v>
      </c>
      <c r="M499" s="2287">
        <f>AY487</f>
        <v>0</v>
      </c>
      <c r="N499" s="2287">
        <f>AZ487</f>
        <v>0</v>
      </c>
      <c r="O499" s="2287">
        <f>BA487</f>
        <v>0</v>
      </c>
      <c r="P499" s="2287">
        <f t="shared" si="344"/>
        <v>6</v>
      </c>
      <c r="Q499" s="2107"/>
      <c r="R499" s="1438"/>
      <c r="S499" s="2273"/>
      <c r="T499" s="2273"/>
      <c r="U499" s="2273"/>
      <c r="V499" s="2273"/>
      <c r="W499" s="2273"/>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318"/>
      <c r="KB499" s="1318"/>
      <c r="KG499" s="1318"/>
      <c r="KL499" s="1318"/>
      <c r="KM499" s="1318"/>
      <c r="KN499" s="1318"/>
      <c r="KO499" s="1318"/>
      <c r="KP499" s="1318"/>
      <c r="KQ499" s="1318"/>
      <c r="KR499" s="1318"/>
      <c r="KS499" s="1318"/>
      <c r="KT499" s="1318"/>
      <c r="KU499" s="1318"/>
      <c r="KV499" s="1318"/>
      <c r="KW499" s="1318"/>
      <c r="KX499" s="1318"/>
      <c r="KY499" s="1318"/>
      <c r="KZ499" s="1318"/>
      <c r="LA499" s="1318"/>
      <c r="LB499" s="1318"/>
      <c r="LC499" s="1318"/>
      <c r="LD499" s="1318"/>
      <c r="LE499" s="1318"/>
      <c r="LF499" s="1318"/>
      <c r="LG499" s="1318"/>
      <c r="LN499" s="255"/>
      <c r="LO499" s="255"/>
      <c r="ME499" s="255"/>
    </row>
    <row r="500" spans="1:343" ht="15" customHeight="1">
      <c r="A500" s="2286"/>
      <c r="B500" s="2286"/>
      <c r="C500" s="1317"/>
      <c r="D500" s="253"/>
      <c r="E500" s="253"/>
      <c r="F500" s="253"/>
      <c r="H500" s="1106" t="s">
        <v>1221</v>
      </c>
      <c r="I500" s="256"/>
      <c r="K500" s="2287">
        <f>BB487</f>
        <v>0</v>
      </c>
      <c r="L500" s="2287">
        <f>BC487</f>
        <v>0</v>
      </c>
      <c r="M500" s="2287">
        <f>BD487</f>
        <v>0</v>
      </c>
      <c r="N500" s="2287">
        <f>BE487</f>
        <v>0</v>
      </c>
      <c r="O500" s="2287">
        <f>BF487</f>
        <v>0</v>
      </c>
      <c r="P500" s="2287">
        <f t="shared" si="344"/>
        <v>0</v>
      </c>
      <c r="Q500" s="2107"/>
      <c r="R500" s="1438"/>
      <c r="S500" s="2273"/>
      <c r="T500" s="2273"/>
      <c r="U500" s="2273"/>
      <c r="V500" s="2273"/>
      <c r="W500" s="2273"/>
      <c r="X500" s="1317"/>
      <c r="AA500" s="253"/>
      <c r="AB500" s="256"/>
      <c r="AC500" s="1317"/>
      <c r="AF500" s="253"/>
      <c r="AG500" s="256"/>
      <c r="AH500" s="1317"/>
      <c r="AK500" s="253"/>
      <c r="AL500" s="256"/>
      <c r="AM500" s="1317"/>
      <c r="AP500" s="253"/>
      <c r="AQ500" s="256"/>
      <c r="AR500" s="257"/>
      <c r="AS500" s="257"/>
      <c r="AT500" s="257"/>
      <c r="AU500" s="257"/>
      <c r="AV500" s="257"/>
      <c r="AW500" s="257"/>
      <c r="AX500" s="256"/>
      <c r="AY500" s="253"/>
      <c r="BB500" s="257"/>
      <c r="BC500" s="256"/>
      <c r="BD500" s="253"/>
      <c r="JW500" s="1318"/>
      <c r="KB500" s="1318"/>
      <c r="KG500" s="1318"/>
      <c r="KL500" s="1318"/>
      <c r="KM500" s="1318"/>
      <c r="KN500" s="1318"/>
      <c r="KO500" s="1318"/>
      <c r="KP500" s="1318"/>
      <c r="KQ500" s="1318"/>
      <c r="KR500" s="1318"/>
      <c r="KS500" s="1318"/>
      <c r="KT500" s="1318"/>
      <c r="KU500" s="1318"/>
      <c r="KV500" s="1318"/>
      <c r="KW500" s="1318"/>
      <c r="KX500" s="1318"/>
      <c r="KY500" s="1318"/>
      <c r="KZ500" s="1318"/>
      <c r="LA500" s="1318"/>
      <c r="LB500" s="1318"/>
      <c r="LC500" s="1318"/>
      <c r="LD500" s="1318"/>
      <c r="LE500" s="1318"/>
      <c r="LF500" s="1318"/>
      <c r="LG500" s="1318"/>
      <c r="LN500" s="255"/>
      <c r="LO500" s="255"/>
      <c r="ME500" s="255"/>
    </row>
    <row r="501" spans="1:343" ht="15" customHeight="1">
      <c r="A501" s="2286"/>
      <c r="B501" s="2286"/>
      <c r="C501" s="1106" t="s">
        <v>1222</v>
      </c>
      <c r="D501" s="253"/>
      <c r="E501" s="253"/>
      <c r="F501" s="253"/>
      <c r="H501" s="254"/>
      <c r="I501" s="612"/>
      <c r="K501" s="2287">
        <f>SUM(K494:K500)</f>
        <v>0</v>
      </c>
      <c r="L501" s="2287">
        <f>SUM(L494:L500)</f>
        <v>37</v>
      </c>
      <c r="M501" s="2287">
        <f>SUM(M494:M500)</f>
        <v>15</v>
      </c>
      <c r="N501" s="2287">
        <f>SUM(N494:N500)</f>
        <v>0</v>
      </c>
      <c r="O501" s="2287">
        <f>SUM(O494:O500)</f>
        <v>0</v>
      </c>
      <c r="P501" s="2287">
        <f t="shared" si="344"/>
        <v>52</v>
      </c>
      <c r="Q501" s="2107"/>
      <c r="S501" s="2273"/>
      <c r="T501" s="2273"/>
      <c r="U501" s="2273"/>
      <c r="V501" s="2273"/>
      <c r="W501" s="2273"/>
      <c r="X501" s="1317"/>
      <c r="AA501" s="253"/>
      <c r="AB501" s="256"/>
      <c r="AC501" s="1317"/>
      <c r="AF501" s="253"/>
      <c r="AG501" s="256"/>
      <c r="AH501" s="1317"/>
      <c r="AK501" s="253"/>
      <c r="AL501" s="256"/>
      <c r="AM501" s="1317"/>
      <c r="AP501" s="253"/>
      <c r="AQ501" s="256"/>
      <c r="AR501" s="257"/>
      <c r="AS501" s="257"/>
      <c r="AT501" s="257"/>
      <c r="AU501" s="257"/>
      <c r="AV501" s="257"/>
      <c r="AW501" s="257"/>
      <c r="AX501" s="256"/>
      <c r="AY501" s="253"/>
      <c r="BB501" s="257"/>
      <c r="BC501" s="256"/>
      <c r="BD501" s="253"/>
      <c r="JW501" s="1318"/>
      <c r="KB501" s="1318"/>
      <c r="KG501" s="1318"/>
      <c r="KL501" s="1318"/>
      <c r="KM501" s="1318"/>
      <c r="KN501" s="1318"/>
      <c r="KO501" s="1318"/>
      <c r="KP501" s="1318"/>
      <c r="KQ501" s="1318"/>
      <c r="KR501" s="1318"/>
      <c r="KS501" s="1318"/>
      <c r="KT501" s="1318"/>
      <c r="KU501" s="1318"/>
      <c r="KV501" s="1318"/>
      <c r="KW501" s="1318"/>
      <c r="KX501" s="1318"/>
      <c r="KY501" s="1318"/>
      <c r="KZ501" s="1318"/>
      <c r="LA501" s="1318"/>
      <c r="LB501" s="1318"/>
      <c r="LC501" s="1318"/>
      <c r="LD501" s="1318"/>
      <c r="LE501" s="1318"/>
      <c r="LF501" s="1318"/>
      <c r="LG501" s="1318"/>
      <c r="LN501" s="255"/>
      <c r="LO501" s="255"/>
      <c r="ME501" s="255"/>
    </row>
    <row r="502" spans="1:343" ht="15" customHeight="1">
      <c r="A502" s="2286"/>
      <c r="B502" s="2286"/>
      <c r="D502" s="253"/>
      <c r="E502" s="253"/>
      <c r="F502" s="253"/>
      <c r="H502" s="1106" t="s">
        <v>1150</v>
      </c>
      <c r="I502" s="256"/>
      <c r="K502" s="2287">
        <f>BG487</f>
        <v>0</v>
      </c>
      <c r="L502" s="2287">
        <f>BH487</f>
        <v>4</v>
      </c>
      <c r="M502" s="2287">
        <f>BI487</f>
        <v>2</v>
      </c>
      <c r="N502" s="2287">
        <f>BJ487</f>
        <v>0</v>
      </c>
      <c r="O502" s="2287">
        <f>BK487</f>
        <v>0</v>
      </c>
      <c r="P502" s="2287">
        <f t="shared" si="344"/>
        <v>6</v>
      </c>
      <c r="S502" s="2273"/>
      <c r="T502" s="2273"/>
      <c r="U502" s="2273"/>
      <c r="V502" s="2273"/>
      <c r="W502" s="2273"/>
      <c r="X502" s="253"/>
      <c r="AA502" s="253"/>
      <c r="AB502" s="256"/>
      <c r="AC502" s="253"/>
      <c r="AF502" s="253"/>
      <c r="AG502" s="256"/>
      <c r="AH502" s="253"/>
      <c r="AK502" s="253"/>
      <c r="AL502" s="256"/>
      <c r="AM502" s="253"/>
      <c r="AP502" s="253"/>
      <c r="AQ502" s="256"/>
      <c r="AR502" s="257"/>
      <c r="AS502" s="257"/>
      <c r="AT502" s="257"/>
      <c r="AU502" s="257"/>
      <c r="AV502" s="257"/>
      <c r="AW502" s="257"/>
      <c r="AX502" s="612"/>
      <c r="AY502" s="253"/>
      <c r="BB502" s="257"/>
      <c r="BC502" s="612"/>
      <c r="BD502" s="253"/>
      <c r="JW502" s="1318"/>
      <c r="KB502" s="1318"/>
      <c r="KG502" s="1318"/>
      <c r="KL502" s="1318"/>
      <c r="KM502" s="1318"/>
      <c r="KN502" s="1318"/>
      <c r="KO502" s="1318"/>
      <c r="KP502" s="1318"/>
      <c r="KQ502" s="1318"/>
      <c r="KR502" s="1318"/>
      <c r="KS502" s="1318"/>
      <c r="KT502" s="1318"/>
      <c r="KU502" s="1318"/>
      <c r="KV502" s="1318"/>
      <c r="KW502" s="1318"/>
      <c r="KX502" s="1318"/>
      <c r="KY502" s="1318"/>
      <c r="KZ502" s="1318"/>
      <c r="LA502" s="1318"/>
      <c r="LB502" s="1318"/>
      <c r="LC502" s="1318"/>
      <c r="LD502" s="1318"/>
      <c r="LE502" s="1318"/>
      <c r="LF502" s="1318"/>
      <c r="LG502" s="1318"/>
      <c r="LN502" s="255"/>
      <c r="LO502" s="255"/>
      <c r="ME502" s="255"/>
    </row>
    <row r="503" spans="1:343" ht="15" customHeight="1">
      <c r="A503" s="2286"/>
      <c r="B503" s="2286"/>
      <c r="C503" s="2288" t="s">
        <v>1223</v>
      </c>
      <c r="D503" s="2288"/>
      <c r="E503" s="2288"/>
      <c r="F503" s="2288"/>
      <c r="G503" s="2289"/>
      <c r="H503" s="2290"/>
      <c r="I503" s="2291"/>
      <c r="J503" s="2289"/>
      <c r="K503" s="2292">
        <f>SUM(K501:K502)</f>
        <v>0</v>
      </c>
      <c r="L503" s="2292">
        <f>SUM(L501:L502)</f>
        <v>41</v>
      </c>
      <c r="M503" s="2292">
        <f>SUM(M501:M502)</f>
        <v>17</v>
      </c>
      <c r="N503" s="2292">
        <f>SUM(N501:N502)</f>
        <v>0</v>
      </c>
      <c r="O503" s="2292">
        <f>SUM(O501:O502)</f>
        <v>0</v>
      </c>
      <c r="P503" s="2292">
        <f t="shared" si="344"/>
        <v>58</v>
      </c>
      <c r="S503" s="2273"/>
      <c r="T503" s="2273"/>
      <c r="U503" s="2273"/>
      <c r="V503" s="2273"/>
      <c r="W503" s="2273"/>
      <c r="X503" s="253"/>
      <c r="AA503" s="253"/>
      <c r="AB503" s="256"/>
      <c r="AC503" s="253"/>
      <c r="AF503" s="253"/>
      <c r="AG503" s="256"/>
      <c r="AH503" s="253"/>
      <c r="AK503" s="253"/>
      <c r="AL503" s="256"/>
      <c r="AM503" s="253"/>
      <c r="AP503" s="253"/>
      <c r="AQ503" s="256"/>
      <c r="AR503" s="257"/>
      <c r="AS503" s="257"/>
      <c r="AT503" s="257"/>
      <c r="AU503" s="257"/>
      <c r="AV503" s="257"/>
      <c r="AW503" s="257"/>
      <c r="AX503" s="612"/>
      <c r="AY503" s="253"/>
      <c r="BB503" s="257"/>
      <c r="BC503" s="612"/>
      <c r="BD503" s="253"/>
      <c r="JW503" s="1318"/>
      <c r="KB503" s="1318"/>
      <c r="KG503" s="1318"/>
      <c r="KL503" s="1318"/>
      <c r="KM503" s="1318"/>
      <c r="KN503" s="1318"/>
      <c r="KO503" s="1318"/>
      <c r="KP503" s="1318"/>
      <c r="KQ503" s="1318"/>
      <c r="KR503" s="1318"/>
      <c r="KS503" s="1318"/>
      <c r="KT503" s="1318"/>
      <c r="KU503" s="1318"/>
      <c r="KV503" s="1318"/>
      <c r="KW503" s="1318"/>
      <c r="KX503" s="1318"/>
      <c r="KY503" s="1318"/>
      <c r="KZ503" s="1318"/>
      <c r="LA503" s="1318"/>
      <c r="LB503" s="1318"/>
      <c r="LC503" s="1318"/>
      <c r="LD503" s="1318"/>
      <c r="LE503" s="1318"/>
      <c r="LF503" s="1318"/>
      <c r="LG503" s="1318"/>
      <c r="LN503" s="255"/>
      <c r="LO503" s="255"/>
      <c r="ME503" s="255"/>
    </row>
    <row r="504" spans="1:343" ht="15" customHeight="1">
      <c r="A504" s="2286"/>
      <c r="B504" s="2286"/>
      <c r="D504" s="253"/>
      <c r="E504" s="253"/>
      <c r="F504" s="253"/>
      <c r="H504" s="1106" t="s">
        <v>1224</v>
      </c>
      <c r="I504" s="256"/>
      <c r="K504" s="2287">
        <f>ED487</f>
        <v>0</v>
      </c>
      <c r="L504" s="2287">
        <f>EE487</f>
        <v>0</v>
      </c>
      <c r="M504" s="2287">
        <f>EF487</f>
        <v>0</v>
      </c>
      <c r="N504" s="2287">
        <f>EG487</f>
        <v>0</v>
      </c>
      <c r="O504" s="2287">
        <f>EH487</f>
        <v>0</v>
      </c>
      <c r="P504" s="2287">
        <f t="shared" si="344"/>
        <v>0</v>
      </c>
      <c r="Q504" s="2107" t="s">
        <v>1225</v>
      </c>
      <c r="S504" s="2273"/>
      <c r="T504" s="2273"/>
      <c r="U504" s="2273"/>
      <c r="V504" s="2273"/>
      <c r="W504" s="2273"/>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318"/>
      <c r="KB504" s="1318"/>
      <c r="KG504" s="1318"/>
      <c r="KL504" s="1318"/>
      <c r="KM504" s="1318"/>
      <c r="KN504" s="1318"/>
      <c r="KO504" s="1318"/>
      <c r="KP504" s="1318"/>
      <c r="KQ504" s="1318"/>
      <c r="KR504" s="1318"/>
      <c r="KS504" s="1318"/>
      <c r="KT504" s="1318"/>
      <c r="KU504" s="1318"/>
      <c r="KV504" s="1318"/>
      <c r="KW504" s="1318"/>
      <c r="KX504" s="1318"/>
      <c r="KY504" s="1318"/>
      <c r="KZ504" s="1318"/>
      <c r="LA504" s="1318"/>
      <c r="LB504" s="1318"/>
      <c r="LC504" s="1318"/>
      <c r="LD504" s="1318"/>
      <c r="LE504" s="1318"/>
      <c r="LF504" s="1318"/>
      <c r="LG504" s="1318"/>
      <c r="LN504" s="255"/>
      <c r="LO504" s="255"/>
      <c r="ME504" s="255"/>
    </row>
    <row r="505" spans="1:343" ht="15" customHeight="1">
      <c r="A505" s="2286"/>
      <c r="B505" s="2286"/>
      <c r="C505" s="1317" t="s">
        <v>1226</v>
      </c>
      <c r="D505" s="253"/>
      <c r="E505" s="253"/>
      <c r="F505" s="253"/>
      <c r="H505" s="1106"/>
      <c r="I505" s="256"/>
      <c r="K505" s="2293">
        <f>SUM(K503:K504)</f>
        <v>0</v>
      </c>
      <c r="L505" s="2293">
        <f>SUM(L503:L504)</f>
        <v>41</v>
      </c>
      <c r="M505" s="2293">
        <f>SUM(M503:M504)</f>
        <v>17</v>
      </c>
      <c r="N505" s="2293">
        <f>SUM(N503:N504)</f>
        <v>0</v>
      </c>
      <c r="O505" s="2293">
        <f>SUM(O503:O504)</f>
        <v>0</v>
      </c>
      <c r="P505" s="2293">
        <f t="shared" si="344"/>
        <v>58</v>
      </c>
      <c r="S505" s="2273"/>
      <c r="T505" s="2273"/>
      <c r="U505" s="2273"/>
      <c r="V505" s="2273"/>
      <c r="W505" s="2273"/>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318"/>
      <c r="KB505" s="1318"/>
      <c r="KG505" s="1318"/>
      <c r="KL505" s="1318"/>
      <c r="KM505" s="1318"/>
      <c r="KN505" s="1318"/>
      <c r="KO505" s="1318"/>
      <c r="KP505" s="1318"/>
      <c r="KQ505" s="1318"/>
      <c r="KR505" s="1318"/>
      <c r="KS505" s="1318"/>
      <c r="KT505" s="1318"/>
      <c r="KU505" s="1318"/>
      <c r="KV505" s="1318"/>
      <c r="KW505" s="1318"/>
      <c r="KX505" s="1318"/>
      <c r="KY505" s="1318"/>
      <c r="KZ505" s="1318"/>
      <c r="LA505" s="1318"/>
      <c r="LB505" s="1318"/>
      <c r="LC505" s="1318"/>
      <c r="LD505" s="1318"/>
      <c r="LE505" s="1318"/>
      <c r="LF505" s="1318"/>
      <c r="LG505" s="1318"/>
      <c r="LN505" s="255"/>
      <c r="LO505" s="255"/>
      <c r="ME505" s="255"/>
    </row>
    <row r="506" spans="1:343" ht="16.149999999999999" customHeight="1">
      <c r="A506" s="2286"/>
      <c r="B506" s="2286"/>
      <c r="C506" s="2294"/>
      <c r="D506" s="2294"/>
      <c r="E506" s="2294"/>
      <c r="F506" s="2294"/>
      <c r="G506" s="2294"/>
      <c r="H506" s="2286"/>
      <c r="I506" s="2294"/>
      <c r="J506" s="2294"/>
      <c r="K506" s="2294"/>
      <c r="L506" s="2294"/>
      <c r="M506" s="2294"/>
      <c r="N506" s="2294"/>
      <c r="O506" s="2294"/>
      <c r="P506" s="2294"/>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318"/>
      <c r="KB506" s="1318"/>
      <c r="KG506" s="1318"/>
      <c r="KL506" s="1318"/>
      <c r="KM506" s="1318"/>
      <c r="KN506" s="1318"/>
      <c r="KO506" s="1318"/>
      <c r="KP506" s="1318"/>
      <c r="KQ506" s="1318"/>
      <c r="KR506" s="1318"/>
      <c r="KS506" s="1318"/>
      <c r="KT506" s="1318"/>
      <c r="KU506" s="1318"/>
      <c r="KV506" s="1318"/>
      <c r="KW506" s="1318"/>
      <c r="KX506" s="1318"/>
      <c r="KY506" s="1318"/>
      <c r="KZ506" s="1318"/>
      <c r="LA506" s="1318"/>
      <c r="LB506" s="1318"/>
      <c r="LC506" s="1318"/>
      <c r="LD506" s="1318"/>
      <c r="LE506" s="1318"/>
      <c r="LF506" s="1318"/>
      <c r="LG506" s="1318"/>
      <c r="LN506" s="255"/>
      <c r="LO506" s="255"/>
      <c r="ME506" s="255"/>
    </row>
    <row r="507" spans="1:343" ht="12" customHeight="1">
      <c r="A507" s="2286"/>
      <c r="B507" s="2286"/>
      <c r="C507" s="2294" t="s">
        <v>1227</v>
      </c>
      <c r="D507" s="2294"/>
      <c r="E507" s="2294"/>
      <c r="F507" s="2294"/>
      <c r="G507" s="2294"/>
      <c r="H507" s="2286"/>
      <c r="I507" s="2294"/>
      <c r="J507" s="2294"/>
      <c r="K507" s="2294"/>
      <c r="L507" s="2294"/>
      <c r="M507" s="2294"/>
      <c r="N507" s="2294"/>
      <c r="O507" s="2294"/>
      <c r="P507" s="2294"/>
      <c r="S507" s="2075" t="str">
        <f>C507</f>
        <v xml:space="preserve">Income Limit Distribution among Bedroom Sizes </v>
      </c>
      <c r="U507" s="2251"/>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318"/>
      <c r="KB507" s="1318"/>
      <c r="KG507" s="1318"/>
      <c r="KL507" s="1318"/>
      <c r="KM507" s="1318"/>
      <c r="KN507" s="1318"/>
      <c r="KO507" s="1318"/>
      <c r="KP507" s="1318"/>
      <c r="KQ507" s="1318"/>
      <c r="KR507" s="1318"/>
      <c r="KS507" s="1318"/>
      <c r="KT507" s="1318"/>
      <c r="KU507" s="1318"/>
      <c r="KV507" s="1318"/>
      <c r="KW507" s="1318"/>
      <c r="KX507" s="1318"/>
      <c r="KY507" s="1318"/>
      <c r="KZ507" s="1318"/>
      <c r="LA507" s="1318"/>
      <c r="LB507" s="1318"/>
      <c r="LC507" s="1318"/>
      <c r="LD507" s="1318"/>
      <c r="LE507" s="1318"/>
      <c r="LF507" s="1318"/>
      <c r="LG507" s="1318"/>
      <c r="LN507" s="255"/>
      <c r="LO507" s="255"/>
      <c r="ME507" s="255"/>
    </row>
    <row r="508" spans="1:343" ht="13.15" customHeight="1">
      <c r="A508" s="2286"/>
      <c r="B508" s="2286"/>
      <c r="C508" s="2294"/>
      <c r="D508" s="2294"/>
      <c r="E508" s="2294"/>
      <c r="F508" s="2294"/>
      <c r="H508" s="1106" t="s">
        <v>1214</v>
      </c>
      <c r="I508" s="256"/>
      <c r="J508" s="2295"/>
      <c r="K508" s="2296" t="str">
        <f t="shared" ref="K508:P508" si="345">IF(OR(K494=0,K505=0),"",K494/K505)</f>
        <v/>
      </c>
      <c r="L508" s="2296" t="str">
        <f t="shared" si="345"/>
        <v/>
      </c>
      <c r="M508" s="2296" t="str">
        <f t="shared" si="345"/>
        <v/>
      </c>
      <c r="N508" s="2296" t="str">
        <f t="shared" si="345"/>
        <v/>
      </c>
      <c r="O508" s="2296" t="str">
        <f t="shared" si="345"/>
        <v/>
      </c>
      <c r="P508" s="2296" t="str">
        <f t="shared" si="345"/>
        <v/>
      </c>
      <c r="Q508" s="1438" t="s">
        <v>1228</v>
      </c>
      <c r="S508" s="2273"/>
      <c r="T508" s="2273"/>
      <c r="U508" s="2273"/>
      <c r="V508" s="2273"/>
      <c r="W508" s="2273"/>
    </row>
    <row r="509" spans="1:343">
      <c r="A509" s="2286"/>
      <c r="B509" s="2286"/>
      <c r="C509" s="253"/>
      <c r="H509" s="1106" t="s">
        <v>2255</v>
      </c>
      <c r="I509" s="256"/>
      <c r="J509" s="253"/>
      <c r="K509" s="2297" t="str">
        <f>IF(OR(K494=0,P508="",K505=0),"",P508*K505)</f>
        <v/>
      </c>
      <c r="L509" s="2297" t="str">
        <f>IF(OR(L494=0,P508="",L505=0),"",P508*L505)</f>
        <v/>
      </c>
      <c r="M509" s="2297" t="str">
        <f>IF(OR(M494=0,P508="",M505=0),"",P508*M505)</f>
        <v/>
      </c>
      <c r="N509" s="2297" t="str">
        <f>IF(OR(N494=0,P508="",N505=0),"",P508*N505)</f>
        <v/>
      </c>
      <c r="O509" s="2297" t="str">
        <f>IF(OR(O494=0,P508="",O505=0),"",P508*O505)</f>
        <v/>
      </c>
      <c r="P509" s="2297" t="str">
        <f>IF(OR(P508="",P505=0),"",P508*P505)</f>
        <v/>
      </c>
      <c r="S509" s="2273"/>
      <c r="T509" s="2273"/>
      <c r="U509" s="2273"/>
      <c r="V509" s="2273"/>
      <c r="W509" s="2273"/>
    </row>
    <row r="510" spans="1:343">
      <c r="A510" s="2286"/>
      <c r="B510" s="2286"/>
      <c r="C510" s="253"/>
      <c r="G510" s="2279"/>
      <c r="H510" s="1106" t="s">
        <v>2256</v>
      </c>
      <c r="I510" s="256"/>
      <c r="J510" s="253"/>
      <c r="K510" s="2297" t="str">
        <f t="shared" ref="K510:P510" si="346">IF(OR(K509="",K494=0),"", K494-K509)</f>
        <v/>
      </c>
      <c r="L510" s="2297" t="str">
        <f t="shared" si="346"/>
        <v/>
      </c>
      <c r="M510" s="2297" t="str">
        <f t="shared" si="346"/>
        <v/>
      </c>
      <c r="N510" s="2297" t="str">
        <f t="shared" si="346"/>
        <v/>
      </c>
      <c r="O510" s="2297" t="str">
        <f t="shared" si="346"/>
        <v/>
      </c>
      <c r="P510" s="2297" t="str">
        <f t="shared" si="346"/>
        <v/>
      </c>
      <c r="S510" s="2273"/>
      <c r="T510" s="2273"/>
      <c r="U510" s="2273"/>
      <c r="V510" s="2273"/>
      <c r="W510" s="2273"/>
    </row>
    <row r="511" spans="1:343" ht="12.75" customHeight="1">
      <c r="A511" s="2286"/>
      <c r="B511" s="2286"/>
      <c r="C511" s="253"/>
      <c r="D511" s="253" t="s">
        <v>2257</v>
      </c>
      <c r="E511" s="253"/>
      <c r="F511" s="253"/>
      <c r="H511" s="1106" t="s">
        <v>1216</v>
      </c>
      <c r="I511" s="256"/>
      <c r="J511" s="253"/>
      <c r="K511" s="2296" t="str">
        <f t="shared" ref="K511:P511" si="347">IF(OR(K495=0,K505=0),"",K495/K505)</f>
        <v/>
      </c>
      <c r="L511" s="2296" t="str">
        <f t="shared" si="347"/>
        <v/>
      </c>
      <c r="M511" s="2296" t="str">
        <f t="shared" si="347"/>
        <v/>
      </c>
      <c r="N511" s="2296" t="str">
        <f t="shared" si="347"/>
        <v/>
      </c>
      <c r="O511" s="2296" t="str">
        <f t="shared" si="347"/>
        <v/>
      </c>
      <c r="P511" s="2296" t="str">
        <f t="shared" si="347"/>
        <v/>
      </c>
      <c r="S511" s="2273"/>
      <c r="T511" s="2273"/>
      <c r="U511" s="2273"/>
      <c r="V511" s="2273"/>
      <c r="W511" s="2273"/>
    </row>
    <row r="512" spans="1:343">
      <c r="C512" s="253"/>
      <c r="D512" s="253"/>
      <c r="E512" s="253"/>
      <c r="F512" s="253"/>
      <c r="H512" s="1106" t="s">
        <v>2255</v>
      </c>
      <c r="I512" s="256"/>
      <c r="J512" s="253"/>
      <c r="K512" s="2297" t="str">
        <f>IF(OR(K495=0,P511="",K505=0),"",P511*K505)</f>
        <v/>
      </c>
      <c r="L512" s="2297" t="str">
        <f>IF(OR(L495=0,P511="",L505=0),"",P511*L505)</f>
        <v/>
      </c>
      <c r="M512" s="2297" t="str">
        <f>IF(OR(M495=0,P511="",M505=0),"",P511*M505)</f>
        <v/>
      </c>
      <c r="N512" s="2297" t="str">
        <f>IF(OR(N495=0,P511="",N505=0),"",P511*N505)</f>
        <v/>
      </c>
      <c r="O512" s="2297" t="str">
        <f>IF(OR(O495=0,P511="",O505=0),"",P511*O505)</f>
        <v/>
      </c>
      <c r="P512" s="2297" t="str">
        <f>IF(OR(P511="",P505=0),"",P511*P505)</f>
        <v/>
      </c>
      <c r="S512" s="2273"/>
      <c r="T512" s="2273"/>
      <c r="U512" s="2273"/>
      <c r="V512" s="2273"/>
      <c r="W512" s="2273"/>
    </row>
    <row r="513" spans="3:23">
      <c r="C513" s="253"/>
      <c r="D513" s="253"/>
      <c r="E513" s="253"/>
      <c r="F513" s="253"/>
      <c r="G513" s="2279"/>
      <c r="H513" s="1106" t="s">
        <v>2256</v>
      </c>
      <c r="I513" s="256"/>
      <c r="J513" s="253"/>
      <c r="K513" s="2297" t="str">
        <f t="shared" ref="K513:P513" si="348">IF(OR(K512="",K495=0),"", K495-K512)</f>
        <v/>
      </c>
      <c r="L513" s="2297" t="str">
        <f t="shared" si="348"/>
        <v/>
      </c>
      <c r="M513" s="2297" t="str">
        <f t="shared" si="348"/>
        <v/>
      </c>
      <c r="N513" s="2297" t="str">
        <f t="shared" si="348"/>
        <v/>
      </c>
      <c r="O513" s="2297" t="str">
        <f t="shared" si="348"/>
        <v/>
      </c>
      <c r="P513" s="2297" t="str">
        <f t="shared" si="348"/>
        <v/>
      </c>
      <c r="S513" s="2273"/>
      <c r="T513" s="2273"/>
      <c r="U513" s="2273"/>
      <c r="V513" s="2273"/>
      <c r="W513" s="2273"/>
    </row>
    <row r="514" spans="3:23">
      <c r="C514" s="255" t="s">
        <v>1232</v>
      </c>
      <c r="D514" s="253"/>
      <c r="E514" s="253"/>
      <c r="F514" s="253"/>
      <c r="H514" s="1106" t="s">
        <v>1217</v>
      </c>
      <c r="I514" s="256"/>
      <c r="J514" s="253"/>
      <c r="K514" s="2296" t="str">
        <f t="shared" ref="K514:P514" si="349">IF(OR(K496=0,K505=0),"",K496/K505)</f>
        <v/>
      </c>
      <c r="L514" s="2296">
        <f t="shared" si="349"/>
        <v>0.34146341463414637</v>
      </c>
      <c r="M514" s="2296">
        <f t="shared" si="349"/>
        <v>0.88235294117647056</v>
      </c>
      <c r="N514" s="2296" t="str">
        <f t="shared" si="349"/>
        <v/>
      </c>
      <c r="O514" s="2296" t="str">
        <f t="shared" si="349"/>
        <v/>
      </c>
      <c r="P514" s="2296">
        <f t="shared" si="349"/>
        <v>0.5</v>
      </c>
      <c r="S514" s="2273"/>
      <c r="T514" s="2273"/>
      <c r="U514" s="2273"/>
      <c r="V514" s="2273"/>
      <c r="W514" s="2273"/>
    </row>
    <row r="515" spans="3:23" ht="15.75" customHeight="1">
      <c r="C515" s="255"/>
      <c r="D515" s="253"/>
      <c r="E515" s="253"/>
      <c r="F515" s="253"/>
      <c r="H515" s="1106" t="s">
        <v>2255</v>
      </c>
      <c r="I515" s="256"/>
      <c r="J515" s="253"/>
      <c r="K515" s="2297" t="str">
        <f>IF(OR(K496=0,P514="",K505=0),"",P514*K505)</f>
        <v/>
      </c>
      <c r="L515" s="2297">
        <f>IF(OR(L496=0,P514="",L505=0),"",P514*L505)</f>
        <v>20.5</v>
      </c>
      <c r="M515" s="2297">
        <f>IF(OR(M496=0,P514="",M505=0),"",P514*M505)</f>
        <v>8.5</v>
      </c>
      <c r="N515" s="2297" t="str">
        <f>IF(OR(N496=0,P514="",N505=0),"",P514*N505)</f>
        <v/>
      </c>
      <c r="O515" s="2297" t="str">
        <f>IF(OR(O496=0,P514="",O505=0),"",P514*O505)</f>
        <v/>
      </c>
      <c r="P515" s="2297">
        <f>IF(OR(P514="",P505=0),"",P514*P505)</f>
        <v>29</v>
      </c>
      <c r="S515" s="2273"/>
      <c r="T515" s="2273"/>
      <c r="U515" s="2273"/>
      <c r="V515" s="2273"/>
      <c r="W515" s="2273"/>
    </row>
    <row r="516" spans="3:23" ht="15.75" customHeight="1">
      <c r="C516" s="255"/>
      <c r="D516" s="253"/>
      <c r="E516" s="253"/>
      <c r="F516" s="253"/>
      <c r="G516" s="2279"/>
      <c r="H516" s="1106" t="s">
        <v>2256</v>
      </c>
      <c r="I516" s="256"/>
      <c r="J516" s="253"/>
      <c r="K516" s="2297" t="str">
        <f t="shared" ref="K516:P516" si="350">IF(OR(K515="",K496=0),"", K496-K515)</f>
        <v/>
      </c>
      <c r="L516" s="2297">
        <f t="shared" si="350"/>
        <v>-6.5</v>
      </c>
      <c r="M516" s="2297">
        <f t="shared" si="350"/>
        <v>6.5</v>
      </c>
      <c r="N516" s="2297" t="str">
        <f t="shared" si="350"/>
        <v/>
      </c>
      <c r="O516" s="2297" t="str">
        <f t="shared" si="350"/>
        <v/>
      </c>
      <c r="P516" s="2297">
        <f t="shared" si="350"/>
        <v>0</v>
      </c>
    </row>
    <row r="517" spans="3:23">
      <c r="C517" s="255" t="s">
        <v>1232</v>
      </c>
      <c r="D517" s="255"/>
      <c r="E517" s="255"/>
      <c r="H517" s="1106" t="s">
        <v>1218</v>
      </c>
      <c r="I517" s="256"/>
      <c r="J517" s="253"/>
      <c r="K517" s="2296" t="str">
        <f t="shared" ref="K517:P517" si="351">IF(OR(K497=0,K505=0),"",K497/K505)</f>
        <v/>
      </c>
      <c r="L517" s="2296">
        <f t="shared" si="351"/>
        <v>0.41463414634146339</v>
      </c>
      <c r="M517" s="2296" t="str">
        <f t="shared" si="351"/>
        <v/>
      </c>
      <c r="N517" s="2296" t="str">
        <f t="shared" si="351"/>
        <v/>
      </c>
      <c r="O517" s="2296" t="str">
        <f t="shared" si="351"/>
        <v/>
      </c>
      <c r="P517" s="2296">
        <f t="shared" si="351"/>
        <v>0.29310344827586204</v>
      </c>
    </row>
    <row r="518" spans="3:23">
      <c r="C518" s="255"/>
      <c r="D518" s="255"/>
      <c r="E518" s="255"/>
      <c r="H518" s="1106" t="s">
        <v>2255</v>
      </c>
      <c r="I518" s="256"/>
      <c r="J518" s="253"/>
      <c r="K518" s="2297" t="str">
        <f>IF(OR(K497=0,P517="",K505=0),"",P517*K505)</f>
        <v/>
      </c>
      <c r="L518" s="2297">
        <f>IF(OR(L497=0,P517="",L505=0),"",P517*L505)</f>
        <v>12.017241379310343</v>
      </c>
      <c r="M518" s="2297" t="str">
        <f>IF(OR(M497=0,P517="",M505=0),"",P517*M505)</f>
        <v/>
      </c>
      <c r="N518" s="2297" t="str">
        <f>IF(OR(N497=0,P517="",N505=0),"",P517*N505)</f>
        <v/>
      </c>
      <c r="O518" s="2297" t="str">
        <f>IF(OR(O497=0,P517="",O505=0),"",P517*O505)</f>
        <v/>
      </c>
      <c r="P518" s="2297">
        <f>IF(OR(P517="",P505=0),"",P517*P505)</f>
        <v>17</v>
      </c>
    </row>
    <row r="519" spans="3:23">
      <c r="C519" s="255"/>
      <c r="D519" s="255"/>
      <c r="E519" s="255"/>
      <c r="G519" s="2279"/>
      <c r="H519" s="1106" t="s">
        <v>2256</v>
      </c>
      <c r="I519" s="256"/>
      <c r="J519" s="253"/>
      <c r="K519" s="2297" t="str">
        <f t="shared" ref="K519:P519" si="352">IF(OR(K518="",K497=0),"", K497-K518)</f>
        <v/>
      </c>
      <c r="L519" s="2297">
        <f t="shared" si="352"/>
        <v>4.9827586206896566</v>
      </c>
      <c r="M519" s="2297" t="str">
        <f t="shared" si="352"/>
        <v/>
      </c>
      <c r="N519" s="2297" t="str">
        <f t="shared" si="352"/>
        <v/>
      </c>
      <c r="O519" s="2297" t="str">
        <f t="shared" si="352"/>
        <v/>
      </c>
      <c r="P519" s="2297">
        <f t="shared" si="352"/>
        <v>0</v>
      </c>
    </row>
    <row r="520" spans="3:23">
      <c r="C520" s="255" t="s">
        <v>1232</v>
      </c>
      <c r="D520" s="255"/>
      <c r="E520" s="255"/>
      <c r="H520" s="1106" t="s">
        <v>1219</v>
      </c>
      <c r="I520" s="256"/>
      <c r="J520" s="253"/>
      <c r="K520" s="2296" t="str">
        <f t="shared" ref="K520:P520" si="353">IF(OR(K498=0,K505=0),"",K498/K505)</f>
        <v/>
      </c>
      <c r="L520" s="2296" t="str">
        <f t="shared" si="353"/>
        <v/>
      </c>
      <c r="M520" s="2296" t="str">
        <f t="shared" si="353"/>
        <v/>
      </c>
      <c r="N520" s="2296" t="str">
        <f t="shared" si="353"/>
        <v/>
      </c>
      <c r="O520" s="2296" t="str">
        <f t="shared" si="353"/>
        <v/>
      </c>
      <c r="P520" s="2296" t="str">
        <f t="shared" si="353"/>
        <v/>
      </c>
    </row>
    <row r="521" spans="3:23">
      <c r="C521" s="255"/>
      <c r="H521" s="1106" t="s">
        <v>2255</v>
      </c>
      <c r="I521" s="256"/>
      <c r="J521" s="253"/>
      <c r="K521" s="2297" t="str">
        <f>IF(OR(K498=0,P520="",K505=0),"",P520*K505)</f>
        <v/>
      </c>
      <c r="L521" s="2297" t="str">
        <f>IF(OR(L498=0,P520="",L505=0),"",P520*L505)</f>
        <v/>
      </c>
      <c r="M521" s="2297" t="str">
        <f>IF(OR(M498=0,P520="",M505=0),"",P520*M505)</f>
        <v/>
      </c>
      <c r="N521" s="2297" t="str">
        <f>IF(OR(N498=0,P520="",N505=0),"",P520*N505)</f>
        <v/>
      </c>
      <c r="O521" s="2297" t="str">
        <f>IF(OR(O498=0,P520="",O505=0),"",P520*O505)</f>
        <v/>
      </c>
      <c r="P521" s="2297" t="str">
        <f>IF(OR(P520="",P505=0),"",P520*P505)</f>
        <v/>
      </c>
    </row>
    <row r="522" spans="3:23">
      <c r="C522" s="255"/>
      <c r="G522" s="2279"/>
      <c r="H522" s="1106" t="s">
        <v>2256</v>
      </c>
      <c r="I522" s="256"/>
      <c r="J522" s="253"/>
      <c r="K522" s="2297" t="str">
        <f t="shared" ref="K522:P522" si="354">IF(OR(K521="",K498=0),"", K498-K521)</f>
        <v/>
      </c>
      <c r="L522" s="2297" t="str">
        <f t="shared" si="354"/>
        <v/>
      </c>
      <c r="M522" s="2297" t="str">
        <f t="shared" si="354"/>
        <v/>
      </c>
      <c r="N522" s="2297" t="str">
        <f t="shared" si="354"/>
        <v/>
      </c>
      <c r="O522" s="2297" t="str">
        <f t="shared" si="354"/>
        <v/>
      </c>
      <c r="P522" s="2297" t="str">
        <f t="shared" si="354"/>
        <v/>
      </c>
    </row>
    <row r="523" spans="3:23">
      <c r="C523" s="255" t="s">
        <v>1232</v>
      </c>
      <c r="H523" s="1106" t="s">
        <v>1220</v>
      </c>
      <c r="I523" s="256"/>
      <c r="J523" s="253"/>
      <c r="K523" s="2296" t="str">
        <f t="shared" ref="K523:P523" si="355">IF(OR(K499=0,K505=0),"",K499/K505)</f>
        <v/>
      </c>
      <c r="L523" s="2296">
        <f t="shared" si="355"/>
        <v>0.14634146341463414</v>
      </c>
      <c r="M523" s="2296" t="str">
        <f t="shared" si="355"/>
        <v/>
      </c>
      <c r="N523" s="2296" t="str">
        <f t="shared" si="355"/>
        <v/>
      </c>
      <c r="O523" s="2296" t="str">
        <f t="shared" si="355"/>
        <v/>
      </c>
      <c r="P523" s="2296">
        <f t="shared" si="355"/>
        <v>0.10344827586206896</v>
      </c>
    </row>
    <row r="524" spans="3:23">
      <c r="C524" s="255"/>
      <c r="H524" s="1106" t="s">
        <v>2255</v>
      </c>
      <c r="I524" s="256"/>
      <c r="J524" s="253"/>
      <c r="K524" s="2297" t="str">
        <f>IF(OR(K499=0,P523="",K505=0),"",P523*K505)</f>
        <v/>
      </c>
      <c r="L524" s="2297">
        <f>IF(OR(L499=0,P523="",L505=0),"",P523*L505)</f>
        <v>4.2413793103448274</v>
      </c>
      <c r="M524" s="2297" t="str">
        <f>IF(OR(M499=0,P523="",M505=0),"",P523*M505)</f>
        <v/>
      </c>
      <c r="N524" s="2297" t="str">
        <f>IF(OR(N499=0,P523="",N505=0),"",P523*N505)</f>
        <v/>
      </c>
      <c r="O524" s="2297" t="str">
        <f>IF(OR(O499=0,P523="",O505=0),"",P523*O505)</f>
        <v/>
      </c>
      <c r="P524" s="2297">
        <f>IF(OR(P523="",P505=0),"",P523*P505)</f>
        <v>6</v>
      </c>
    </row>
    <row r="525" spans="3:23">
      <c r="C525" s="255"/>
      <c r="G525" s="2279"/>
      <c r="H525" s="1106" t="s">
        <v>2256</v>
      </c>
      <c r="I525" s="256"/>
      <c r="J525" s="253"/>
      <c r="K525" s="2297" t="str">
        <f t="shared" ref="K525:P525" si="356">IF(OR(K524="",K499=0),"", K499-K524)</f>
        <v/>
      </c>
      <c r="L525" s="2297">
        <f t="shared" si="356"/>
        <v>1.7586206896551726</v>
      </c>
      <c r="M525" s="2297" t="str">
        <f t="shared" si="356"/>
        <v/>
      </c>
      <c r="N525" s="2297" t="str">
        <f t="shared" si="356"/>
        <v/>
      </c>
      <c r="O525" s="2297" t="str">
        <f t="shared" si="356"/>
        <v/>
      </c>
      <c r="P525" s="2297">
        <f t="shared" si="356"/>
        <v>0</v>
      </c>
    </row>
    <row r="526" spans="3:23">
      <c r="C526" s="255" t="s">
        <v>1232</v>
      </c>
      <c r="H526" s="1106" t="s">
        <v>1221</v>
      </c>
      <c r="I526" s="256"/>
      <c r="J526" s="253"/>
      <c r="K526" s="2296" t="str">
        <f t="shared" ref="K526:P526" si="357">IF(OR(K500=0,K505=0),"",K500/K505)</f>
        <v/>
      </c>
      <c r="L526" s="2296" t="str">
        <f t="shared" si="357"/>
        <v/>
      </c>
      <c r="M526" s="2296" t="str">
        <f t="shared" si="357"/>
        <v/>
      </c>
      <c r="N526" s="2296" t="str">
        <f t="shared" si="357"/>
        <v/>
      </c>
      <c r="O526" s="2296" t="str">
        <f t="shared" si="357"/>
        <v/>
      </c>
      <c r="P526" s="2296" t="str">
        <f t="shared" si="357"/>
        <v/>
      </c>
    </row>
    <row r="527" spans="3:23">
      <c r="C527" s="255"/>
      <c r="D527" s="255"/>
      <c r="E527" s="255"/>
      <c r="H527" s="1106" t="s">
        <v>2255</v>
      </c>
      <c r="I527" s="256"/>
      <c r="J527" s="253"/>
      <c r="K527" s="2297" t="str">
        <f>IF(OR(K500=0,P526="",K505=0),"",P526*K505)</f>
        <v/>
      </c>
      <c r="L527" s="2297" t="str">
        <f>IF(OR(L500=0,P526="",L505=0),"",P526*L505)</f>
        <v/>
      </c>
      <c r="M527" s="2297" t="str">
        <f>IF(OR(M500=0,P526="",M505=0),"",P526*M505)</f>
        <v/>
      </c>
      <c r="N527" s="2297" t="str">
        <f>IF(OR(N500=0,P526="",N505=0),"",P526*N505)</f>
        <v/>
      </c>
      <c r="O527" s="2297" t="str">
        <f>IF(OR(O500=0,P526="",O505=0),"",P526*O505)</f>
        <v/>
      </c>
      <c r="P527" s="2297" t="str">
        <f>IF(OR(P526="",P505=0),"",P526*P505)</f>
        <v/>
      </c>
    </row>
    <row r="528" spans="3:23">
      <c r="C528" s="255"/>
      <c r="D528" s="255"/>
      <c r="E528" s="255"/>
      <c r="G528" s="2279"/>
      <c r="H528" s="1106" t="s">
        <v>2256</v>
      </c>
      <c r="I528" s="256"/>
      <c r="J528" s="253"/>
      <c r="K528" s="2297" t="str">
        <f t="shared" ref="K528:P528" si="358">IF(OR(K527="",K500=0),"", K500-K527)</f>
        <v/>
      </c>
      <c r="L528" s="2297" t="str">
        <f t="shared" si="358"/>
        <v/>
      </c>
      <c r="M528" s="2297" t="str">
        <f t="shared" si="358"/>
        <v/>
      </c>
      <c r="N528" s="2297" t="str">
        <f t="shared" si="358"/>
        <v/>
      </c>
      <c r="O528" s="2297" t="str">
        <f t="shared" si="358"/>
        <v/>
      </c>
      <c r="P528" s="2297" t="str">
        <f t="shared" si="358"/>
        <v/>
      </c>
    </row>
    <row r="529" spans="1:343" ht="12" customHeight="1">
      <c r="A529" s="2286"/>
      <c r="B529" s="2286"/>
      <c r="C529" s="253"/>
      <c r="D529" s="253"/>
      <c r="E529" s="253"/>
      <c r="F529" s="253"/>
      <c r="H529" s="1106"/>
      <c r="I529" s="256"/>
      <c r="K529" s="2298"/>
      <c r="L529" s="2298"/>
      <c r="M529" s="2298"/>
      <c r="N529" s="2298"/>
      <c r="O529" s="2298"/>
      <c r="P529" s="2298"/>
      <c r="U529" s="2251"/>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318"/>
      <c r="KB529" s="1318"/>
      <c r="KG529" s="1318"/>
      <c r="KL529" s="1318"/>
      <c r="KM529" s="1318"/>
      <c r="KN529" s="1318"/>
      <c r="KO529" s="1318"/>
      <c r="KP529" s="1318"/>
      <c r="KQ529" s="1318"/>
      <c r="KR529" s="1318"/>
      <c r="KS529" s="1318"/>
      <c r="KT529" s="1318"/>
      <c r="KU529" s="1318"/>
      <c r="KV529" s="1318"/>
      <c r="KW529" s="1318"/>
      <c r="KX529" s="1318"/>
      <c r="KY529" s="1318"/>
      <c r="KZ529" s="1318"/>
      <c r="LA529" s="1318"/>
      <c r="LB529" s="1318"/>
      <c r="LC529" s="1318"/>
      <c r="LD529" s="1318"/>
      <c r="LE529" s="1318"/>
      <c r="LF529" s="1318"/>
      <c r="LG529" s="1318"/>
      <c r="LN529" s="255"/>
      <c r="LO529" s="255"/>
      <c r="ME529" s="255"/>
    </row>
    <row r="530" spans="1:343" ht="9" customHeight="1">
      <c r="A530" s="2286"/>
      <c r="B530" s="2286"/>
      <c r="C530" s="253"/>
      <c r="D530" s="253"/>
      <c r="E530" s="253"/>
      <c r="F530" s="253"/>
      <c r="H530" s="1106"/>
      <c r="I530" s="256"/>
      <c r="K530" s="2298"/>
      <c r="L530" s="2298"/>
      <c r="M530" s="2298"/>
      <c r="N530" s="2298"/>
      <c r="O530" s="2298"/>
      <c r="P530" s="2298"/>
      <c r="S530" s="2075" t="str">
        <f>C531</f>
        <v>PBRA-Assisted</v>
      </c>
      <c r="U530" s="2251"/>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318"/>
      <c r="KB530" s="1318"/>
      <c r="KG530" s="1318"/>
      <c r="KL530" s="1318"/>
      <c r="KM530" s="1318"/>
      <c r="KN530" s="1318"/>
      <c r="KO530" s="1318"/>
      <c r="KP530" s="1318"/>
      <c r="KQ530" s="1318"/>
      <c r="KR530" s="1318"/>
      <c r="KS530" s="1318"/>
      <c r="KT530" s="1318"/>
      <c r="KU530" s="1318"/>
      <c r="KV530" s="1318"/>
      <c r="KW530" s="1318"/>
      <c r="KX530" s="1318"/>
      <c r="KY530" s="1318"/>
      <c r="KZ530" s="1318"/>
      <c r="LA530" s="1318"/>
      <c r="LB530" s="1318"/>
      <c r="LC530" s="1318"/>
      <c r="LD530" s="1318"/>
      <c r="LE530" s="1318"/>
      <c r="LF530" s="1318"/>
      <c r="LG530" s="1318"/>
      <c r="LN530" s="255"/>
      <c r="LO530" s="255"/>
      <c r="ME530" s="255"/>
    </row>
    <row r="531" spans="1:343" ht="15" customHeight="1">
      <c r="A531" s="2286"/>
      <c r="B531" s="2286"/>
      <c r="C531" s="253" t="s">
        <v>1233</v>
      </c>
      <c r="D531" s="253"/>
      <c r="E531" s="1106"/>
      <c r="F531" s="253"/>
      <c r="H531" s="1106" t="s">
        <v>1214</v>
      </c>
      <c r="I531" s="256"/>
      <c r="K531" s="2299">
        <f>CP487</f>
        <v>0</v>
      </c>
      <c r="L531" s="2299">
        <f>CQ487</f>
        <v>0</v>
      </c>
      <c r="M531" s="2299">
        <f>CR487</f>
        <v>0</v>
      </c>
      <c r="N531" s="2299">
        <f>CS487</f>
        <v>0</v>
      </c>
      <c r="O531" s="2299">
        <f>CT487</f>
        <v>0</v>
      </c>
      <c r="P531" s="2287">
        <f t="shared" ref="P531:P538" si="359">SUM(K531:O531)</f>
        <v>0</v>
      </c>
      <c r="S531" s="2273"/>
      <c r="T531" s="2273"/>
      <c r="U531" s="2273"/>
      <c r="V531" s="2273"/>
      <c r="W531" s="2273"/>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318"/>
      <c r="KB531" s="1318"/>
      <c r="KG531" s="1318"/>
      <c r="KL531" s="1318"/>
      <c r="KM531" s="1318"/>
      <c r="KN531" s="1318"/>
      <c r="KO531" s="1318"/>
      <c r="KP531" s="1318"/>
      <c r="KQ531" s="1318"/>
      <c r="KR531" s="1318"/>
      <c r="KS531" s="1318"/>
      <c r="KT531" s="1318"/>
      <c r="KU531" s="1318"/>
      <c r="KV531" s="1318"/>
      <c r="KW531" s="1318"/>
      <c r="KX531" s="1318"/>
      <c r="KY531" s="1318"/>
      <c r="KZ531" s="1318"/>
      <c r="LA531" s="1318"/>
      <c r="LB531" s="1318"/>
      <c r="LC531" s="1318"/>
      <c r="LD531" s="1318"/>
      <c r="LE531" s="1318"/>
      <c r="LF531" s="1318"/>
      <c r="LG531" s="1318"/>
      <c r="LN531" s="255"/>
      <c r="LO531" s="255"/>
      <c r="ME531" s="255"/>
    </row>
    <row r="532" spans="1:343" ht="15" customHeight="1">
      <c r="A532" s="2286"/>
      <c r="B532" s="2286"/>
      <c r="C532" s="256" t="s">
        <v>1234</v>
      </c>
      <c r="D532" s="253"/>
      <c r="E532" s="1106"/>
      <c r="F532" s="253"/>
      <c r="H532" s="1106" t="s">
        <v>1216</v>
      </c>
      <c r="I532" s="256"/>
      <c r="K532" s="2287">
        <f>CK487</f>
        <v>0</v>
      </c>
      <c r="L532" s="2287">
        <f>CL487</f>
        <v>0</v>
      </c>
      <c r="M532" s="2287">
        <f>CM487</f>
        <v>0</v>
      </c>
      <c r="N532" s="2287">
        <f>CN487</f>
        <v>0</v>
      </c>
      <c r="O532" s="2287">
        <f>CO487</f>
        <v>0</v>
      </c>
      <c r="P532" s="2287">
        <f t="shared" si="359"/>
        <v>0</v>
      </c>
      <c r="S532" s="2273"/>
      <c r="T532" s="2273"/>
      <c r="U532" s="2273"/>
      <c r="V532" s="2273"/>
      <c r="W532" s="2273"/>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318"/>
      <c r="KB532" s="1318"/>
      <c r="KG532" s="1318"/>
      <c r="KL532" s="1318"/>
      <c r="KM532" s="1318"/>
      <c r="KN532" s="1318"/>
      <c r="KO532" s="1318"/>
      <c r="KP532" s="1318"/>
      <c r="KQ532" s="1318"/>
      <c r="KR532" s="1318"/>
      <c r="KS532" s="1318"/>
      <c r="KT532" s="1318"/>
      <c r="KU532" s="1318"/>
      <c r="KV532" s="1318"/>
      <c r="KW532" s="1318"/>
      <c r="KX532" s="1318"/>
      <c r="KY532" s="1318"/>
      <c r="KZ532" s="1318"/>
      <c r="LA532" s="1318"/>
      <c r="LB532" s="1318"/>
      <c r="LC532" s="1318"/>
      <c r="LD532" s="1318"/>
      <c r="LE532" s="1318"/>
      <c r="LF532" s="1318"/>
      <c r="LG532" s="1318"/>
      <c r="LN532" s="255"/>
      <c r="LO532" s="255"/>
      <c r="ME532" s="255"/>
    </row>
    <row r="533" spans="1:343" ht="14.45" customHeight="1">
      <c r="A533" s="2286"/>
      <c r="B533" s="2286"/>
      <c r="C533" s="253"/>
      <c r="D533" s="253"/>
      <c r="E533" s="1106"/>
      <c r="F533" s="253"/>
      <c r="H533" s="1106" t="s">
        <v>1217</v>
      </c>
      <c r="I533" s="256"/>
      <c r="K533" s="2287">
        <f>CF487</f>
        <v>0</v>
      </c>
      <c r="L533" s="2287">
        <f>CG487</f>
        <v>0</v>
      </c>
      <c r="M533" s="2287">
        <f>CH487</f>
        <v>0</v>
      </c>
      <c r="N533" s="2287">
        <f>CI487</f>
        <v>0</v>
      </c>
      <c r="O533" s="2287">
        <f>CJ487</f>
        <v>0</v>
      </c>
      <c r="P533" s="2287">
        <f t="shared" si="359"/>
        <v>0</v>
      </c>
      <c r="S533" s="2273"/>
      <c r="T533" s="2273"/>
      <c r="U533" s="2273"/>
      <c r="V533" s="2273"/>
      <c r="W533" s="2273"/>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318"/>
      <c r="KB533" s="1318"/>
      <c r="KG533" s="1318"/>
      <c r="KL533" s="1318"/>
      <c r="KM533" s="1318"/>
      <c r="KN533" s="1318"/>
      <c r="KO533" s="1318"/>
      <c r="KP533" s="1318"/>
      <c r="KQ533" s="1318"/>
      <c r="KR533" s="1318"/>
      <c r="KS533" s="1318"/>
      <c r="KT533" s="1318"/>
      <c r="KU533" s="1318"/>
      <c r="KV533" s="1318"/>
      <c r="KW533" s="1318"/>
      <c r="KX533" s="1318"/>
      <c r="KY533" s="1318"/>
      <c r="KZ533" s="1318"/>
      <c r="LA533" s="1318"/>
      <c r="LB533" s="1318"/>
      <c r="LC533" s="1318"/>
      <c r="LD533" s="1318"/>
      <c r="LE533" s="1318"/>
      <c r="LF533" s="1318"/>
      <c r="LG533" s="1318"/>
      <c r="LN533" s="255"/>
      <c r="LO533" s="255"/>
      <c r="ME533" s="255"/>
    </row>
    <row r="534" spans="1:343" ht="15" customHeight="1">
      <c r="A534" s="2286"/>
      <c r="B534" s="2286"/>
      <c r="C534" s="253"/>
      <c r="D534" s="253"/>
      <c r="E534" s="1106"/>
      <c r="F534" s="253"/>
      <c r="H534" s="1106" t="s">
        <v>1218</v>
      </c>
      <c r="I534" s="256"/>
      <c r="K534" s="2287">
        <f>CA487</f>
        <v>0</v>
      </c>
      <c r="L534" s="2287">
        <f>CB487</f>
        <v>17</v>
      </c>
      <c r="M534" s="2287">
        <f>CC487</f>
        <v>0</v>
      </c>
      <c r="N534" s="2287">
        <f>CD487</f>
        <v>0</v>
      </c>
      <c r="O534" s="2287">
        <f>CE487</f>
        <v>0</v>
      </c>
      <c r="P534" s="2287">
        <f t="shared" si="359"/>
        <v>17</v>
      </c>
      <c r="S534" s="2273"/>
      <c r="T534" s="2273"/>
      <c r="U534" s="2273"/>
      <c r="V534" s="2273"/>
      <c r="W534" s="2273"/>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318"/>
      <c r="KB534" s="1318"/>
      <c r="KG534" s="1318"/>
      <c r="KL534" s="1318"/>
      <c r="KM534" s="1318"/>
      <c r="KN534" s="1318"/>
      <c r="KO534" s="1318"/>
      <c r="KP534" s="1318"/>
      <c r="KQ534" s="1318"/>
      <c r="KR534" s="1318"/>
      <c r="KS534" s="1318"/>
      <c r="KT534" s="1318"/>
      <c r="KU534" s="1318"/>
      <c r="KV534" s="1318"/>
      <c r="KW534" s="1318"/>
      <c r="KX534" s="1318"/>
      <c r="KY534" s="1318"/>
      <c r="KZ534" s="1318"/>
      <c r="LA534" s="1318"/>
      <c r="LB534" s="1318"/>
      <c r="LC534" s="1318"/>
      <c r="LD534" s="1318"/>
      <c r="LE534" s="1318"/>
      <c r="LF534" s="1318"/>
      <c r="LG534" s="1318"/>
      <c r="LN534" s="255"/>
      <c r="LO534" s="255"/>
      <c r="ME534" s="255"/>
    </row>
    <row r="535" spans="1:343" ht="15" customHeight="1">
      <c r="A535" s="2286"/>
      <c r="B535" s="2286"/>
      <c r="C535" s="253"/>
      <c r="D535" s="253"/>
      <c r="E535" s="1106"/>
      <c r="F535" s="253"/>
      <c r="H535" s="1106" t="s">
        <v>1219</v>
      </c>
      <c r="I535" s="256"/>
      <c r="K535" s="2287">
        <f>BV487</f>
        <v>0</v>
      </c>
      <c r="L535" s="2287">
        <f>BW487</f>
        <v>0</v>
      </c>
      <c r="M535" s="2287">
        <f>BX487</f>
        <v>0</v>
      </c>
      <c r="N535" s="2287">
        <f>BY487</f>
        <v>0</v>
      </c>
      <c r="O535" s="2287">
        <f>BZ487</f>
        <v>0</v>
      </c>
      <c r="P535" s="2287">
        <f t="shared" si="359"/>
        <v>0</v>
      </c>
      <c r="S535" s="2273"/>
      <c r="T535" s="2273"/>
      <c r="U535" s="2273"/>
      <c r="V535" s="2273"/>
      <c r="W535" s="2273"/>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318"/>
      <c r="KB535" s="1318"/>
      <c r="KG535" s="1318"/>
      <c r="KL535" s="1318"/>
      <c r="KM535" s="1318"/>
      <c r="KN535" s="1318"/>
      <c r="KO535" s="1318"/>
      <c r="KP535" s="1318"/>
      <c r="KQ535" s="1318"/>
      <c r="KR535" s="1318"/>
      <c r="KS535" s="1318"/>
      <c r="KT535" s="1318"/>
      <c r="KU535" s="1318"/>
      <c r="KV535" s="1318"/>
      <c r="KW535" s="1318"/>
      <c r="KX535" s="1318"/>
      <c r="KY535" s="1318"/>
      <c r="KZ535" s="1318"/>
      <c r="LA535" s="1318"/>
      <c r="LB535" s="1318"/>
      <c r="LC535" s="1318"/>
      <c r="LD535" s="1318"/>
      <c r="LE535" s="1318"/>
      <c r="LF535" s="1318"/>
      <c r="LG535" s="1318"/>
      <c r="LN535" s="255"/>
      <c r="LO535" s="255"/>
      <c r="ME535" s="255"/>
    </row>
    <row r="536" spans="1:343" ht="15" customHeight="1">
      <c r="A536" s="1213"/>
      <c r="B536" s="1213"/>
      <c r="C536" s="253"/>
      <c r="D536" s="253"/>
      <c r="E536" s="1106"/>
      <c r="F536" s="253"/>
      <c r="H536" s="1106" t="s">
        <v>1220</v>
      </c>
      <c r="I536" s="256"/>
      <c r="K536" s="2287">
        <f>BQ487</f>
        <v>0</v>
      </c>
      <c r="L536" s="2287">
        <f>BR487</f>
        <v>6</v>
      </c>
      <c r="M536" s="2287">
        <f>BS487</f>
        <v>0</v>
      </c>
      <c r="N536" s="2287">
        <f>BT487</f>
        <v>0</v>
      </c>
      <c r="O536" s="2287">
        <f>BU487</f>
        <v>0</v>
      </c>
      <c r="P536" s="2287">
        <f t="shared" si="359"/>
        <v>6</v>
      </c>
      <c r="S536" s="2273"/>
      <c r="T536" s="2273"/>
      <c r="U536" s="2273"/>
      <c r="V536" s="2273"/>
      <c r="W536" s="2273"/>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318"/>
      <c r="KB536" s="1318"/>
      <c r="KG536" s="1318"/>
      <c r="KL536" s="1318"/>
      <c r="KM536" s="1318"/>
      <c r="KN536" s="1318"/>
      <c r="KO536" s="1318"/>
      <c r="KP536" s="1318"/>
      <c r="KQ536" s="1318"/>
      <c r="KR536" s="1318"/>
      <c r="KS536" s="1318"/>
      <c r="KT536" s="1318"/>
      <c r="KU536" s="1318"/>
      <c r="KV536" s="1318"/>
      <c r="KW536" s="1318"/>
      <c r="KX536" s="1318"/>
      <c r="KY536" s="1318"/>
      <c r="KZ536" s="1318"/>
      <c r="LA536" s="1318"/>
      <c r="LB536" s="1318"/>
      <c r="LC536" s="1318"/>
      <c r="LD536" s="1318"/>
      <c r="LE536" s="1318"/>
      <c r="LF536" s="1318"/>
      <c r="LG536" s="1318"/>
      <c r="LN536" s="255"/>
      <c r="LO536" s="255"/>
      <c r="ME536" s="255"/>
    </row>
    <row r="537" spans="1:343" ht="15" customHeight="1">
      <c r="A537" s="1213"/>
      <c r="B537" s="1213"/>
      <c r="D537" s="253"/>
      <c r="E537" s="1106"/>
      <c r="F537" s="253"/>
      <c r="H537" s="1106" t="s">
        <v>1221</v>
      </c>
      <c r="I537" s="256"/>
      <c r="K537" s="2299">
        <f>BL487</f>
        <v>0</v>
      </c>
      <c r="L537" s="2299">
        <f>BM487</f>
        <v>0</v>
      </c>
      <c r="M537" s="2299">
        <f>BN487</f>
        <v>0</v>
      </c>
      <c r="N537" s="2299">
        <f>BO487</f>
        <v>0</v>
      </c>
      <c r="O537" s="2299">
        <f>BP487</f>
        <v>0</v>
      </c>
      <c r="P537" s="2287">
        <f t="shared" si="359"/>
        <v>0</v>
      </c>
      <c r="S537" s="2273"/>
      <c r="T537" s="2273"/>
      <c r="U537" s="2273"/>
      <c r="V537" s="2273"/>
      <c r="W537" s="2273"/>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318"/>
      <c r="KB537" s="1318"/>
      <c r="KG537" s="1318"/>
      <c r="KL537" s="1318"/>
      <c r="KM537" s="1318"/>
      <c r="KN537" s="1318"/>
      <c r="KO537" s="1318"/>
      <c r="KP537" s="1318"/>
      <c r="KQ537" s="1318"/>
      <c r="KR537" s="1318"/>
      <c r="KS537" s="1318"/>
      <c r="KT537" s="1318"/>
      <c r="KU537" s="1318"/>
      <c r="KV537" s="1318"/>
      <c r="KW537" s="1318"/>
      <c r="KX537" s="1318"/>
      <c r="KY537" s="1318"/>
      <c r="KZ537" s="1318"/>
      <c r="LA537" s="1318"/>
      <c r="LB537" s="1318"/>
      <c r="LC537" s="1318"/>
      <c r="LD537" s="1318"/>
      <c r="LE537" s="1318"/>
      <c r="LF537" s="1318"/>
      <c r="LG537" s="1318"/>
      <c r="LN537" s="255"/>
      <c r="LO537" s="255"/>
      <c r="ME537" s="255"/>
    </row>
    <row r="538" spans="1:343" ht="15" customHeight="1">
      <c r="A538" s="1213"/>
      <c r="B538" s="1213"/>
      <c r="C538" s="1317"/>
      <c r="D538" s="253"/>
      <c r="E538" s="1106"/>
      <c r="F538" s="253"/>
      <c r="H538" s="1213" t="s">
        <v>299</v>
      </c>
      <c r="I538" s="2274"/>
      <c r="K538" s="2293">
        <f>SUM(K531:K537)</f>
        <v>0</v>
      </c>
      <c r="L538" s="2293">
        <f>SUM(L531:L537)</f>
        <v>23</v>
      </c>
      <c r="M538" s="2293">
        <f>SUM(M531:M537)</f>
        <v>0</v>
      </c>
      <c r="N538" s="2293">
        <f>SUM(N531:N537)</f>
        <v>0</v>
      </c>
      <c r="O538" s="2293">
        <f>SUM(O531:O537)</f>
        <v>0</v>
      </c>
      <c r="P538" s="2293">
        <f t="shared" si="359"/>
        <v>23</v>
      </c>
      <c r="S538" s="2273"/>
      <c r="T538" s="2273"/>
      <c r="U538" s="2273"/>
      <c r="V538" s="2273"/>
      <c r="W538" s="2273"/>
      <c r="X538" s="1317"/>
      <c r="AA538" s="253"/>
      <c r="AB538" s="256"/>
      <c r="AC538" s="1317"/>
      <c r="AF538" s="253"/>
      <c r="AG538" s="256"/>
      <c r="AH538" s="1317"/>
      <c r="AK538" s="253"/>
      <c r="AL538" s="256"/>
      <c r="AM538" s="1317"/>
      <c r="AP538" s="253"/>
      <c r="AQ538" s="256"/>
      <c r="AR538" s="257"/>
      <c r="AS538" s="257"/>
      <c r="AT538" s="257"/>
      <c r="AU538" s="257"/>
      <c r="AV538" s="257"/>
      <c r="AW538" s="257"/>
      <c r="AX538" s="256"/>
      <c r="AY538" s="253"/>
      <c r="BB538" s="257"/>
      <c r="BC538" s="256"/>
      <c r="BD538" s="253"/>
      <c r="JW538" s="1318"/>
      <c r="KB538" s="1318"/>
      <c r="KG538" s="1318"/>
      <c r="KL538" s="1318"/>
      <c r="KM538" s="1318"/>
      <c r="KN538" s="1318"/>
      <c r="KO538" s="1318"/>
      <c r="KP538" s="1318"/>
      <c r="KQ538" s="1318"/>
      <c r="KR538" s="1318"/>
      <c r="KS538" s="1318"/>
      <c r="KT538" s="1318"/>
      <c r="KU538" s="1318"/>
      <c r="KV538" s="1318"/>
      <c r="KW538" s="1318"/>
      <c r="KX538" s="1318"/>
      <c r="KY538" s="1318"/>
      <c r="KZ538" s="1318"/>
      <c r="LA538" s="1318"/>
      <c r="LB538" s="1318"/>
      <c r="LC538" s="1318"/>
      <c r="LD538" s="1318"/>
      <c r="LE538" s="1318"/>
      <c r="LF538" s="1318"/>
      <c r="LG538" s="1318"/>
      <c r="LN538" s="255"/>
      <c r="LO538" s="255"/>
      <c r="ME538" s="255"/>
    </row>
    <row r="539" spans="1:343" ht="5.0999999999999996" customHeight="1">
      <c r="A539" s="1213"/>
      <c r="B539" s="1213"/>
      <c r="C539" s="253"/>
      <c r="D539" s="253"/>
      <c r="E539" s="253"/>
      <c r="F539" s="253"/>
      <c r="H539" s="1106"/>
      <c r="I539" s="256"/>
      <c r="K539" s="2298"/>
      <c r="L539" s="2298"/>
      <c r="M539" s="2298"/>
      <c r="N539" s="2298"/>
      <c r="O539" s="2298"/>
      <c r="P539" s="2298"/>
      <c r="U539" s="2251"/>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318"/>
      <c r="KB539" s="1318"/>
      <c r="KG539" s="1318"/>
      <c r="KL539" s="1318"/>
      <c r="KM539" s="1318"/>
      <c r="KN539" s="1318"/>
      <c r="KO539" s="1318"/>
      <c r="KP539" s="1318"/>
      <c r="KQ539" s="1318"/>
      <c r="KR539" s="1318"/>
      <c r="KS539" s="1318"/>
      <c r="KT539" s="1318"/>
      <c r="KU539" s="1318"/>
      <c r="KV539" s="1318"/>
      <c r="KW539" s="1318"/>
      <c r="KX539" s="1318"/>
      <c r="KY539" s="1318"/>
      <c r="KZ539" s="1318"/>
      <c r="LA539" s="1318"/>
      <c r="LB539" s="1318"/>
      <c r="LC539" s="1318"/>
      <c r="LD539" s="1318"/>
      <c r="LE539" s="1318"/>
      <c r="LF539" s="1318"/>
      <c r="LG539" s="1318"/>
      <c r="LN539" s="255"/>
      <c r="LO539" s="255"/>
      <c r="ME539" s="255"/>
    </row>
    <row r="540" spans="1:343" ht="14.65" customHeight="1">
      <c r="A540" s="255" t="s">
        <v>25</v>
      </c>
      <c r="B540" s="255" t="s">
        <v>2258</v>
      </c>
      <c r="H540" s="254"/>
      <c r="L540" s="2300" t="str">
        <f>O491</f>
        <v>40% of Units at 60% of AMI</v>
      </c>
      <c r="M540" s="2300"/>
      <c r="N540" s="2300"/>
      <c r="O540" s="2300"/>
      <c r="S540" s="1317" t="str">
        <f>B540</f>
        <v>UNIT SUMMARY (Continued)</v>
      </c>
      <c r="T540" s="1317"/>
      <c r="U540" s="1317"/>
      <c r="V540" s="1317"/>
      <c r="AY540" s="253"/>
      <c r="BD540" s="253"/>
      <c r="JW540" s="1318"/>
      <c r="KB540" s="1318"/>
      <c r="KG540" s="1318"/>
      <c r="KL540" s="1318"/>
      <c r="KM540" s="1318"/>
      <c r="KN540" s="1318"/>
      <c r="KO540" s="1318"/>
      <c r="KP540" s="1318"/>
      <c r="KQ540" s="1318"/>
      <c r="KR540" s="1318"/>
      <c r="KS540" s="1318"/>
      <c r="KT540" s="1318"/>
      <c r="KU540" s="1318"/>
      <c r="KV540" s="1318"/>
      <c r="KW540" s="1318"/>
      <c r="KX540" s="1318"/>
      <c r="KY540" s="1318"/>
      <c r="KZ540" s="1318"/>
      <c r="LA540" s="1318"/>
      <c r="LB540" s="1318"/>
      <c r="LC540" s="1318"/>
      <c r="LD540" s="1318"/>
      <c r="LE540" s="1318"/>
      <c r="LF540" s="1318"/>
      <c r="LG540" s="1318"/>
      <c r="LN540" s="255"/>
      <c r="LO540" s="255"/>
      <c r="ME540" s="255"/>
    </row>
    <row r="541" spans="1:343" ht="9" customHeight="1">
      <c r="A541" s="255"/>
      <c r="B541" s="255"/>
      <c r="H541" s="254"/>
      <c r="S541" s="2075" t="str">
        <f>C542</f>
        <v>PHA Operating Subsidy-Assisted</v>
      </c>
      <c r="T541" s="255"/>
      <c r="U541" s="2246"/>
      <c r="AY541" s="253"/>
      <c r="BD541" s="253"/>
      <c r="JW541" s="1318"/>
      <c r="KB541" s="1318"/>
      <c r="KG541" s="1318"/>
      <c r="KL541" s="1318"/>
      <c r="KM541" s="1318"/>
      <c r="KN541" s="1318"/>
      <c r="KO541" s="1318"/>
      <c r="KP541" s="1318"/>
      <c r="KQ541" s="1318"/>
      <c r="KR541" s="1318"/>
      <c r="KS541" s="1318"/>
      <c r="KT541" s="1318"/>
      <c r="KU541" s="1318"/>
      <c r="KV541" s="1318"/>
      <c r="KW541" s="1318"/>
      <c r="KX541" s="1318"/>
      <c r="KY541" s="1318"/>
      <c r="KZ541" s="1318"/>
      <c r="LA541" s="1318"/>
      <c r="LB541" s="1318"/>
      <c r="LC541" s="1318"/>
      <c r="LD541" s="1318"/>
      <c r="LE541" s="1318"/>
      <c r="LF541" s="1318"/>
      <c r="LG541" s="1318"/>
      <c r="LN541" s="255"/>
      <c r="LO541" s="255"/>
      <c r="ME541" s="255"/>
    </row>
    <row r="542" spans="1:343" ht="13.5" customHeight="1">
      <c r="A542" s="1213"/>
      <c r="B542" s="1213"/>
      <c r="C542" s="2273" t="s">
        <v>1236</v>
      </c>
      <c r="D542" s="2273"/>
      <c r="E542" s="2273"/>
      <c r="F542" s="253"/>
      <c r="H542" s="1106" t="s">
        <v>1214</v>
      </c>
      <c r="I542" s="256"/>
      <c r="K542" s="2299">
        <f>DY487</f>
        <v>0</v>
      </c>
      <c r="L542" s="2299">
        <f>DZ487</f>
        <v>0</v>
      </c>
      <c r="M542" s="2299">
        <f>EA487</f>
        <v>0</v>
      </c>
      <c r="N542" s="2299">
        <f>EB487</f>
        <v>0</v>
      </c>
      <c r="O542" s="2299">
        <f>EC487</f>
        <v>0</v>
      </c>
      <c r="P542" s="2287">
        <f t="shared" ref="P542:P549" si="360">SUM(K542:O542)</f>
        <v>0</v>
      </c>
      <c r="S542" s="2273"/>
      <c r="T542" s="2273"/>
      <c r="U542" s="2273"/>
      <c r="V542" s="2273"/>
      <c r="W542" s="2273"/>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318"/>
      <c r="KB542" s="1318"/>
      <c r="KG542" s="1318"/>
      <c r="KL542" s="1318"/>
      <c r="KM542" s="1318"/>
      <c r="KN542" s="1318"/>
      <c r="KO542" s="1318"/>
      <c r="KP542" s="1318"/>
      <c r="KQ542" s="1318"/>
      <c r="KR542" s="1318"/>
      <c r="KS542" s="1318"/>
      <c r="KT542" s="1318"/>
      <c r="KU542" s="1318"/>
      <c r="KV542" s="1318"/>
      <c r="KW542" s="1318"/>
      <c r="KX542" s="1318"/>
      <c r="KY542" s="1318"/>
      <c r="KZ542" s="1318"/>
      <c r="LA542" s="1318"/>
      <c r="LB542" s="1318"/>
      <c r="LC542" s="1318"/>
      <c r="LD542" s="1318"/>
      <c r="LE542" s="1318"/>
      <c r="LF542" s="1318"/>
      <c r="LG542" s="1318"/>
      <c r="LN542" s="255"/>
      <c r="LO542" s="255"/>
      <c r="ME542" s="255"/>
    </row>
    <row r="543" spans="1:343" ht="13.5" customHeight="1">
      <c r="A543" s="1213"/>
      <c r="B543" s="1213"/>
      <c r="C543" s="256" t="s">
        <v>1234</v>
      </c>
      <c r="D543" s="2273"/>
      <c r="E543" s="2273"/>
      <c r="F543" s="253"/>
      <c r="H543" s="1106" t="s">
        <v>1216</v>
      </c>
      <c r="I543" s="256"/>
      <c r="K543" s="2287">
        <f>DT487</f>
        <v>0</v>
      </c>
      <c r="L543" s="2287">
        <f>DU487</f>
        <v>0</v>
      </c>
      <c r="M543" s="2287">
        <f>DV487</f>
        <v>0</v>
      </c>
      <c r="N543" s="2287">
        <f>DW487</f>
        <v>0</v>
      </c>
      <c r="O543" s="2287">
        <f>DX487</f>
        <v>0</v>
      </c>
      <c r="P543" s="2287">
        <f t="shared" si="360"/>
        <v>0</v>
      </c>
      <c r="S543" s="2273"/>
      <c r="T543" s="2273"/>
      <c r="U543" s="2273"/>
      <c r="V543" s="2273"/>
      <c r="W543" s="2273"/>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318"/>
      <c r="KB543" s="1318"/>
      <c r="KG543" s="1318"/>
      <c r="KL543" s="1318"/>
      <c r="KM543" s="1318"/>
      <c r="KN543" s="1318"/>
      <c r="KO543" s="1318"/>
      <c r="KP543" s="1318"/>
      <c r="KQ543" s="1318"/>
      <c r="KR543" s="1318"/>
      <c r="KS543" s="1318"/>
      <c r="KT543" s="1318"/>
      <c r="KU543" s="1318"/>
      <c r="KV543" s="1318"/>
      <c r="KW543" s="1318"/>
      <c r="KX543" s="1318"/>
      <c r="KY543" s="1318"/>
      <c r="KZ543" s="1318"/>
      <c r="LA543" s="1318"/>
      <c r="LB543" s="1318"/>
      <c r="LC543" s="1318"/>
      <c r="LD543" s="1318"/>
      <c r="LE543" s="1318"/>
      <c r="LF543" s="1318"/>
      <c r="LG543" s="1318"/>
      <c r="LN543" s="255"/>
      <c r="LO543" s="255"/>
      <c r="ME543" s="255"/>
    </row>
    <row r="544" spans="1:343" ht="13.5" customHeight="1">
      <c r="A544" s="1213"/>
      <c r="B544" s="1213"/>
      <c r="C544" s="2273"/>
      <c r="D544" s="2273"/>
      <c r="E544" s="2273"/>
      <c r="F544" s="253"/>
      <c r="H544" s="1106" t="s">
        <v>1217</v>
      </c>
      <c r="I544" s="256"/>
      <c r="K544" s="2287">
        <f>DO487</f>
        <v>0</v>
      </c>
      <c r="L544" s="2287">
        <f>DP487</f>
        <v>0</v>
      </c>
      <c r="M544" s="2287">
        <f>DQ487</f>
        <v>0</v>
      </c>
      <c r="N544" s="2287">
        <f>DR487</f>
        <v>0</v>
      </c>
      <c r="O544" s="2287">
        <f>DS487</f>
        <v>0</v>
      </c>
      <c r="P544" s="2287">
        <f t="shared" si="360"/>
        <v>0</v>
      </c>
      <c r="S544" s="2273"/>
      <c r="T544" s="2273"/>
      <c r="U544" s="2273"/>
      <c r="V544" s="2273"/>
      <c r="W544" s="2273"/>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318"/>
      <c r="KB544" s="1318"/>
      <c r="KG544" s="1318"/>
      <c r="KL544" s="1318"/>
      <c r="KM544" s="1318"/>
      <c r="KN544" s="1318"/>
      <c r="KO544" s="1318"/>
      <c r="KP544" s="1318"/>
      <c r="KQ544" s="1318"/>
      <c r="KR544" s="1318"/>
      <c r="KS544" s="1318"/>
      <c r="KT544" s="1318"/>
      <c r="KU544" s="1318"/>
      <c r="KV544" s="1318"/>
      <c r="KW544" s="1318"/>
      <c r="KX544" s="1318"/>
      <c r="KY544" s="1318"/>
      <c r="KZ544" s="1318"/>
      <c r="LA544" s="1318"/>
      <c r="LB544" s="1318"/>
      <c r="LC544" s="1318"/>
      <c r="LD544" s="1318"/>
      <c r="LE544" s="1318"/>
      <c r="LF544" s="1318"/>
      <c r="LG544" s="1318"/>
      <c r="LN544" s="255"/>
      <c r="LO544" s="255"/>
      <c r="ME544" s="255"/>
    </row>
    <row r="545" spans="1:343" ht="13.5" customHeight="1">
      <c r="A545" s="1213"/>
      <c r="B545" s="1213"/>
      <c r="C545" s="2273"/>
      <c r="D545" s="2273"/>
      <c r="E545" s="2273"/>
      <c r="F545" s="253"/>
      <c r="H545" s="1106" t="s">
        <v>1218</v>
      </c>
      <c r="I545" s="256"/>
      <c r="K545" s="2287">
        <f>DJ487</f>
        <v>0</v>
      </c>
      <c r="L545" s="2287">
        <f>DK487</f>
        <v>0</v>
      </c>
      <c r="M545" s="2287">
        <f>DL487</f>
        <v>0</v>
      </c>
      <c r="N545" s="2287">
        <f>DM487</f>
        <v>0</v>
      </c>
      <c r="O545" s="2287">
        <f>DN487</f>
        <v>0</v>
      </c>
      <c r="P545" s="2287">
        <f t="shared" si="360"/>
        <v>0</v>
      </c>
      <c r="S545" s="2273"/>
      <c r="T545" s="2273"/>
      <c r="U545" s="2273"/>
      <c r="V545" s="2273"/>
      <c r="W545" s="2273"/>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318"/>
      <c r="KB545" s="1318"/>
      <c r="KG545" s="1318"/>
      <c r="KL545" s="1318"/>
      <c r="KM545" s="1318"/>
      <c r="KN545" s="1318"/>
      <c r="KO545" s="1318"/>
      <c r="KP545" s="1318"/>
      <c r="KQ545" s="1318"/>
      <c r="KR545" s="1318"/>
      <c r="KS545" s="1318"/>
      <c r="KT545" s="1318"/>
      <c r="KU545" s="1318"/>
      <c r="KV545" s="1318"/>
      <c r="KW545" s="1318"/>
      <c r="KX545" s="1318"/>
      <c r="KY545" s="1318"/>
      <c r="KZ545" s="1318"/>
      <c r="LA545" s="1318"/>
      <c r="LB545" s="1318"/>
      <c r="LC545" s="1318"/>
      <c r="LD545" s="1318"/>
      <c r="LE545" s="1318"/>
      <c r="LF545" s="1318"/>
      <c r="LG545" s="1318"/>
      <c r="LN545" s="255"/>
      <c r="LO545" s="255"/>
      <c r="ME545" s="255"/>
    </row>
    <row r="546" spans="1:343" ht="13.5" customHeight="1">
      <c r="A546" s="1213"/>
      <c r="B546" s="1213"/>
      <c r="C546" s="2273"/>
      <c r="D546" s="2273"/>
      <c r="E546" s="2273"/>
      <c r="F546" s="253"/>
      <c r="H546" s="1106" t="s">
        <v>1219</v>
      </c>
      <c r="I546" s="256"/>
      <c r="K546" s="2287">
        <f>DE487</f>
        <v>0</v>
      </c>
      <c r="L546" s="2287">
        <f>DF487</f>
        <v>0</v>
      </c>
      <c r="M546" s="2287">
        <f>DG487</f>
        <v>0</v>
      </c>
      <c r="N546" s="2287">
        <f>DH487</f>
        <v>0</v>
      </c>
      <c r="O546" s="2287">
        <f>DI487</f>
        <v>0</v>
      </c>
      <c r="P546" s="2287">
        <f t="shared" si="360"/>
        <v>0</v>
      </c>
      <c r="S546" s="2273"/>
      <c r="T546" s="2273"/>
      <c r="U546" s="2273"/>
      <c r="V546" s="2273"/>
      <c r="W546" s="2273"/>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318"/>
      <c r="KB546" s="1318"/>
      <c r="KG546" s="1318"/>
      <c r="KL546" s="1318"/>
      <c r="KM546" s="1318"/>
      <c r="KN546" s="1318"/>
      <c r="KO546" s="1318"/>
      <c r="KP546" s="1318"/>
      <c r="KQ546" s="1318"/>
      <c r="KR546" s="1318"/>
      <c r="KS546" s="1318"/>
      <c r="KT546" s="1318"/>
      <c r="KU546" s="1318"/>
      <c r="KV546" s="1318"/>
      <c r="KW546" s="1318"/>
      <c r="KX546" s="1318"/>
      <c r="KY546" s="1318"/>
      <c r="KZ546" s="1318"/>
      <c r="LA546" s="1318"/>
      <c r="LB546" s="1318"/>
      <c r="LC546" s="1318"/>
      <c r="LD546" s="1318"/>
      <c r="LE546" s="1318"/>
      <c r="LF546" s="1318"/>
      <c r="LG546" s="1318"/>
      <c r="LN546" s="255"/>
      <c r="LO546" s="255"/>
      <c r="ME546" s="255"/>
    </row>
    <row r="547" spans="1:343" ht="13.5" customHeight="1">
      <c r="A547" s="1213"/>
      <c r="B547" s="1213"/>
      <c r="C547" s="2273"/>
      <c r="D547" s="2273"/>
      <c r="E547" s="2273"/>
      <c r="F547" s="253"/>
      <c r="H547" s="1106" t="s">
        <v>1220</v>
      </c>
      <c r="I547" s="256"/>
      <c r="K547" s="2287">
        <f>CZ487</f>
        <v>0</v>
      </c>
      <c r="L547" s="2287">
        <f>DA487</f>
        <v>0</v>
      </c>
      <c r="M547" s="2287">
        <f>DB487</f>
        <v>0</v>
      </c>
      <c r="N547" s="2287">
        <f>DC487</f>
        <v>0</v>
      </c>
      <c r="O547" s="2287">
        <f>DD487</f>
        <v>0</v>
      </c>
      <c r="P547" s="2287">
        <f t="shared" si="360"/>
        <v>0</v>
      </c>
      <c r="S547" s="2273"/>
      <c r="T547" s="2273"/>
      <c r="U547" s="2273"/>
      <c r="V547" s="2273"/>
      <c r="W547" s="2273"/>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318"/>
      <c r="KB547" s="1318"/>
      <c r="KG547" s="1318"/>
      <c r="KL547" s="1318"/>
      <c r="KM547" s="1318"/>
      <c r="KN547" s="1318"/>
      <c r="KO547" s="1318"/>
      <c r="KP547" s="1318"/>
      <c r="KQ547" s="1318"/>
      <c r="KR547" s="1318"/>
      <c r="KS547" s="1318"/>
      <c r="KT547" s="1318"/>
      <c r="KU547" s="1318"/>
      <c r="KV547" s="1318"/>
      <c r="KW547" s="1318"/>
      <c r="KX547" s="1318"/>
      <c r="KY547" s="1318"/>
      <c r="KZ547" s="1318"/>
      <c r="LA547" s="1318"/>
      <c r="LB547" s="1318"/>
      <c r="LC547" s="1318"/>
      <c r="LD547" s="1318"/>
      <c r="LE547" s="1318"/>
      <c r="LF547" s="1318"/>
      <c r="LG547" s="1318"/>
      <c r="LN547" s="255"/>
      <c r="LO547" s="255"/>
      <c r="ME547" s="255"/>
    </row>
    <row r="548" spans="1:343" ht="13.5" customHeight="1">
      <c r="A548" s="1213"/>
      <c r="B548" s="1213"/>
      <c r="C548" s="2273"/>
      <c r="D548" s="2273"/>
      <c r="E548" s="2273"/>
      <c r="F548" s="253"/>
      <c r="H548" s="1106" t="s">
        <v>1221</v>
      </c>
      <c r="I548" s="256"/>
      <c r="K548" s="2299">
        <f>CU487</f>
        <v>0</v>
      </c>
      <c r="L548" s="2299">
        <f>CV487</f>
        <v>0</v>
      </c>
      <c r="M548" s="2299">
        <f>CW487</f>
        <v>0</v>
      </c>
      <c r="N548" s="2299">
        <f>CX487</f>
        <v>0</v>
      </c>
      <c r="O548" s="2299">
        <f>CY487</f>
        <v>0</v>
      </c>
      <c r="P548" s="2287">
        <f t="shared" si="360"/>
        <v>0</v>
      </c>
      <c r="S548" s="2273"/>
      <c r="T548" s="2273"/>
      <c r="U548" s="2273"/>
      <c r="V548" s="2273"/>
      <c r="W548" s="2273"/>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318"/>
      <c r="KB548" s="1318"/>
      <c r="KG548" s="1318"/>
      <c r="KL548" s="1318"/>
      <c r="KM548" s="1318"/>
      <c r="KN548" s="1318"/>
      <c r="KO548" s="1318"/>
      <c r="KP548" s="1318"/>
      <c r="KQ548" s="1318"/>
      <c r="KR548" s="1318"/>
      <c r="KS548" s="1318"/>
      <c r="KT548" s="1318"/>
      <c r="KU548" s="1318"/>
      <c r="KV548" s="1318"/>
      <c r="KW548" s="1318"/>
      <c r="KX548" s="1318"/>
      <c r="KY548" s="1318"/>
      <c r="KZ548" s="1318"/>
      <c r="LA548" s="1318"/>
      <c r="LB548" s="1318"/>
      <c r="LC548" s="1318"/>
      <c r="LD548" s="1318"/>
      <c r="LE548" s="1318"/>
      <c r="LF548" s="1318"/>
      <c r="LG548" s="1318"/>
      <c r="LN548" s="255"/>
      <c r="LO548" s="255"/>
      <c r="ME548" s="255"/>
    </row>
    <row r="549" spans="1:343" ht="15" customHeight="1">
      <c r="A549" s="1213"/>
      <c r="B549" s="1213"/>
      <c r="D549" s="253"/>
      <c r="E549" s="1106"/>
      <c r="F549" s="253"/>
      <c r="H549" s="1213" t="s">
        <v>299</v>
      </c>
      <c r="I549" s="2274"/>
      <c r="K549" s="2293">
        <f>SUM(K542:K548)</f>
        <v>0</v>
      </c>
      <c r="L549" s="2293">
        <f>SUM(L542:L548)</f>
        <v>0</v>
      </c>
      <c r="M549" s="2293">
        <f>SUM(M542:M548)</f>
        <v>0</v>
      </c>
      <c r="N549" s="2293">
        <f>SUM(N542:N548)</f>
        <v>0</v>
      </c>
      <c r="O549" s="2293">
        <f>SUM(O542:O548)</f>
        <v>0</v>
      </c>
      <c r="P549" s="2293">
        <f t="shared" si="360"/>
        <v>0</v>
      </c>
      <c r="S549" s="2273"/>
      <c r="T549" s="2273"/>
      <c r="U549" s="2273"/>
      <c r="V549" s="2273"/>
      <c r="W549" s="2273"/>
      <c r="X549" s="1317"/>
      <c r="AA549" s="253"/>
      <c r="AB549" s="256"/>
      <c r="AC549" s="1317"/>
      <c r="AF549" s="253"/>
      <c r="AG549" s="256"/>
      <c r="AH549" s="1317"/>
      <c r="AK549" s="253"/>
      <c r="AL549" s="256"/>
      <c r="AM549" s="1317"/>
      <c r="AP549" s="253"/>
      <c r="AQ549" s="256"/>
      <c r="AR549" s="257"/>
      <c r="AS549" s="257"/>
      <c r="AT549" s="257"/>
      <c r="AU549" s="257"/>
      <c r="AV549" s="257"/>
      <c r="AW549" s="257"/>
      <c r="AX549" s="256"/>
      <c r="AY549" s="253"/>
      <c r="BB549" s="257"/>
      <c r="BC549" s="256"/>
      <c r="BD549" s="253"/>
      <c r="JW549" s="1318"/>
      <c r="KB549" s="1318"/>
      <c r="KG549" s="1318"/>
      <c r="KL549" s="1318"/>
      <c r="KM549" s="1318"/>
      <c r="KN549" s="1318"/>
      <c r="KO549" s="1318"/>
      <c r="KP549" s="1318"/>
      <c r="KQ549" s="1318"/>
      <c r="KR549" s="1318"/>
      <c r="KS549" s="1318"/>
      <c r="KT549" s="1318"/>
      <c r="KU549" s="1318"/>
      <c r="KV549" s="1318"/>
      <c r="KW549" s="1318"/>
      <c r="KX549" s="1318"/>
      <c r="KY549" s="1318"/>
      <c r="KZ549" s="1318"/>
      <c r="LA549" s="1318"/>
      <c r="LB549" s="1318"/>
      <c r="LC549" s="1318"/>
      <c r="LD549" s="1318"/>
      <c r="LE549" s="1318"/>
      <c r="LF549" s="1318"/>
      <c r="LG549" s="1318"/>
      <c r="LN549" s="255"/>
      <c r="LO549" s="255"/>
      <c r="ME549" s="255"/>
    </row>
    <row r="550" spans="1:343" ht="9" customHeight="1">
      <c r="A550" s="1213"/>
      <c r="B550" s="1213"/>
      <c r="D550" s="253"/>
      <c r="E550" s="1106"/>
      <c r="F550" s="253"/>
      <c r="H550" s="1106"/>
      <c r="I550" s="256"/>
      <c r="K550" s="2298"/>
      <c r="L550" s="2298"/>
      <c r="M550" s="2298"/>
      <c r="N550" s="2298"/>
      <c r="O550" s="2298"/>
      <c r="P550" s="2298"/>
      <c r="S550" s="2075" t="str">
        <f>C551</f>
        <v>Type of Construction Activity</v>
      </c>
      <c r="U550" s="2251"/>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318"/>
      <c r="KB550" s="1318"/>
      <c r="KG550" s="1318"/>
      <c r="KL550" s="1318"/>
      <c r="KM550" s="1318"/>
      <c r="KN550" s="1318"/>
      <c r="KO550" s="1318"/>
      <c r="KP550" s="1318"/>
      <c r="KQ550" s="1318"/>
      <c r="KR550" s="1318"/>
      <c r="KS550" s="1318"/>
      <c r="KT550" s="1318"/>
      <c r="KU550" s="1318"/>
      <c r="KV550" s="1318"/>
      <c r="KW550" s="1318"/>
      <c r="KX550" s="1318"/>
      <c r="KY550" s="1318"/>
      <c r="KZ550" s="1318"/>
      <c r="LA550" s="1318"/>
      <c r="LB550" s="1318"/>
      <c r="LC550" s="1318"/>
      <c r="LD550" s="1318"/>
      <c r="LE550" s="1318"/>
      <c r="LF550" s="1318"/>
      <c r="LG550" s="1318"/>
      <c r="LN550" s="255"/>
      <c r="LO550" s="255"/>
      <c r="ME550" s="255"/>
    </row>
    <row r="551" spans="1:343" ht="12.95" customHeight="1">
      <c r="A551" s="1213"/>
      <c r="B551" s="1213"/>
      <c r="C551" s="2273" t="s">
        <v>1237</v>
      </c>
      <c r="D551" s="2273"/>
      <c r="E551" s="1106" t="s">
        <v>1238</v>
      </c>
      <c r="F551" s="253"/>
      <c r="H551" s="1106" t="s">
        <v>1239</v>
      </c>
      <c r="I551" s="256"/>
      <c r="K551" s="2287">
        <f>GG487</f>
        <v>0</v>
      </c>
      <c r="L551" s="2287">
        <f>GH487</f>
        <v>37</v>
      </c>
      <c r="M551" s="2287">
        <f>GI487</f>
        <v>15</v>
      </c>
      <c r="N551" s="2287">
        <f>GJ487</f>
        <v>0</v>
      </c>
      <c r="O551" s="2287">
        <f>GK487</f>
        <v>0</v>
      </c>
      <c r="P551" s="2287">
        <f t="shared" ref="P551:P561" si="361">SUM(K551:O551)</f>
        <v>52</v>
      </c>
      <c r="S551" s="2273"/>
      <c r="T551" s="2273"/>
      <c r="U551" s="2273"/>
      <c r="V551" s="2273"/>
      <c r="W551" s="2273"/>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213"/>
      <c r="B552" s="1213"/>
      <c r="C552" s="2273"/>
      <c r="D552" s="2273"/>
      <c r="E552" s="1106"/>
      <c r="F552" s="253"/>
      <c r="H552" s="1106" t="s">
        <v>1150</v>
      </c>
      <c r="I552" s="256"/>
      <c r="K552" s="2287">
        <f>GL487</f>
        <v>0</v>
      </c>
      <c r="L552" s="2287">
        <f>GM487</f>
        <v>4</v>
      </c>
      <c r="M552" s="2287">
        <f>GN487</f>
        <v>2</v>
      </c>
      <c r="N552" s="2287">
        <f>GO487</f>
        <v>0</v>
      </c>
      <c r="O552" s="2287">
        <f>GP487</f>
        <v>0</v>
      </c>
      <c r="P552" s="2287">
        <f t="shared" si="361"/>
        <v>6</v>
      </c>
      <c r="S552" s="2273"/>
      <c r="T552" s="2273"/>
      <c r="U552" s="2273"/>
      <c r="V552" s="2273"/>
      <c r="W552" s="2273"/>
      <c r="X552" s="253"/>
      <c r="AA552" s="253"/>
      <c r="AB552" s="256"/>
      <c r="AC552" s="253"/>
      <c r="AF552" s="253"/>
      <c r="AG552" s="256"/>
      <c r="AH552" s="253"/>
      <c r="AK552" s="253"/>
      <c r="AL552" s="256"/>
      <c r="AM552" s="253"/>
      <c r="AP552" s="253"/>
      <c r="AQ552" s="256"/>
      <c r="AR552" s="257"/>
      <c r="AS552" s="257"/>
      <c r="AT552" s="257"/>
      <c r="AU552" s="257"/>
      <c r="AV552" s="257"/>
      <c r="AW552" s="257"/>
      <c r="AX552" s="612"/>
      <c r="AY552" s="253"/>
      <c r="BB552" s="257"/>
      <c r="BC552" s="612"/>
      <c r="BD552" s="253"/>
      <c r="JW552" s="1318"/>
      <c r="KB552" s="1318"/>
      <c r="KG552" s="1318"/>
      <c r="KL552" s="1318"/>
      <c r="KM552" s="1318"/>
      <c r="KN552" s="1318"/>
      <c r="KO552" s="1318"/>
      <c r="KP552" s="1318"/>
      <c r="KQ552" s="1318"/>
      <c r="KR552" s="1318"/>
      <c r="KS552" s="1318"/>
      <c r="KT552" s="1318"/>
      <c r="KU552" s="1318"/>
      <c r="KV552" s="1318"/>
      <c r="KW552" s="1318"/>
      <c r="KX552" s="1318"/>
      <c r="KY552" s="1318"/>
      <c r="KZ552" s="1318"/>
      <c r="LA552" s="1318"/>
      <c r="LB552" s="1318"/>
      <c r="LC552" s="1318"/>
      <c r="LD552" s="1318"/>
      <c r="LE552" s="1318"/>
      <c r="LF552" s="1318"/>
      <c r="LG552" s="1318"/>
      <c r="LN552" s="255"/>
      <c r="LO552" s="255"/>
      <c r="ME552" s="255"/>
    </row>
    <row r="553" spans="1:343" ht="14.25" customHeight="1">
      <c r="A553" s="1213"/>
      <c r="B553" s="1213"/>
      <c r="C553" s="2273"/>
      <c r="D553" s="2273"/>
      <c r="E553" s="1106"/>
      <c r="F553" s="253"/>
      <c r="H553" s="1213" t="s">
        <v>1240</v>
      </c>
      <c r="I553" s="2156" t="s">
        <v>1241</v>
      </c>
      <c r="J553" s="2301">
        <f>IF($P$67=0,0,P553/$P$67)</f>
        <v>0</v>
      </c>
      <c r="K553" s="2293">
        <f>SUM(K551:K552)+GQ487</f>
        <v>0</v>
      </c>
      <c r="L553" s="2293">
        <f>SUM(L551:L552)+GR487</f>
        <v>41</v>
      </c>
      <c r="M553" s="2293">
        <f>SUM(M551:M552)+GS487</f>
        <v>17</v>
      </c>
      <c r="N553" s="2293">
        <f>SUM(N551:N552)+GT487</f>
        <v>0</v>
      </c>
      <c r="O553" s="2293">
        <f>SUM(O551:O552)+GU487</f>
        <v>0</v>
      </c>
      <c r="P553" s="2293">
        <f t="shared" si="361"/>
        <v>58</v>
      </c>
      <c r="S553" s="2273"/>
      <c r="T553" s="2273"/>
      <c r="U553" s="2273"/>
      <c r="V553" s="2273"/>
      <c r="W553" s="2273"/>
      <c r="X553" s="1317"/>
      <c r="AA553" s="253"/>
      <c r="AB553" s="256"/>
      <c r="AC553" s="1317"/>
      <c r="AF553" s="253"/>
      <c r="AG553" s="256"/>
      <c r="AH553" s="1317"/>
      <c r="AK553" s="253"/>
      <c r="AL553" s="256"/>
      <c r="AM553" s="1317"/>
      <c r="AP553" s="253"/>
      <c r="AQ553" s="256"/>
      <c r="AR553" s="257"/>
      <c r="AS553" s="257"/>
      <c r="AT553" s="257"/>
      <c r="AU553" s="257"/>
      <c r="AV553" s="257"/>
      <c r="AW553" s="257"/>
      <c r="AX553" s="256"/>
      <c r="AY553" s="253"/>
      <c r="BB553" s="257"/>
      <c r="BC553" s="256"/>
      <c r="BD553" s="253"/>
      <c r="JW553" s="1318"/>
      <c r="KB553" s="1318"/>
      <c r="KG553" s="1318"/>
      <c r="KL553" s="1318"/>
      <c r="KM553" s="1318"/>
      <c r="KN553" s="1318"/>
      <c r="KO553" s="1318"/>
      <c r="KP553" s="1318"/>
      <c r="KQ553" s="1318"/>
      <c r="KR553" s="1318"/>
      <c r="KS553" s="1318"/>
      <c r="KT553" s="1318"/>
      <c r="KU553" s="1318"/>
      <c r="KV553" s="1318"/>
      <c r="KW553" s="1318"/>
      <c r="KX553" s="1318"/>
      <c r="KY553" s="1318"/>
      <c r="KZ553" s="1318"/>
      <c r="LA553" s="1318"/>
      <c r="LB553" s="1318"/>
      <c r="LC553" s="1318"/>
      <c r="LD553" s="1318"/>
      <c r="LE553" s="1318"/>
      <c r="LF553" s="1318"/>
      <c r="LG553" s="1318"/>
      <c r="LN553" s="255"/>
      <c r="LO553" s="255"/>
      <c r="ME553" s="255"/>
    </row>
    <row r="554" spans="1:343" ht="12.95" customHeight="1">
      <c r="A554" s="1213"/>
      <c r="B554" s="1213"/>
      <c r="C554" s="2273"/>
      <c r="D554" s="2273"/>
      <c r="E554" s="1106" t="s">
        <v>1242</v>
      </c>
      <c r="F554" s="253"/>
      <c r="H554" s="1106" t="s">
        <v>1239</v>
      </c>
      <c r="I554" s="256"/>
      <c r="K554" s="2287">
        <f>GV487</f>
        <v>0</v>
      </c>
      <c r="L554" s="2287">
        <f>GW487</f>
        <v>0</v>
      </c>
      <c r="M554" s="2287">
        <f>GX487</f>
        <v>0</v>
      </c>
      <c r="N554" s="2287">
        <f>GY487</f>
        <v>0</v>
      </c>
      <c r="O554" s="2287">
        <f>GZ487</f>
        <v>0</v>
      </c>
      <c r="P554" s="2287">
        <f t="shared" si="361"/>
        <v>0</v>
      </c>
      <c r="S554" s="2273"/>
      <c r="T554" s="2273"/>
      <c r="U554" s="2273"/>
      <c r="V554" s="2273"/>
      <c r="W554" s="2273"/>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213"/>
      <c r="B555" s="1213"/>
      <c r="C555" s="2273"/>
      <c r="D555" s="2273"/>
      <c r="E555" s="1106"/>
      <c r="F555" s="253"/>
      <c r="H555" s="1106" t="s">
        <v>1150</v>
      </c>
      <c r="I555" s="256"/>
      <c r="K555" s="2287">
        <f>HA487</f>
        <v>0</v>
      </c>
      <c r="L555" s="2287">
        <f>HB487</f>
        <v>0</v>
      </c>
      <c r="M555" s="2287">
        <f>HC487</f>
        <v>0</v>
      </c>
      <c r="N555" s="2287">
        <f>HD487</f>
        <v>0</v>
      </c>
      <c r="O555" s="2287">
        <f>HE487</f>
        <v>0</v>
      </c>
      <c r="P555" s="2287">
        <f t="shared" si="361"/>
        <v>0</v>
      </c>
      <c r="S555" s="2273"/>
      <c r="T555" s="2273"/>
      <c r="U555" s="2273"/>
      <c r="V555" s="2273"/>
      <c r="W555" s="2273"/>
      <c r="X555" s="253"/>
      <c r="AA555" s="253"/>
      <c r="AB555" s="256"/>
      <c r="AC555" s="253"/>
      <c r="AF555" s="253"/>
      <c r="AG555" s="256"/>
      <c r="AH555" s="253"/>
      <c r="AK555" s="253"/>
      <c r="AL555" s="256"/>
      <c r="AM555" s="253"/>
      <c r="AP555" s="253"/>
      <c r="AQ555" s="256"/>
      <c r="AR555" s="257"/>
      <c r="AS555" s="257"/>
      <c r="AT555" s="257"/>
      <c r="AU555" s="257"/>
      <c r="AV555" s="257"/>
      <c r="AW555" s="257"/>
      <c r="AX555" s="612"/>
      <c r="AY555" s="253"/>
      <c r="BB555" s="257"/>
      <c r="BC555" s="612"/>
      <c r="BD555" s="253"/>
      <c r="JW555" s="1318"/>
      <c r="KB555" s="1318"/>
      <c r="KG555" s="1318"/>
      <c r="KL555" s="1318"/>
      <c r="KM555" s="1318"/>
      <c r="KN555" s="1318"/>
      <c r="KO555" s="1318"/>
      <c r="KP555" s="1318"/>
      <c r="KQ555" s="1318"/>
      <c r="KR555" s="1318"/>
      <c r="KS555" s="1318"/>
      <c r="KT555" s="1318"/>
      <c r="KU555" s="1318"/>
      <c r="KV555" s="1318"/>
      <c r="KW555" s="1318"/>
      <c r="KX555" s="1318"/>
      <c r="KY555" s="1318"/>
      <c r="KZ555" s="1318"/>
      <c r="LA555" s="1318"/>
      <c r="LB555" s="1318"/>
      <c r="LC555" s="1318"/>
      <c r="LD555" s="1318"/>
      <c r="LE555" s="1318"/>
      <c r="LF555" s="1318"/>
      <c r="LG555" s="1318"/>
      <c r="LN555" s="255"/>
      <c r="LO555" s="255"/>
      <c r="ME555" s="255"/>
    </row>
    <row r="556" spans="1:343" ht="14.25" customHeight="1">
      <c r="A556" s="1213"/>
      <c r="B556" s="1213"/>
      <c r="C556" s="2273"/>
      <c r="D556" s="2273"/>
      <c r="E556" s="1106"/>
      <c r="F556" s="253"/>
      <c r="H556" s="1213" t="s">
        <v>1240</v>
      </c>
      <c r="I556" s="2156" t="s">
        <v>1241</v>
      </c>
      <c r="J556" s="2301">
        <f>IF($P$67=0,0,P556/$P$67)</f>
        <v>0</v>
      </c>
      <c r="K556" s="2293">
        <f>SUM(K554:K555)+HF487</f>
        <v>0</v>
      </c>
      <c r="L556" s="2293">
        <f>SUM(L554:L555)+HG487</f>
        <v>0</v>
      </c>
      <c r="M556" s="2293">
        <f>SUM(M554:M555)+HH487</f>
        <v>0</v>
      </c>
      <c r="N556" s="2293">
        <f>SUM(N554:N555)+HI487</f>
        <v>0</v>
      </c>
      <c r="O556" s="2293">
        <f>SUM(O554:O555)+HJ487</f>
        <v>0</v>
      </c>
      <c r="P556" s="2293">
        <f t="shared" si="361"/>
        <v>0</v>
      </c>
      <c r="S556" s="2273"/>
      <c r="T556" s="2273"/>
      <c r="U556" s="2273"/>
      <c r="V556" s="2273"/>
      <c r="W556" s="2273"/>
      <c r="X556" s="1317"/>
      <c r="AA556" s="253"/>
      <c r="AB556" s="256"/>
      <c r="AC556" s="1317"/>
      <c r="AF556" s="253"/>
      <c r="AG556" s="256"/>
      <c r="AH556" s="1317"/>
      <c r="AK556" s="253"/>
      <c r="AL556" s="256"/>
      <c r="AM556" s="1317"/>
      <c r="AP556" s="253"/>
      <c r="AQ556" s="256"/>
      <c r="AR556" s="257"/>
      <c r="AS556" s="257"/>
      <c r="AT556" s="257"/>
      <c r="AU556" s="257"/>
      <c r="AV556" s="257"/>
      <c r="AW556" s="257"/>
      <c r="AX556" s="256"/>
      <c r="AY556" s="253"/>
      <c r="BB556" s="257"/>
      <c r="BC556" s="256"/>
      <c r="BD556" s="253"/>
      <c r="JW556" s="1318"/>
      <c r="KB556" s="1318"/>
      <c r="KG556" s="1318"/>
      <c r="KL556" s="1318"/>
      <c r="KM556" s="1318"/>
      <c r="KN556" s="1318"/>
      <c r="KO556" s="1318"/>
      <c r="KP556" s="1318"/>
      <c r="KQ556" s="1318"/>
      <c r="KR556" s="1318"/>
      <c r="KS556" s="1318"/>
      <c r="KT556" s="1318"/>
      <c r="KU556" s="1318"/>
      <c r="KV556" s="1318"/>
      <c r="KW556" s="1318"/>
      <c r="KX556" s="1318"/>
      <c r="KY556" s="1318"/>
      <c r="KZ556" s="1318"/>
      <c r="LA556" s="1318"/>
      <c r="LB556" s="1318"/>
      <c r="LC556" s="1318"/>
      <c r="LD556" s="1318"/>
      <c r="LE556" s="1318"/>
      <c r="LF556" s="1318"/>
      <c r="LG556" s="1318"/>
      <c r="LN556" s="255"/>
      <c r="LO556" s="255"/>
      <c r="ME556" s="255"/>
    </row>
    <row r="557" spans="1:343" ht="12.95" customHeight="1">
      <c r="A557" s="1213"/>
      <c r="B557" s="1213"/>
      <c r="C557" s="2247"/>
      <c r="D557" s="253"/>
      <c r="E557" s="2247" t="s">
        <v>1243</v>
      </c>
      <c r="F557" s="2247"/>
      <c r="H557" s="1106" t="s">
        <v>1239</v>
      </c>
      <c r="I557" s="256"/>
      <c r="K557" s="2287">
        <f>HK487</f>
        <v>0</v>
      </c>
      <c r="L557" s="2287">
        <f>HL487</f>
        <v>0</v>
      </c>
      <c r="M557" s="2287">
        <f>HM487</f>
        <v>0</v>
      </c>
      <c r="N557" s="2287">
        <f>HN487</f>
        <v>0</v>
      </c>
      <c r="O557" s="2287">
        <f>HO487</f>
        <v>0</v>
      </c>
      <c r="P557" s="2287">
        <f t="shared" si="361"/>
        <v>0</v>
      </c>
      <c r="S557" s="2273"/>
      <c r="T557" s="2273"/>
      <c r="U557" s="2273"/>
      <c r="V557" s="2273"/>
      <c r="W557" s="2273"/>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213"/>
      <c r="B558" s="1213"/>
      <c r="C558" s="2247"/>
      <c r="D558" s="253"/>
      <c r="E558" s="2247"/>
      <c r="F558" s="2247"/>
      <c r="H558" s="1106" t="s">
        <v>1150</v>
      </c>
      <c r="I558" s="256"/>
      <c r="K558" s="2287">
        <f>HP487</f>
        <v>0</v>
      </c>
      <c r="L558" s="2287">
        <f>HQ487</f>
        <v>0</v>
      </c>
      <c r="M558" s="2287">
        <f>HR487</f>
        <v>0</v>
      </c>
      <c r="N558" s="2287">
        <f>HS487</f>
        <v>0</v>
      </c>
      <c r="O558" s="2287">
        <f>HT487</f>
        <v>0</v>
      </c>
      <c r="P558" s="2287">
        <f t="shared" si="361"/>
        <v>0</v>
      </c>
      <c r="S558" s="2273"/>
      <c r="T558" s="2273"/>
      <c r="U558" s="2273"/>
      <c r="V558" s="2273"/>
      <c r="W558" s="2273"/>
      <c r="X558" s="253"/>
      <c r="AA558" s="253"/>
      <c r="AB558" s="256"/>
      <c r="AC558" s="253"/>
      <c r="AF558" s="253"/>
      <c r="AG558" s="256"/>
      <c r="AH558" s="253"/>
      <c r="AK558" s="253"/>
      <c r="AL558" s="256"/>
      <c r="AM558" s="253"/>
      <c r="AP558" s="253"/>
      <c r="AQ558" s="256"/>
      <c r="AR558" s="257"/>
      <c r="AS558" s="257"/>
      <c r="AT558" s="257"/>
      <c r="AU558" s="257"/>
      <c r="AV558" s="257"/>
      <c r="AW558" s="257"/>
      <c r="AX558" s="612"/>
      <c r="AY558" s="253"/>
      <c r="BB558" s="257"/>
      <c r="BC558" s="612"/>
      <c r="BD558" s="253"/>
      <c r="JW558" s="1318"/>
      <c r="KB558" s="1318"/>
      <c r="KG558" s="1318"/>
      <c r="KL558" s="1318"/>
      <c r="KM558" s="1318"/>
      <c r="KN558" s="1318"/>
      <c r="KO558" s="1318"/>
      <c r="KP558" s="1318"/>
      <c r="KQ558" s="1318"/>
      <c r="KR558" s="1318"/>
      <c r="KS558" s="1318"/>
      <c r="KT558" s="1318"/>
      <c r="KU558" s="1318"/>
      <c r="KV558" s="1318"/>
      <c r="KW558" s="1318"/>
      <c r="KX558" s="1318"/>
      <c r="KY558" s="1318"/>
      <c r="KZ558" s="1318"/>
      <c r="LA558" s="1318"/>
      <c r="LB558" s="1318"/>
      <c r="LC558" s="1318"/>
      <c r="LD558" s="1318"/>
      <c r="LE558" s="1318"/>
      <c r="LF558" s="1318"/>
      <c r="LG558" s="1318"/>
      <c r="LN558" s="255"/>
      <c r="LO558" s="255"/>
      <c r="ME558" s="255"/>
    </row>
    <row r="559" spans="1:343" ht="14.25" customHeight="1">
      <c r="A559" s="1213"/>
      <c r="B559" s="1213"/>
      <c r="C559" s="2247"/>
      <c r="D559" s="253"/>
      <c r="E559" s="1106"/>
      <c r="F559" s="253"/>
      <c r="H559" s="1213" t="s">
        <v>1240</v>
      </c>
      <c r="I559" s="2156" t="s">
        <v>1241</v>
      </c>
      <c r="J559" s="2301">
        <f>IF($P$67=0,0,P559/$P$67)</f>
        <v>0</v>
      </c>
      <c r="K559" s="2293">
        <f>SUM(K557:K558)+HU487</f>
        <v>0</v>
      </c>
      <c r="L559" s="2293">
        <f>SUM(L557:L558)+HV487</f>
        <v>0</v>
      </c>
      <c r="M559" s="2293">
        <f>SUM(M557:M558)+HW487</f>
        <v>0</v>
      </c>
      <c r="N559" s="2293">
        <f>SUM(N557:N558)+HX487</f>
        <v>0</v>
      </c>
      <c r="O559" s="2293">
        <f>SUM(O557:O558)+HY487</f>
        <v>0</v>
      </c>
      <c r="P559" s="2293">
        <f t="shared" si="361"/>
        <v>0</v>
      </c>
      <c r="S559" s="2273"/>
      <c r="T559" s="2273"/>
      <c r="U559" s="2273"/>
      <c r="V559" s="2273"/>
      <c r="W559" s="2273"/>
      <c r="X559" s="1317"/>
      <c r="AA559" s="253"/>
      <c r="AB559" s="256"/>
      <c r="AC559" s="1317"/>
      <c r="AF559" s="253"/>
      <c r="AG559" s="256"/>
      <c r="AH559" s="1317"/>
      <c r="AK559" s="253"/>
      <c r="AL559" s="256"/>
      <c r="AM559" s="1317"/>
      <c r="AP559" s="253"/>
      <c r="AQ559" s="256"/>
      <c r="AR559" s="257"/>
      <c r="AS559" s="257"/>
      <c r="AT559" s="257"/>
      <c r="AU559" s="257"/>
      <c r="AV559" s="257"/>
      <c r="AW559" s="257"/>
      <c r="AX559" s="256"/>
      <c r="AY559" s="253"/>
      <c r="BB559" s="257"/>
      <c r="BC559" s="256"/>
      <c r="BD559" s="253"/>
      <c r="JW559" s="1318"/>
      <c r="KB559" s="1318"/>
      <c r="KG559" s="1318"/>
      <c r="KL559" s="1318"/>
      <c r="KM559" s="1318"/>
      <c r="KN559" s="1318"/>
      <c r="KO559" s="1318"/>
      <c r="KP559" s="1318"/>
      <c r="KQ559" s="1318"/>
      <c r="KR559" s="1318"/>
      <c r="KS559" s="1318"/>
      <c r="KT559" s="1318"/>
      <c r="KU559" s="1318"/>
      <c r="KV559" s="1318"/>
      <c r="KW559" s="1318"/>
      <c r="KX559" s="1318"/>
      <c r="KY559" s="1318"/>
      <c r="KZ559" s="1318"/>
      <c r="LA559" s="1318"/>
      <c r="LB559" s="1318"/>
      <c r="LC559" s="1318"/>
      <c r="LD559" s="1318"/>
      <c r="LE559" s="1318"/>
      <c r="LF559" s="1318"/>
      <c r="LG559" s="1318"/>
      <c r="LN559" s="255"/>
      <c r="LO559" s="255"/>
      <c r="ME559" s="255"/>
    </row>
    <row r="560" spans="1:343" ht="14.25" customHeight="1">
      <c r="A560" s="1213"/>
      <c r="B560" s="1213"/>
      <c r="C560" s="2247"/>
      <c r="D560" s="253"/>
      <c r="E560" s="1106" t="s">
        <v>1244</v>
      </c>
      <c r="F560" s="253"/>
      <c r="G560" s="2107"/>
      <c r="H560" s="254"/>
      <c r="K560" s="2287">
        <f>'Part V-Revenues &amp; Expenses'!K122</f>
        <v>0</v>
      </c>
      <c r="L560" s="2287">
        <f>'Part V-Revenues &amp; Expenses'!L122</f>
        <v>0</v>
      </c>
      <c r="M560" s="2287">
        <f>'Part V-Revenues &amp; Expenses'!M122</f>
        <v>0</v>
      </c>
      <c r="N560" s="2287">
        <f>'Part V-Revenues &amp; Expenses'!N122</f>
        <v>0</v>
      </c>
      <c r="O560" s="2287">
        <f>'Part V-Revenues &amp; Expenses'!O122</f>
        <v>0</v>
      </c>
      <c r="P560" s="2287">
        <f t="shared" si="361"/>
        <v>0</v>
      </c>
      <c r="S560" s="2273"/>
      <c r="T560" s="2273"/>
      <c r="U560" s="2273"/>
      <c r="V560" s="2273"/>
      <c r="W560" s="2273"/>
      <c r="X560" s="253"/>
      <c r="AA560" s="253"/>
      <c r="AB560" s="256"/>
      <c r="AC560" s="253"/>
      <c r="AF560" s="253"/>
      <c r="AG560" s="256"/>
      <c r="AH560" s="253"/>
      <c r="AK560" s="253"/>
      <c r="AL560" s="256"/>
      <c r="AM560" s="253"/>
      <c r="AP560" s="253"/>
      <c r="AQ560" s="256"/>
      <c r="AR560" s="257"/>
      <c r="AS560" s="257"/>
      <c r="AT560" s="257"/>
      <c r="AU560" s="257"/>
      <c r="AV560" s="257"/>
      <c r="AW560" s="257"/>
      <c r="AX560" s="612"/>
      <c r="AY560" s="253"/>
      <c r="BB560" s="257"/>
      <c r="BC560" s="612"/>
      <c r="BD560" s="253"/>
      <c r="JW560" s="1318"/>
      <c r="KB560" s="1318"/>
      <c r="KG560" s="1318"/>
      <c r="KL560" s="1318"/>
      <c r="KM560" s="1318"/>
      <c r="KN560" s="1318"/>
      <c r="KO560" s="1318"/>
      <c r="KP560" s="1318"/>
      <c r="KQ560" s="1318"/>
      <c r="KR560" s="1318"/>
      <c r="KS560" s="1318"/>
      <c r="KT560" s="1318"/>
      <c r="KU560" s="1318"/>
      <c r="KV560" s="1318"/>
      <c r="KW560" s="1318"/>
      <c r="KX560" s="1318"/>
      <c r="KY560" s="1318"/>
      <c r="KZ560" s="1318"/>
      <c r="LA560" s="1318"/>
      <c r="LB560" s="1318"/>
      <c r="LC560" s="1318"/>
      <c r="LD560" s="1318"/>
      <c r="LE560" s="1318"/>
      <c r="LF560" s="1318"/>
      <c r="LG560" s="1318"/>
      <c r="LN560" s="255"/>
      <c r="LO560" s="255"/>
      <c r="ME560" s="255"/>
    </row>
    <row r="561" spans="1:343" ht="14.25" customHeight="1">
      <c r="A561" s="2250" t="str">
        <f>IF(AND('Part III-A-Uses of Funds'!$T$179="Yes",'Part VIII Scoring Criteria'!$O$339&gt;0,P561&lt;1),"SHOW HISTORIC UNITS HERE &gt;&gt;&gt;&gt;","")</f>
        <v/>
      </c>
      <c r="B561" s="2250"/>
      <c r="C561" s="2250"/>
      <c r="D561" s="2250"/>
      <c r="E561" s="1106" t="s">
        <v>2259</v>
      </c>
      <c r="F561" s="253"/>
      <c r="G561" s="2107"/>
      <c r="H561" s="254"/>
      <c r="K561" s="2287">
        <f>'Part V-Revenues &amp; Expenses'!K123</f>
        <v>0</v>
      </c>
      <c r="L561" s="2287">
        <f>'Part V-Revenues &amp; Expenses'!L123</f>
        <v>0</v>
      </c>
      <c r="M561" s="2287">
        <f>'Part V-Revenues &amp; Expenses'!M123</f>
        <v>0</v>
      </c>
      <c r="N561" s="2287">
        <f>'Part V-Revenues &amp; Expenses'!N123</f>
        <v>0</v>
      </c>
      <c r="O561" s="2287">
        <f>'Part V-Revenues &amp; Expenses'!O123</f>
        <v>0</v>
      </c>
      <c r="P561" s="2287">
        <f t="shared" si="361"/>
        <v>0</v>
      </c>
      <c r="S561" s="2273"/>
      <c r="T561" s="2273"/>
      <c r="U561" s="2273"/>
      <c r="V561" s="2273"/>
      <c r="W561" s="2273"/>
      <c r="X561" s="253"/>
      <c r="AA561" s="253"/>
      <c r="AB561" s="256"/>
      <c r="AC561" s="253"/>
      <c r="AF561" s="253"/>
      <c r="AG561" s="256"/>
      <c r="AH561" s="253"/>
      <c r="AK561" s="253"/>
      <c r="AL561" s="256"/>
      <c r="AM561" s="253"/>
      <c r="AP561" s="253"/>
      <c r="AQ561" s="256"/>
      <c r="AR561" s="257"/>
      <c r="AS561" s="257"/>
      <c r="AT561" s="257"/>
      <c r="AU561" s="257"/>
      <c r="AV561" s="257"/>
      <c r="AW561" s="257"/>
      <c r="AX561" s="612"/>
      <c r="AY561" s="253"/>
      <c r="BB561" s="257"/>
      <c r="BC561" s="612"/>
      <c r="BD561" s="253"/>
      <c r="JW561" s="1318"/>
      <c r="KB561" s="1318"/>
      <c r="KG561" s="1318"/>
      <c r="KL561" s="1318"/>
      <c r="KM561" s="1318"/>
      <c r="KN561" s="1318"/>
      <c r="KO561" s="1318"/>
      <c r="KP561" s="1318"/>
      <c r="KQ561" s="1318"/>
      <c r="KR561" s="1318"/>
      <c r="KS561" s="1318"/>
      <c r="KT561" s="1318"/>
      <c r="KU561" s="1318"/>
      <c r="KV561" s="1318"/>
      <c r="KW561" s="1318"/>
      <c r="KX561" s="1318"/>
      <c r="KY561" s="1318"/>
      <c r="KZ561" s="1318"/>
      <c r="LA561" s="1318"/>
      <c r="LB561" s="1318"/>
      <c r="LC561" s="1318"/>
      <c r="LD561" s="1318"/>
      <c r="LE561" s="1318"/>
      <c r="LF561" s="1318"/>
      <c r="LG561" s="1318"/>
      <c r="LN561" s="255"/>
      <c r="LO561" s="255"/>
      <c r="ME561" s="255"/>
    </row>
    <row r="562" spans="1:343" ht="9" customHeight="1">
      <c r="A562" s="2302"/>
      <c r="B562" s="2302"/>
      <c r="C562" s="2302"/>
      <c r="D562" s="2302"/>
      <c r="E562" s="1106"/>
      <c r="F562" s="253"/>
      <c r="G562" s="2107"/>
      <c r="H562" s="254"/>
      <c r="K562" s="256"/>
      <c r="L562" s="256"/>
      <c r="M562" s="256"/>
      <c r="N562" s="256"/>
      <c r="O562" s="256"/>
      <c r="P562" s="256"/>
      <c r="S562" s="2273"/>
      <c r="T562" s="2273"/>
      <c r="U562" s="2273"/>
      <c r="V562" s="2273"/>
      <c r="W562" s="2273"/>
      <c r="X562" s="253"/>
      <c r="AA562" s="253"/>
      <c r="AB562" s="256"/>
      <c r="AC562" s="253"/>
      <c r="AF562" s="253"/>
      <c r="AG562" s="256"/>
      <c r="AH562" s="253"/>
      <c r="AK562" s="253"/>
      <c r="AL562" s="256"/>
      <c r="AM562" s="253"/>
      <c r="AP562" s="253"/>
      <c r="AQ562" s="256"/>
      <c r="AR562" s="257"/>
      <c r="AS562" s="257"/>
      <c r="AT562" s="257"/>
      <c r="AU562" s="257"/>
      <c r="AV562" s="257"/>
      <c r="AW562" s="257"/>
      <c r="AX562" s="612"/>
      <c r="AY562" s="253"/>
      <c r="BB562" s="257"/>
      <c r="BC562" s="612"/>
      <c r="BD562" s="253"/>
      <c r="JW562" s="1318"/>
      <c r="KB562" s="1318"/>
      <c r="KG562" s="1318"/>
      <c r="KL562" s="1318"/>
      <c r="KM562" s="1318"/>
      <c r="KN562" s="1318"/>
      <c r="KO562" s="1318"/>
      <c r="KP562" s="1318"/>
      <c r="KQ562" s="1318"/>
      <c r="KR562" s="1318"/>
      <c r="KS562" s="1318"/>
      <c r="KT562" s="1318"/>
      <c r="KU562" s="1318"/>
      <c r="KV562" s="1318"/>
      <c r="KW562" s="1318"/>
      <c r="KX562" s="1318"/>
      <c r="KY562" s="1318"/>
      <c r="KZ562" s="1318"/>
      <c r="LA562" s="1318"/>
      <c r="LB562" s="1318"/>
      <c r="LC562" s="1318"/>
      <c r="LD562" s="1318"/>
      <c r="LE562" s="1318"/>
      <c r="LF562" s="1318"/>
      <c r="LG562" s="1318"/>
      <c r="LN562" s="255"/>
      <c r="LO562" s="255"/>
      <c r="ME562" s="255"/>
    </row>
    <row r="563" spans="1:343" ht="13.5" customHeight="1">
      <c r="A563" s="2302"/>
      <c r="B563" s="2302"/>
      <c r="C563" s="2302"/>
      <c r="D563" s="2302"/>
      <c r="E563" s="1106" t="s">
        <v>1246</v>
      </c>
      <c r="F563" s="253"/>
      <c r="G563" s="2107"/>
      <c r="H563" s="254"/>
      <c r="K563" s="2287">
        <f>K571+K575+K579+K581+K583+K585</f>
        <v>0</v>
      </c>
      <c r="L563" s="2287">
        <f>L571+L575+L579+L581+L583+L585</f>
        <v>0</v>
      </c>
      <c r="M563" s="2287">
        <f>M571+M575+M579+M581+M583+M585</f>
        <v>0</v>
      </c>
      <c r="N563" s="2287">
        <f>N571+N575+N579+N581+N583+N585</f>
        <v>0</v>
      </c>
      <c r="O563" s="2287">
        <f>O571+O575+O579+O581+O583+O585</f>
        <v>0</v>
      </c>
      <c r="P563" s="2287">
        <f>SUM(K563:O563)</f>
        <v>0</v>
      </c>
      <c r="S563" s="2273"/>
      <c r="T563" s="2273"/>
      <c r="U563" s="2273"/>
      <c r="V563" s="2273"/>
      <c r="W563" s="2273"/>
      <c r="X563" s="253"/>
      <c r="AA563" s="253"/>
      <c r="AB563" s="256"/>
      <c r="AC563" s="253"/>
      <c r="AF563" s="253"/>
      <c r="AG563" s="256"/>
      <c r="AH563" s="253"/>
      <c r="AK563" s="253"/>
      <c r="AL563" s="256"/>
      <c r="AM563" s="253"/>
      <c r="AP563" s="253"/>
      <c r="AQ563" s="256"/>
      <c r="AR563" s="257"/>
      <c r="AS563" s="257"/>
      <c r="AT563" s="257"/>
      <c r="AU563" s="257"/>
      <c r="AV563" s="257"/>
      <c r="AW563" s="257"/>
      <c r="AX563" s="612"/>
      <c r="AY563" s="253"/>
      <c r="BB563" s="257"/>
      <c r="BC563" s="612"/>
      <c r="BD563" s="253"/>
      <c r="JW563" s="1318"/>
      <c r="KB563" s="1318"/>
      <c r="KG563" s="1318"/>
      <c r="KL563" s="1318"/>
      <c r="KM563" s="1318"/>
      <c r="KN563" s="1318"/>
      <c r="KO563" s="1318"/>
      <c r="KP563" s="1318"/>
      <c r="KQ563" s="1318"/>
      <c r="KR563" s="1318"/>
      <c r="KS563" s="1318"/>
      <c r="KT563" s="1318"/>
      <c r="KU563" s="1318"/>
      <c r="KV563" s="1318"/>
      <c r="KW563" s="1318"/>
      <c r="KX563" s="1318"/>
      <c r="KY563" s="1318"/>
      <c r="KZ563" s="1318"/>
      <c r="LA563" s="1318"/>
      <c r="LB563" s="1318"/>
      <c r="LC563" s="1318"/>
      <c r="LD563" s="1318"/>
      <c r="LE563" s="1318"/>
      <c r="LF563" s="1318"/>
      <c r="LG563" s="1318"/>
      <c r="LN563" s="255"/>
      <c r="LO563" s="255"/>
      <c r="ME563" s="255"/>
    </row>
    <row r="564" spans="1:343" ht="14.25" customHeight="1">
      <c r="D564" s="253"/>
      <c r="E564" s="1106"/>
      <c r="F564" s="253"/>
      <c r="G564" s="2107"/>
      <c r="H564" s="254"/>
      <c r="K564" s="2298"/>
      <c r="L564" s="2298"/>
      <c r="M564" s="2298"/>
      <c r="N564" s="2298"/>
      <c r="O564" s="2298"/>
      <c r="P564" s="2298"/>
      <c r="U564" s="2251"/>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318"/>
      <c r="KB564" s="1318"/>
      <c r="KG564" s="1318"/>
      <c r="KL564" s="1318"/>
      <c r="KM564" s="1318"/>
      <c r="KN564" s="1318"/>
      <c r="KO564" s="1318"/>
      <c r="KP564" s="1318"/>
      <c r="KQ564" s="1318"/>
      <c r="KR564" s="1318"/>
      <c r="KS564" s="1318"/>
      <c r="KT564" s="1318"/>
      <c r="KU564" s="1318"/>
      <c r="KV564" s="1318"/>
      <c r="KW564" s="1318"/>
      <c r="KX564" s="1318"/>
      <c r="KY564" s="1318"/>
      <c r="KZ564" s="1318"/>
      <c r="LA564" s="1318"/>
      <c r="LB564" s="1318"/>
      <c r="LC564" s="1318"/>
      <c r="LD564" s="1318"/>
      <c r="LE564" s="1318"/>
      <c r="LF564" s="1318"/>
      <c r="LG564" s="1318"/>
      <c r="LN564" s="255"/>
      <c r="LO564" s="255"/>
      <c r="ME564" s="255"/>
    </row>
    <row r="565" spans="1:343" ht="13.5" customHeight="1">
      <c r="C565" s="2273" t="s">
        <v>1247</v>
      </c>
      <c r="D565" s="2273"/>
      <c r="E565" s="1106" t="s">
        <v>1248</v>
      </c>
      <c r="F565" s="253"/>
      <c r="G565" s="2107"/>
      <c r="H565" s="254"/>
      <c r="K565" s="2303" t="str">
        <f>'Part V-Revenues &amp; Expenses'!K127</f>
        <v>Yes</v>
      </c>
      <c r="L565" s="253" t="s">
        <v>1249</v>
      </c>
      <c r="M565" s="2107"/>
      <c r="N565" s="254"/>
      <c r="S565" s="2075"/>
      <c r="U565" s="2251"/>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318"/>
      <c r="KB565" s="1318"/>
      <c r="KG565" s="1318"/>
      <c r="KL565" s="1318"/>
      <c r="KM565" s="1318"/>
      <c r="KN565" s="1318"/>
      <c r="KO565" s="1318"/>
      <c r="KP565" s="1318"/>
      <c r="KQ565" s="1318"/>
      <c r="KR565" s="1318"/>
      <c r="KS565" s="1318"/>
      <c r="KT565" s="1318"/>
      <c r="KU565" s="1318"/>
      <c r="KV565" s="1318"/>
      <c r="KW565" s="1318"/>
      <c r="KX565" s="1318"/>
      <c r="KY565" s="1318"/>
      <c r="KZ565" s="1318"/>
      <c r="LA565" s="1318"/>
      <c r="LB565" s="1318"/>
      <c r="LC565" s="1318"/>
      <c r="LD565" s="1318"/>
      <c r="LE565" s="1318"/>
      <c r="LF565" s="1318"/>
      <c r="LG565" s="1318"/>
      <c r="LN565" s="255"/>
      <c r="LO565" s="255"/>
      <c r="ME565" s="255"/>
    </row>
    <row r="566" spans="1:343" ht="13.5" customHeight="1">
      <c r="C566" s="2273"/>
      <c r="D566" s="2273"/>
      <c r="E566" s="1106"/>
      <c r="K566" s="2303" t="str">
        <f>'Part V-Revenues &amp; Expenses'!K128</f>
        <v>No</v>
      </c>
      <c r="L566" s="2273" t="s">
        <v>1250</v>
      </c>
      <c r="M566" s="2273"/>
      <c r="N566" s="2273"/>
      <c r="O566" s="2273"/>
      <c r="P566" s="2273"/>
      <c r="S566" s="2075"/>
      <c r="U566" s="2251"/>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318"/>
      <c r="KB566" s="1318"/>
      <c r="KG566" s="1318"/>
      <c r="KL566" s="1318"/>
      <c r="KM566" s="1318"/>
      <c r="KN566" s="1318"/>
      <c r="KO566" s="1318"/>
      <c r="KP566" s="1318"/>
      <c r="KQ566" s="1318"/>
      <c r="KR566" s="1318"/>
      <c r="KS566" s="1318"/>
      <c r="KT566" s="1318"/>
      <c r="KU566" s="1318"/>
      <c r="KV566" s="1318"/>
      <c r="KW566" s="1318"/>
      <c r="KX566" s="1318"/>
      <c r="KY566" s="1318"/>
      <c r="KZ566" s="1318"/>
      <c r="LA566" s="1318"/>
      <c r="LB566" s="1318"/>
      <c r="LC566" s="1318"/>
      <c r="LD566" s="1318"/>
      <c r="LE566" s="1318"/>
      <c r="LF566" s="1318"/>
      <c r="LG566" s="1318"/>
      <c r="LN566" s="255"/>
      <c r="LO566" s="255"/>
      <c r="ME566" s="255"/>
    </row>
    <row r="567" spans="1:343" ht="14.25" customHeight="1">
      <c r="C567" s="2273"/>
      <c r="D567" s="2273"/>
      <c r="E567" s="1106"/>
      <c r="K567" s="2298"/>
      <c r="L567" s="2273"/>
      <c r="M567" s="2273"/>
      <c r="N567" s="2273"/>
      <c r="O567" s="2273"/>
      <c r="P567" s="2273"/>
      <c r="S567" s="2075"/>
      <c r="U567" s="2251"/>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318"/>
      <c r="KB567" s="1318"/>
      <c r="KG567" s="1318"/>
      <c r="KL567" s="1318"/>
      <c r="KM567" s="1318"/>
      <c r="KN567" s="1318"/>
      <c r="KO567" s="1318"/>
      <c r="KP567" s="1318"/>
      <c r="KQ567" s="1318"/>
      <c r="KR567" s="1318"/>
      <c r="KS567" s="1318"/>
      <c r="KT567" s="1318"/>
      <c r="KU567" s="1318"/>
      <c r="KV567" s="1318"/>
      <c r="KW567" s="1318"/>
      <c r="KX567" s="1318"/>
      <c r="KY567" s="1318"/>
      <c r="KZ567" s="1318"/>
      <c r="LA567" s="1318"/>
      <c r="LB567" s="1318"/>
      <c r="LC567" s="1318"/>
      <c r="LD567" s="1318"/>
      <c r="LE567" s="1318"/>
      <c r="LF567" s="1318"/>
      <c r="LG567" s="1318"/>
      <c r="LN567" s="255"/>
      <c r="LO567" s="255"/>
      <c r="ME567" s="255"/>
    </row>
    <row r="568" spans="1:343" ht="14.25" customHeight="1">
      <c r="D568" s="253"/>
      <c r="E568" s="1106"/>
      <c r="F568" s="253"/>
      <c r="G568" s="2107"/>
      <c r="H568" s="254"/>
      <c r="K568" s="2298"/>
      <c r="L568" s="2298"/>
      <c r="M568" s="2298"/>
      <c r="N568" s="2298"/>
      <c r="O568" s="2298"/>
      <c r="P568" s="2298"/>
      <c r="S568" s="2075" t="str">
        <f>C569</f>
        <v xml:space="preserve">Building Type: (for Utility Allowance, Monitoring Fees, etc)
</v>
      </c>
      <c r="U568" s="2251"/>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318"/>
      <c r="KB568" s="1318"/>
      <c r="KG568" s="1318"/>
      <c r="KL568" s="1318"/>
      <c r="KM568" s="1318"/>
      <c r="KN568" s="1318"/>
      <c r="KO568" s="1318"/>
      <c r="KP568" s="1318"/>
      <c r="KQ568" s="1318"/>
      <c r="KR568" s="1318"/>
      <c r="KS568" s="1318"/>
      <c r="KT568" s="1318"/>
      <c r="KU568" s="1318"/>
      <c r="KV568" s="1318"/>
      <c r="KW568" s="1318"/>
      <c r="KX568" s="1318"/>
      <c r="KY568" s="1318"/>
      <c r="KZ568" s="1318"/>
      <c r="LA568" s="1318"/>
      <c r="LB568" s="1318"/>
      <c r="LC568" s="1318"/>
      <c r="LD568" s="1318"/>
      <c r="LE568" s="1318"/>
      <c r="LF568" s="1318"/>
      <c r="LG568" s="1318"/>
      <c r="LN568" s="255"/>
      <c r="LO568" s="255"/>
      <c r="ME568" s="255"/>
    </row>
    <row r="569" spans="1:343" ht="14.25" customHeight="1">
      <c r="C569" s="2273" t="s">
        <v>2260</v>
      </c>
      <c r="D569" s="2273"/>
      <c r="E569" s="1106" t="s">
        <v>667</v>
      </c>
      <c r="F569" s="253"/>
      <c r="G569" s="2107"/>
      <c r="H569" s="254"/>
      <c r="K569" s="2293">
        <f t="shared" ref="K569:P569" si="362">SUM(K570:K577)</f>
        <v>0</v>
      </c>
      <c r="L569" s="2293">
        <f t="shared" si="362"/>
        <v>41</v>
      </c>
      <c r="M569" s="2293">
        <f t="shared" si="362"/>
        <v>17</v>
      </c>
      <c r="N569" s="2293">
        <f t="shared" si="362"/>
        <v>0</v>
      </c>
      <c r="O569" s="2293">
        <f t="shared" si="362"/>
        <v>0</v>
      </c>
      <c r="P569" s="2293">
        <f t="shared" si="362"/>
        <v>58</v>
      </c>
      <c r="S569" s="2273"/>
      <c r="T569" s="2273"/>
      <c r="U569" s="2273"/>
      <c r="V569" s="2273"/>
      <c r="W569" s="2273"/>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273"/>
      <c r="D570" s="2273"/>
      <c r="E570" s="1106"/>
      <c r="F570" s="253"/>
      <c r="H570" s="2304" t="s">
        <v>1252</v>
      </c>
      <c r="I570" s="1438"/>
      <c r="K570" s="2287">
        <f>JS487</f>
        <v>0</v>
      </c>
      <c r="L570" s="2287">
        <f>JT487</f>
        <v>0</v>
      </c>
      <c r="M570" s="2287">
        <f>JU487</f>
        <v>0</v>
      </c>
      <c r="N570" s="2287">
        <f>JV487</f>
        <v>0</v>
      </c>
      <c r="O570" s="2287">
        <f>JW487</f>
        <v>0</v>
      </c>
      <c r="P570" s="2287">
        <f t="shared" ref="P570:P585" si="363">SUM(K570:O570)</f>
        <v>0</v>
      </c>
      <c r="S570" s="2273"/>
      <c r="T570" s="2273"/>
      <c r="U570" s="2273"/>
      <c r="V570" s="2273"/>
      <c r="W570" s="2273"/>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273"/>
      <c r="D571" s="2273"/>
      <c r="E571" s="1106"/>
      <c r="F571" s="253"/>
      <c r="H571" s="2305" t="s">
        <v>1246</v>
      </c>
      <c r="I571" s="2306"/>
      <c r="K571" s="2292">
        <f>KC487</f>
        <v>0</v>
      </c>
      <c r="L571" s="2292">
        <f>KD487</f>
        <v>0</v>
      </c>
      <c r="M571" s="2292">
        <f>KE487</f>
        <v>0</v>
      </c>
      <c r="N571" s="2292">
        <f>KF487</f>
        <v>0</v>
      </c>
      <c r="O571" s="2292">
        <f>KG487</f>
        <v>0</v>
      </c>
      <c r="P571" s="2292">
        <f t="shared" si="363"/>
        <v>0</v>
      </c>
      <c r="S571" s="2273"/>
      <c r="T571" s="2273"/>
      <c r="U571" s="2273"/>
      <c r="V571" s="2273"/>
      <c r="W571" s="2273"/>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273"/>
      <c r="D572" s="2273"/>
      <c r="E572" s="1106"/>
      <c r="F572" s="253"/>
      <c r="H572" s="2304" t="s">
        <v>1253</v>
      </c>
      <c r="I572" s="1438"/>
      <c r="K572" s="2287">
        <f>JX487</f>
        <v>0</v>
      </c>
      <c r="L572" s="2287">
        <f>JY487</f>
        <v>41</v>
      </c>
      <c r="M572" s="2287">
        <f>JZ487</f>
        <v>17</v>
      </c>
      <c r="N572" s="2287">
        <f>KA487</f>
        <v>0</v>
      </c>
      <c r="O572" s="2287">
        <f>KB487</f>
        <v>0</v>
      </c>
      <c r="P572" s="2287">
        <f t="shared" si="363"/>
        <v>58</v>
      </c>
      <c r="S572" s="2273"/>
      <c r="T572" s="2273"/>
      <c r="U572" s="2273"/>
      <c r="V572" s="2273"/>
      <c r="W572" s="2273"/>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273"/>
      <c r="D573" s="2273"/>
      <c r="E573" s="1106"/>
      <c r="F573" s="253"/>
      <c r="H573" s="2305" t="s">
        <v>1246</v>
      </c>
      <c r="I573" s="2306"/>
      <c r="K573" s="2292">
        <f>KH487</f>
        <v>0</v>
      </c>
      <c r="L573" s="2292">
        <f>KI487</f>
        <v>0</v>
      </c>
      <c r="M573" s="2292">
        <f>KJ487</f>
        <v>0</v>
      </c>
      <c r="N573" s="2292">
        <f>KK487</f>
        <v>0</v>
      </c>
      <c r="O573" s="2292">
        <f>KL487</f>
        <v>0</v>
      </c>
      <c r="P573" s="2292">
        <f t="shared" si="363"/>
        <v>0</v>
      </c>
      <c r="S573" s="2273"/>
      <c r="T573" s="2273"/>
      <c r="U573" s="2273"/>
      <c r="V573" s="2273"/>
      <c r="W573" s="2273"/>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273"/>
      <c r="D574" s="2273"/>
      <c r="E574" s="1106"/>
      <c r="F574" s="253"/>
      <c r="H574" s="2304" t="s">
        <v>1254</v>
      </c>
      <c r="I574" s="1438"/>
      <c r="K574" s="2287">
        <f>KM487</f>
        <v>0</v>
      </c>
      <c r="L574" s="2287">
        <f>KN487</f>
        <v>0</v>
      </c>
      <c r="M574" s="2287">
        <f>KO487</f>
        <v>0</v>
      </c>
      <c r="N574" s="2287">
        <f>KP487</f>
        <v>0</v>
      </c>
      <c r="O574" s="2287">
        <f>KQ487</f>
        <v>0</v>
      </c>
      <c r="P574" s="2287">
        <f t="shared" si="363"/>
        <v>0</v>
      </c>
      <c r="S574" s="2273"/>
      <c r="T574" s="2273"/>
      <c r="U574" s="2273"/>
      <c r="V574" s="2273"/>
      <c r="W574" s="2273"/>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273"/>
      <c r="D575" s="2273"/>
      <c r="E575" s="1106"/>
      <c r="F575" s="253"/>
      <c r="H575" s="2305" t="s">
        <v>1246</v>
      </c>
      <c r="I575" s="2306"/>
      <c r="K575" s="2292">
        <f>KW487</f>
        <v>0</v>
      </c>
      <c r="L575" s="2292">
        <f>KX487</f>
        <v>0</v>
      </c>
      <c r="M575" s="2292">
        <f>KY487</f>
        <v>0</v>
      </c>
      <c r="N575" s="2292">
        <f>KZ487</f>
        <v>0</v>
      </c>
      <c r="O575" s="2292">
        <f>LA487</f>
        <v>0</v>
      </c>
      <c r="P575" s="2292">
        <f t="shared" si="363"/>
        <v>0</v>
      </c>
      <c r="S575" s="2273"/>
      <c r="T575" s="2273"/>
      <c r="U575" s="2273"/>
      <c r="V575" s="2273"/>
      <c r="W575" s="2273"/>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273"/>
      <c r="D576" s="2273"/>
      <c r="E576" s="1106"/>
      <c r="F576" s="253"/>
      <c r="H576" s="2304" t="s">
        <v>1255</v>
      </c>
      <c r="I576" s="1438"/>
      <c r="K576" s="2287">
        <f>KR487</f>
        <v>0</v>
      </c>
      <c r="L576" s="2287">
        <f>KS487</f>
        <v>0</v>
      </c>
      <c r="M576" s="2287">
        <f>KT487</f>
        <v>0</v>
      </c>
      <c r="N576" s="2287">
        <f>KU487</f>
        <v>0</v>
      </c>
      <c r="O576" s="2287">
        <f>KV487</f>
        <v>0</v>
      </c>
      <c r="P576" s="2287">
        <f t="shared" si="363"/>
        <v>0</v>
      </c>
      <c r="S576" s="2273"/>
      <c r="T576" s="2273"/>
      <c r="U576" s="2273"/>
      <c r="V576" s="2273"/>
      <c r="W576" s="2273"/>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273"/>
      <c r="D577" s="2273"/>
      <c r="E577" s="1106"/>
      <c r="F577" s="253"/>
      <c r="H577" s="2305" t="s">
        <v>1246</v>
      </c>
      <c r="I577" s="2306"/>
      <c r="K577" s="2292">
        <f>LB487</f>
        <v>0</v>
      </c>
      <c r="L577" s="2292">
        <f>LC487</f>
        <v>0</v>
      </c>
      <c r="M577" s="2292">
        <f>LD487</f>
        <v>0</v>
      </c>
      <c r="N577" s="2292">
        <f>LE487</f>
        <v>0</v>
      </c>
      <c r="O577" s="2292">
        <f>LF487</f>
        <v>0</v>
      </c>
      <c r="P577" s="2292">
        <f t="shared" si="363"/>
        <v>0</v>
      </c>
      <c r="S577" s="2273"/>
      <c r="T577" s="2273"/>
      <c r="U577" s="2273"/>
      <c r="V577" s="2273"/>
      <c r="W577" s="2273"/>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307"/>
      <c r="D578" s="2307"/>
      <c r="E578" s="1106" t="s">
        <v>1256</v>
      </c>
      <c r="F578" s="253"/>
      <c r="H578" s="2304"/>
      <c r="I578" s="1438"/>
      <c r="K578" s="2287">
        <f>IE487</f>
        <v>0</v>
      </c>
      <c r="L578" s="2287">
        <f>IF487</f>
        <v>0</v>
      </c>
      <c r="M578" s="2287">
        <f>IG487</f>
        <v>0</v>
      </c>
      <c r="N578" s="2287">
        <f>IH487</f>
        <v>0</v>
      </c>
      <c r="O578" s="2287">
        <f>II487</f>
        <v>0</v>
      </c>
      <c r="P578" s="2293">
        <f t="shared" si="363"/>
        <v>0</v>
      </c>
      <c r="S578" s="2273"/>
      <c r="T578" s="2273"/>
      <c r="U578" s="2273"/>
      <c r="V578" s="2273"/>
      <c r="W578" s="2273"/>
      <c r="X578" s="253"/>
      <c r="AA578" s="253"/>
      <c r="AB578" s="256"/>
      <c r="AC578" s="253"/>
      <c r="AF578" s="253"/>
      <c r="AG578" s="256"/>
      <c r="AH578" s="253"/>
      <c r="AK578" s="253"/>
      <c r="AL578" s="256"/>
      <c r="AM578" s="253"/>
      <c r="AP578" s="253"/>
      <c r="AQ578" s="256"/>
      <c r="AR578" s="257"/>
      <c r="AS578" s="257"/>
      <c r="AT578" s="257"/>
      <c r="AU578" s="257"/>
      <c r="AV578" s="257"/>
      <c r="AW578" s="257"/>
      <c r="AX578" s="612"/>
      <c r="AY578" s="253"/>
      <c r="BB578" s="257"/>
      <c r="BC578" s="612"/>
      <c r="BD578" s="253"/>
      <c r="JW578" s="1318"/>
      <c r="KB578" s="1318"/>
      <c r="KG578" s="1318"/>
      <c r="KL578" s="1318"/>
      <c r="KM578" s="1318"/>
      <c r="KN578" s="1318"/>
      <c r="KO578" s="1318"/>
      <c r="KP578" s="1318"/>
      <c r="KQ578" s="1318"/>
      <c r="KR578" s="1318"/>
      <c r="KS578" s="1318"/>
      <c r="KT578" s="1318"/>
      <c r="KU578" s="1318"/>
      <c r="KV578" s="1318"/>
      <c r="KW578" s="1318"/>
      <c r="KX578" s="1318"/>
      <c r="KY578" s="1318"/>
      <c r="KZ578" s="1318"/>
      <c r="LA578" s="1318"/>
      <c r="LB578" s="1318"/>
      <c r="LC578" s="1318"/>
      <c r="LD578" s="1318"/>
      <c r="LE578" s="1318"/>
      <c r="LF578" s="1318"/>
      <c r="LG578" s="1318"/>
      <c r="LN578" s="255"/>
      <c r="LO578" s="255"/>
    </row>
    <row r="579" spans="1:342" ht="14.25" customHeight="1">
      <c r="C579" s="2307"/>
      <c r="D579" s="2307"/>
      <c r="E579" s="1106"/>
      <c r="F579" s="253"/>
      <c r="H579" s="2305" t="s">
        <v>1246</v>
      </c>
      <c r="I579" s="2306"/>
      <c r="K579" s="2292">
        <f>IJ487</f>
        <v>0</v>
      </c>
      <c r="L579" s="2292">
        <f>IK487</f>
        <v>0</v>
      </c>
      <c r="M579" s="2292">
        <f>IL487</f>
        <v>0</v>
      </c>
      <c r="N579" s="2292">
        <f>IM487</f>
        <v>0</v>
      </c>
      <c r="O579" s="2292">
        <f>IN487</f>
        <v>0</v>
      </c>
      <c r="P579" s="2308">
        <f t="shared" si="363"/>
        <v>0</v>
      </c>
      <c r="S579" s="2273"/>
      <c r="T579" s="2273"/>
      <c r="U579" s="2273"/>
      <c r="V579" s="2273"/>
      <c r="W579" s="2273"/>
      <c r="X579" s="253"/>
      <c r="AA579" s="253"/>
      <c r="AB579" s="256"/>
      <c r="AC579" s="253"/>
      <c r="AF579" s="253"/>
      <c r="AG579" s="256"/>
      <c r="AH579" s="253"/>
      <c r="AK579" s="253"/>
      <c r="AL579" s="256"/>
      <c r="AM579" s="253"/>
      <c r="AP579" s="253"/>
      <c r="AQ579" s="256"/>
      <c r="AR579" s="257"/>
      <c r="AS579" s="257"/>
      <c r="AT579" s="257"/>
      <c r="AU579" s="257"/>
      <c r="AV579" s="257"/>
      <c r="AW579" s="257"/>
      <c r="AX579" s="612"/>
      <c r="AY579" s="253"/>
      <c r="BB579" s="257"/>
      <c r="BC579" s="612"/>
      <c r="BD579" s="253"/>
      <c r="JW579" s="1318"/>
      <c r="KB579" s="1318"/>
      <c r="KG579" s="1318"/>
      <c r="KL579" s="1318"/>
      <c r="KM579" s="1318"/>
      <c r="KN579" s="1318"/>
      <c r="KO579" s="1318"/>
      <c r="KP579" s="1318"/>
      <c r="KQ579" s="1318"/>
      <c r="KR579" s="1318"/>
      <c r="KS579" s="1318"/>
      <c r="KT579" s="1318"/>
      <c r="KU579" s="1318"/>
      <c r="KV579" s="1318"/>
      <c r="KW579" s="1318"/>
      <c r="KX579" s="1318"/>
      <c r="KY579" s="1318"/>
      <c r="KZ579" s="1318"/>
      <c r="LA579" s="1318"/>
      <c r="LB579" s="1318"/>
      <c r="LC579" s="1318"/>
      <c r="LD579" s="1318"/>
      <c r="LE579" s="1318"/>
      <c r="LF579" s="1318"/>
      <c r="LG579" s="1318"/>
      <c r="LN579" s="255"/>
      <c r="LO579" s="255"/>
    </row>
    <row r="580" spans="1:342" ht="14.25" customHeight="1">
      <c r="C580" s="2307"/>
      <c r="D580" s="2307"/>
      <c r="E580" s="1106" t="s">
        <v>669</v>
      </c>
      <c r="F580" s="253"/>
      <c r="H580" s="2304"/>
      <c r="I580" s="1438"/>
      <c r="K580" s="2287">
        <f>JI487</f>
        <v>0</v>
      </c>
      <c r="L580" s="2287">
        <f>JJ487</f>
        <v>0</v>
      </c>
      <c r="M580" s="2287">
        <f>JK487</f>
        <v>0</v>
      </c>
      <c r="N580" s="2287">
        <f>JL487</f>
        <v>0</v>
      </c>
      <c r="O580" s="2287">
        <f>JM487</f>
        <v>0</v>
      </c>
      <c r="P580" s="2293">
        <f t="shared" si="363"/>
        <v>0</v>
      </c>
      <c r="S580" s="2273"/>
      <c r="T580" s="2273"/>
      <c r="U580" s="2273"/>
      <c r="V580" s="2273"/>
      <c r="W580" s="2273"/>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307"/>
      <c r="D581" s="2307"/>
      <c r="E581" s="1106"/>
      <c r="F581" s="253"/>
      <c r="H581" s="2305" t="s">
        <v>1246</v>
      </c>
      <c r="I581" s="2306"/>
      <c r="K581" s="2292">
        <f>JN487</f>
        <v>0</v>
      </c>
      <c r="L581" s="2292">
        <f>JO487</f>
        <v>0</v>
      </c>
      <c r="M581" s="2292">
        <f>JP487</f>
        <v>0</v>
      </c>
      <c r="N581" s="2292">
        <f>JQ487</f>
        <v>0</v>
      </c>
      <c r="O581" s="2292">
        <f>JR487</f>
        <v>0</v>
      </c>
      <c r="P581" s="2308">
        <f t="shared" si="363"/>
        <v>0</v>
      </c>
      <c r="S581" s="2273"/>
      <c r="T581" s="2273"/>
      <c r="U581" s="2273"/>
      <c r="V581" s="2273"/>
      <c r="W581" s="2273"/>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307"/>
      <c r="D582" s="2307"/>
      <c r="E582" s="1106" t="s">
        <v>660</v>
      </c>
      <c r="F582" s="253"/>
      <c r="H582" s="2304"/>
      <c r="I582" s="1438"/>
      <c r="K582" s="2287">
        <f>IY487</f>
        <v>0</v>
      </c>
      <c r="L582" s="2287">
        <f>IZ487</f>
        <v>0</v>
      </c>
      <c r="M582" s="2287">
        <f>JA487</f>
        <v>0</v>
      </c>
      <c r="N582" s="2287">
        <f>JB487</f>
        <v>0</v>
      </c>
      <c r="O582" s="2287">
        <f>JC487</f>
        <v>0</v>
      </c>
      <c r="P582" s="2293">
        <f t="shared" si="363"/>
        <v>0</v>
      </c>
      <c r="S582" s="2273"/>
      <c r="T582" s="2273"/>
      <c r="U582" s="2273"/>
      <c r="V582" s="2273"/>
      <c r="W582" s="2273"/>
      <c r="X582" s="253"/>
      <c r="AA582" s="253"/>
      <c r="AB582" s="256"/>
      <c r="AC582" s="253"/>
      <c r="AF582" s="253"/>
      <c r="AG582" s="256"/>
      <c r="AH582" s="253"/>
      <c r="AK582" s="253"/>
      <c r="AL582" s="256"/>
      <c r="AM582" s="253"/>
      <c r="AP582" s="253"/>
      <c r="AQ582" s="256"/>
      <c r="AR582" s="257"/>
      <c r="AS582" s="257"/>
      <c r="AT582" s="257"/>
      <c r="AU582" s="257"/>
      <c r="AV582" s="257"/>
      <c r="AW582" s="257"/>
      <c r="AX582" s="612"/>
      <c r="AY582" s="253"/>
      <c r="BB582" s="257"/>
      <c r="BC582" s="612"/>
      <c r="BD582" s="253"/>
      <c r="JW582" s="1318"/>
      <c r="KB582" s="1318"/>
      <c r="KG582" s="1318"/>
      <c r="KL582" s="1318"/>
      <c r="KM582" s="1318"/>
      <c r="KN582" s="1318"/>
      <c r="KO582" s="1318"/>
      <c r="KP582" s="1318"/>
      <c r="KQ582" s="1318"/>
      <c r="KR582" s="1318"/>
      <c r="KS582" s="1318"/>
      <c r="KT582" s="1318"/>
      <c r="KU582" s="1318"/>
      <c r="KV582" s="1318"/>
      <c r="KW582" s="1318"/>
      <c r="KX582" s="1318"/>
      <c r="KY582" s="1318"/>
      <c r="KZ582" s="1318"/>
      <c r="LA582" s="1318"/>
      <c r="LB582" s="1318"/>
      <c r="LC582" s="1318"/>
      <c r="LD582" s="1318"/>
      <c r="LE582" s="1318"/>
      <c r="LF582" s="1318"/>
      <c r="LG582" s="1318"/>
      <c r="LN582" s="255"/>
      <c r="LO582" s="255"/>
    </row>
    <row r="583" spans="1:342" ht="14.25" customHeight="1">
      <c r="C583" s="2307"/>
      <c r="D583" s="2307"/>
      <c r="E583" s="1106"/>
      <c r="F583" s="253"/>
      <c r="H583" s="2305" t="s">
        <v>1246</v>
      </c>
      <c r="I583" s="2306"/>
      <c r="K583" s="2292">
        <f>JD487</f>
        <v>0</v>
      </c>
      <c r="L583" s="2292">
        <f>JE487</f>
        <v>0</v>
      </c>
      <c r="M583" s="2292">
        <f>JF487</f>
        <v>0</v>
      </c>
      <c r="N583" s="2292">
        <f>JG487</f>
        <v>0</v>
      </c>
      <c r="O583" s="2292">
        <f>JH487</f>
        <v>0</v>
      </c>
      <c r="P583" s="2308">
        <f t="shared" si="363"/>
        <v>0</v>
      </c>
      <c r="S583" s="2273"/>
      <c r="T583" s="2273"/>
      <c r="U583" s="2273"/>
      <c r="V583" s="2273"/>
      <c r="W583" s="2273"/>
      <c r="X583" s="253"/>
      <c r="AA583" s="253"/>
      <c r="AB583" s="256"/>
      <c r="AC583" s="253"/>
      <c r="AF583" s="253"/>
      <c r="AG583" s="256"/>
      <c r="AH583" s="253"/>
      <c r="AK583" s="253"/>
      <c r="AL583" s="256"/>
      <c r="AM583" s="253"/>
      <c r="AP583" s="253"/>
      <c r="AQ583" s="256"/>
      <c r="AR583" s="257"/>
      <c r="AS583" s="257"/>
      <c r="AT583" s="257"/>
      <c r="AU583" s="257"/>
      <c r="AV583" s="257"/>
      <c r="AW583" s="257"/>
      <c r="AX583" s="612"/>
      <c r="AY583" s="253"/>
      <c r="BB583" s="257"/>
      <c r="BC583" s="612"/>
      <c r="BD583" s="253"/>
      <c r="JW583" s="1318"/>
      <c r="KB583" s="1318"/>
      <c r="KG583" s="1318"/>
      <c r="KL583" s="1318"/>
      <c r="KM583" s="1318"/>
      <c r="KN583" s="1318"/>
      <c r="KO583" s="1318"/>
      <c r="KP583" s="1318"/>
      <c r="KQ583" s="1318"/>
      <c r="KR583" s="1318"/>
      <c r="KS583" s="1318"/>
      <c r="KT583" s="1318"/>
      <c r="KU583" s="1318"/>
      <c r="KV583" s="1318"/>
      <c r="KW583" s="1318"/>
      <c r="KX583" s="1318"/>
      <c r="KY583" s="1318"/>
      <c r="KZ583" s="1318"/>
      <c r="LA583" s="1318"/>
      <c r="LB583" s="1318"/>
      <c r="LC583" s="1318"/>
      <c r="LD583" s="1318"/>
      <c r="LE583" s="1318"/>
      <c r="LF583" s="1318"/>
      <c r="LG583" s="1318"/>
      <c r="LN583" s="255"/>
      <c r="LO583" s="255"/>
    </row>
    <row r="584" spans="1:342" ht="14.25" customHeight="1">
      <c r="C584" s="2307"/>
      <c r="D584" s="2307"/>
      <c r="E584" s="254" t="s">
        <v>1257</v>
      </c>
      <c r="F584" s="253"/>
      <c r="H584" s="2304"/>
      <c r="I584" s="1438"/>
      <c r="K584" s="2287">
        <f>IO487</f>
        <v>0</v>
      </c>
      <c r="L584" s="2287">
        <f>IP487</f>
        <v>0</v>
      </c>
      <c r="M584" s="2287">
        <f>IQ487</f>
        <v>0</v>
      </c>
      <c r="N584" s="2287">
        <f>IR487</f>
        <v>0</v>
      </c>
      <c r="O584" s="2287">
        <f>IS487</f>
        <v>0</v>
      </c>
      <c r="P584" s="2293">
        <f t="shared" si="363"/>
        <v>0</v>
      </c>
      <c r="S584" s="2273"/>
      <c r="T584" s="2273"/>
      <c r="U584" s="2273"/>
      <c r="V584" s="2273"/>
      <c r="W584" s="2273"/>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273"/>
      <c r="D585" s="2273"/>
      <c r="E585" s="254"/>
      <c r="F585" s="253"/>
      <c r="H585" s="2305" t="s">
        <v>1246</v>
      </c>
      <c r="I585" s="2306"/>
      <c r="K585" s="2292">
        <f>IT487</f>
        <v>0</v>
      </c>
      <c r="L585" s="2292">
        <f>IU487</f>
        <v>0</v>
      </c>
      <c r="M585" s="2292">
        <f>IV487</f>
        <v>0</v>
      </c>
      <c r="N585" s="2292">
        <f>IW487</f>
        <v>0</v>
      </c>
      <c r="O585" s="2292">
        <f>IX487</f>
        <v>0</v>
      </c>
      <c r="P585" s="2308">
        <f t="shared" si="363"/>
        <v>0</v>
      </c>
      <c r="S585" s="2273"/>
      <c r="T585" s="2273"/>
      <c r="U585" s="2273"/>
      <c r="V585" s="2273"/>
      <c r="W585" s="2273"/>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309"/>
      <c r="I586" s="2310"/>
      <c r="K586" s="2299"/>
      <c r="L586" s="2299"/>
      <c r="M586" s="2299"/>
      <c r="N586" s="2299"/>
      <c r="O586" s="2299"/>
      <c r="P586" s="2299"/>
      <c r="JW586" s="1318"/>
      <c r="KB586" s="1318"/>
      <c r="KG586" s="1318"/>
      <c r="KL586" s="1318"/>
      <c r="KM586" s="1318"/>
      <c r="KN586" s="1318"/>
      <c r="KO586" s="1318"/>
      <c r="KP586" s="1318"/>
      <c r="KQ586" s="1318"/>
      <c r="KR586" s="1318"/>
      <c r="KS586" s="1318"/>
      <c r="KT586" s="1318"/>
      <c r="KU586" s="1318"/>
      <c r="KV586" s="1318"/>
      <c r="KW586" s="1318"/>
      <c r="KX586" s="1318"/>
      <c r="KY586" s="1318"/>
      <c r="KZ586" s="1318"/>
      <c r="LA586" s="1318"/>
      <c r="LB586" s="1318"/>
      <c r="LC586" s="1318"/>
      <c r="LD586" s="1318"/>
      <c r="LE586" s="1318"/>
      <c r="LF586" s="1318"/>
      <c r="LG586" s="1318"/>
      <c r="LN586" s="255"/>
      <c r="MD586" s="255"/>
    </row>
    <row r="587" spans="1:342" ht="14.65" customHeight="1">
      <c r="A587" s="255" t="s">
        <v>25</v>
      </c>
      <c r="B587" s="255" t="s">
        <v>2258</v>
      </c>
      <c r="H587" s="254"/>
      <c r="L587" s="2300">
        <f>$O$53</f>
        <v>0</v>
      </c>
      <c r="M587" s="2300"/>
      <c r="N587" s="2300"/>
      <c r="O587" s="2300"/>
      <c r="S587" s="1317" t="str">
        <f>B587</f>
        <v>UNIT SUMMARY (Continued)</v>
      </c>
      <c r="T587" s="1317"/>
      <c r="U587" s="1317"/>
      <c r="V587" s="1317"/>
      <c r="AY587" s="253"/>
      <c r="BD587" s="253"/>
      <c r="JW587" s="1318"/>
      <c r="KB587" s="1318"/>
      <c r="KG587" s="1318"/>
      <c r="KL587" s="1318"/>
      <c r="KM587" s="1318"/>
      <c r="KN587" s="1318"/>
      <c r="KO587" s="1318"/>
      <c r="KP587" s="1318"/>
      <c r="KQ587" s="1318"/>
      <c r="KR587" s="1318"/>
      <c r="KS587" s="1318"/>
      <c r="KT587" s="1318"/>
      <c r="KU587" s="1318"/>
      <c r="KV587" s="1318"/>
      <c r="KW587" s="1318"/>
      <c r="KX587" s="1318"/>
      <c r="KY587" s="1318"/>
      <c r="KZ587" s="1318"/>
      <c r="LA587" s="1318"/>
      <c r="LB587" s="1318"/>
      <c r="LC587" s="1318"/>
      <c r="LD587" s="1318"/>
      <c r="LE587" s="1318"/>
      <c r="LF587" s="1318"/>
      <c r="LG587" s="1318"/>
      <c r="LN587" s="255"/>
      <c r="LO587" s="255"/>
    </row>
    <row r="588" spans="1:342" ht="9" customHeight="1">
      <c r="A588" s="255"/>
      <c r="B588" s="255"/>
      <c r="H588" s="254"/>
      <c r="Q588" s="253"/>
      <c r="S588" s="1380" t="str">
        <f>C589</f>
        <v>Building Type:
(for Cost Limit purposes only - see Application Instructions for further detail)</v>
      </c>
      <c r="T588" s="255"/>
      <c r="U588" s="2246"/>
      <c r="AY588" s="253"/>
      <c r="BD588" s="253"/>
      <c r="JW588" s="1318"/>
      <c r="KB588" s="1318"/>
      <c r="KG588" s="1318"/>
      <c r="KL588" s="1318"/>
      <c r="KM588" s="1318"/>
      <c r="KN588" s="1318"/>
      <c r="KO588" s="1318"/>
      <c r="KP588" s="1318"/>
      <c r="KQ588" s="1318"/>
      <c r="KR588" s="1318"/>
      <c r="KS588" s="1318"/>
      <c r="KT588" s="1318"/>
      <c r="KU588" s="1318"/>
      <c r="KV588" s="1318"/>
      <c r="KW588" s="1318"/>
      <c r="KX588" s="1318"/>
      <c r="KY588" s="1318"/>
      <c r="KZ588" s="1318"/>
      <c r="LA588" s="1318"/>
      <c r="LB588" s="1318"/>
      <c r="LC588" s="1318"/>
      <c r="LD588" s="1318"/>
      <c r="LE588" s="1318"/>
      <c r="LF588" s="1318"/>
      <c r="LG588" s="1318"/>
      <c r="LN588" s="255"/>
      <c r="LO588" s="255"/>
    </row>
    <row r="589" spans="1:342" ht="14.25" customHeight="1">
      <c r="C589" s="2273" t="s">
        <v>2261</v>
      </c>
      <c r="D589" s="2273"/>
      <c r="E589" s="1106" t="s">
        <v>1259</v>
      </c>
      <c r="F589" s="2107"/>
      <c r="H589" s="2304"/>
      <c r="I589" s="1438"/>
      <c r="K589" s="2287">
        <f t="shared" ref="K589:O590" si="364">K578+K582+K584</f>
        <v>0</v>
      </c>
      <c r="L589" s="2287">
        <f>L578+L582+L584</f>
        <v>0</v>
      </c>
      <c r="M589" s="2287">
        <f t="shared" si="364"/>
        <v>0</v>
      </c>
      <c r="N589" s="2287">
        <f t="shared" si="364"/>
        <v>0</v>
      </c>
      <c r="O589" s="2287">
        <f t="shared" si="364"/>
        <v>0</v>
      </c>
      <c r="P589" s="2293">
        <f t="shared" ref="P589:P596" si="365">SUM(K589:O589)</f>
        <v>0</v>
      </c>
      <c r="S589" s="2273"/>
      <c r="T589" s="2273"/>
      <c r="U589" s="2273"/>
      <c r="V589" s="2273"/>
      <c r="W589" s="2273"/>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273"/>
      <c r="D590" s="2273"/>
      <c r="E590" s="1106"/>
      <c r="F590" s="2107"/>
      <c r="H590" s="2305" t="s">
        <v>1246</v>
      </c>
      <c r="I590" s="2306"/>
      <c r="K590" s="2292">
        <f t="shared" si="364"/>
        <v>0</v>
      </c>
      <c r="L590" s="2292">
        <f t="shared" si="364"/>
        <v>0</v>
      </c>
      <c r="M590" s="2292">
        <f t="shared" si="364"/>
        <v>0</v>
      </c>
      <c r="N590" s="2292">
        <f t="shared" si="364"/>
        <v>0</v>
      </c>
      <c r="O590" s="2292">
        <f t="shared" si="364"/>
        <v>0</v>
      </c>
      <c r="P590" s="2308">
        <f t="shared" si="365"/>
        <v>0</v>
      </c>
      <c r="S590" s="2273"/>
      <c r="T590" s="2273"/>
      <c r="U590" s="2273"/>
      <c r="V590" s="2273"/>
      <c r="W590" s="2273"/>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273"/>
      <c r="D591" s="2273"/>
      <c r="E591" s="1106" t="s">
        <v>1260</v>
      </c>
      <c r="F591" s="2107"/>
      <c r="H591" s="2075"/>
      <c r="I591" s="2107"/>
      <c r="K591" s="2287">
        <f t="shared" ref="K591:O592" si="366">K580</f>
        <v>0</v>
      </c>
      <c r="L591" s="2287">
        <f t="shared" si="366"/>
        <v>0</v>
      </c>
      <c r="M591" s="2287">
        <f t="shared" si="366"/>
        <v>0</v>
      </c>
      <c r="N591" s="2287">
        <f t="shared" si="366"/>
        <v>0</v>
      </c>
      <c r="O591" s="2287">
        <f t="shared" si="366"/>
        <v>0</v>
      </c>
      <c r="P591" s="2293">
        <f t="shared" si="365"/>
        <v>0</v>
      </c>
      <c r="S591" s="2273"/>
      <c r="T591" s="2273"/>
      <c r="U591" s="2273"/>
      <c r="V591" s="2273"/>
      <c r="W591" s="2273"/>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273"/>
      <c r="D592" s="2273"/>
      <c r="E592" s="1106"/>
      <c r="F592" s="2107"/>
      <c r="H592" s="2305" t="s">
        <v>1246</v>
      </c>
      <c r="I592" s="2306"/>
      <c r="K592" s="2292">
        <f t="shared" si="366"/>
        <v>0</v>
      </c>
      <c r="L592" s="2292">
        <f t="shared" si="366"/>
        <v>0</v>
      </c>
      <c r="M592" s="2292">
        <f t="shared" si="366"/>
        <v>0</v>
      </c>
      <c r="N592" s="2292">
        <f t="shared" si="366"/>
        <v>0</v>
      </c>
      <c r="O592" s="2292">
        <f t="shared" si="366"/>
        <v>0</v>
      </c>
      <c r="P592" s="2308">
        <f t="shared" si="365"/>
        <v>0</v>
      </c>
      <c r="S592" s="2273"/>
      <c r="T592" s="2273"/>
      <c r="U592" s="2273"/>
      <c r="V592" s="2273"/>
      <c r="W592" s="2273"/>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273"/>
      <c r="D593" s="2273"/>
      <c r="E593" s="1106" t="s">
        <v>1261</v>
      </c>
      <c r="F593" s="2107"/>
      <c r="H593" s="2304"/>
      <c r="I593" s="1438"/>
      <c r="K593" s="2287">
        <f t="shared" ref="K593:O596" si="367">K570+K574</f>
        <v>0</v>
      </c>
      <c r="L593" s="2287">
        <f t="shared" si="367"/>
        <v>0</v>
      </c>
      <c r="M593" s="2287">
        <f t="shared" si="367"/>
        <v>0</v>
      </c>
      <c r="N593" s="2287">
        <f t="shared" si="367"/>
        <v>0</v>
      </c>
      <c r="O593" s="2287">
        <f t="shared" si="367"/>
        <v>0</v>
      </c>
      <c r="P593" s="2293">
        <f t="shared" si="365"/>
        <v>0</v>
      </c>
      <c r="S593" s="2273"/>
      <c r="T593" s="2273"/>
      <c r="U593" s="2273"/>
      <c r="V593" s="2273"/>
      <c r="W593" s="2273"/>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273"/>
      <c r="D594" s="2273"/>
      <c r="E594" s="1106"/>
      <c r="F594" s="2107"/>
      <c r="H594" s="2305" t="s">
        <v>1246</v>
      </c>
      <c r="I594" s="2306"/>
      <c r="K594" s="2292">
        <f t="shared" si="367"/>
        <v>0</v>
      </c>
      <c r="L594" s="2292">
        <f t="shared" si="367"/>
        <v>0</v>
      </c>
      <c r="M594" s="2292">
        <f t="shared" si="367"/>
        <v>0</v>
      </c>
      <c r="N594" s="2292">
        <f t="shared" si="367"/>
        <v>0</v>
      </c>
      <c r="O594" s="2292">
        <f t="shared" si="367"/>
        <v>0</v>
      </c>
      <c r="P594" s="2308">
        <f t="shared" si="365"/>
        <v>0</v>
      </c>
      <c r="S594" s="2273"/>
      <c r="T594" s="2273"/>
      <c r="U594" s="2273"/>
      <c r="V594" s="2273"/>
      <c r="W594" s="2273"/>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273"/>
      <c r="D595" s="2273"/>
      <c r="E595" s="1106" t="s">
        <v>1262</v>
      </c>
      <c r="F595" s="2107"/>
      <c r="H595" s="2304"/>
      <c r="I595" s="1438"/>
      <c r="K595" s="2287">
        <f t="shared" si="367"/>
        <v>0</v>
      </c>
      <c r="L595" s="2287">
        <f t="shared" si="367"/>
        <v>41</v>
      </c>
      <c r="M595" s="2287">
        <f t="shared" si="367"/>
        <v>17</v>
      </c>
      <c r="N595" s="2287">
        <f t="shared" si="367"/>
        <v>0</v>
      </c>
      <c r="O595" s="2287">
        <f t="shared" si="367"/>
        <v>0</v>
      </c>
      <c r="P595" s="2293">
        <f t="shared" si="365"/>
        <v>58</v>
      </c>
      <c r="S595" s="2273"/>
      <c r="T595" s="2273"/>
      <c r="U595" s="2273"/>
      <c r="V595" s="2273"/>
      <c r="W595" s="2273"/>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5"/>
      <c r="F596" s="2107"/>
      <c r="H596" s="2305" t="s">
        <v>1246</v>
      </c>
      <c r="I596" s="2306"/>
      <c r="K596" s="2292">
        <f t="shared" si="367"/>
        <v>0</v>
      </c>
      <c r="L596" s="2292">
        <f t="shared" si="367"/>
        <v>0</v>
      </c>
      <c r="M596" s="2292">
        <f t="shared" si="367"/>
        <v>0</v>
      </c>
      <c r="N596" s="2292">
        <f t="shared" si="367"/>
        <v>0</v>
      </c>
      <c r="O596" s="2292">
        <f t="shared" si="367"/>
        <v>0</v>
      </c>
      <c r="P596" s="2308">
        <f t="shared" si="365"/>
        <v>0</v>
      </c>
      <c r="Q596" s="251" t="s">
        <v>2262</v>
      </c>
      <c r="S596" s="2273"/>
      <c r="T596" s="2273"/>
      <c r="U596" s="2273"/>
      <c r="V596" s="2273"/>
      <c r="W596" s="2273"/>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213"/>
      <c r="B597" s="1213"/>
      <c r="D597" s="253"/>
      <c r="E597" s="1106"/>
      <c r="F597" s="253"/>
      <c r="H597" s="256"/>
      <c r="I597" s="256"/>
      <c r="K597" s="2298"/>
      <c r="L597" s="2298"/>
      <c r="M597" s="2298"/>
      <c r="N597" s="2298"/>
      <c r="O597" s="2298"/>
      <c r="P597" s="2298"/>
      <c r="S597" s="272"/>
      <c r="U597" s="2251"/>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318"/>
      <c r="KB597" s="1318"/>
      <c r="KG597" s="1318"/>
      <c r="KL597" s="1318"/>
      <c r="KM597" s="1318"/>
      <c r="KN597" s="1318"/>
      <c r="KO597" s="1318"/>
      <c r="KP597" s="1318"/>
      <c r="KQ597" s="1318"/>
      <c r="KR597" s="1318"/>
      <c r="KS597" s="1318"/>
      <c r="KT597" s="1318"/>
      <c r="KU597" s="1318"/>
      <c r="KV597" s="1318"/>
      <c r="KW597" s="1318"/>
      <c r="KX597" s="1318"/>
      <c r="KY597" s="1318"/>
      <c r="KZ597" s="1318"/>
      <c r="LA597" s="1318"/>
      <c r="LB597" s="1318"/>
      <c r="LC597" s="1318"/>
      <c r="LD597" s="1318"/>
      <c r="LE597" s="1318"/>
      <c r="LF597" s="1318"/>
      <c r="LG597" s="1318"/>
      <c r="LN597" s="255"/>
      <c r="LO597" s="255"/>
    </row>
    <row r="598" spans="1:343" ht="12" customHeight="1">
      <c r="A598" s="255"/>
      <c r="B598" s="255" t="s">
        <v>1264</v>
      </c>
      <c r="C598" s="253"/>
      <c r="D598" s="253"/>
      <c r="E598" s="253"/>
      <c r="F598" s="253"/>
      <c r="H598" s="1438"/>
      <c r="I598" s="1438"/>
      <c r="K598" s="2311"/>
      <c r="L598" s="2311"/>
      <c r="M598" s="2311"/>
      <c r="N598" s="2311"/>
      <c r="O598" s="2311"/>
      <c r="P598" s="2311"/>
      <c r="S598" s="1380" t="str">
        <f>B598</f>
        <v>UNIT SQUARE FOOTAGE</v>
      </c>
      <c r="T598" s="1380"/>
      <c r="U598" s="1380"/>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318"/>
      <c r="KB598" s="1318"/>
      <c r="KG598" s="1318"/>
      <c r="KL598" s="1318"/>
      <c r="KM598" s="1318"/>
      <c r="KN598" s="1318"/>
      <c r="KO598" s="1318"/>
      <c r="KP598" s="1318"/>
      <c r="KQ598" s="1318"/>
      <c r="KR598" s="1318"/>
      <c r="KS598" s="1318"/>
      <c r="KT598" s="1318"/>
      <c r="KU598" s="1318"/>
      <c r="KV598" s="1318"/>
      <c r="KW598" s="1318"/>
      <c r="KX598" s="1318"/>
      <c r="KY598" s="1318"/>
      <c r="KZ598" s="1318"/>
      <c r="LA598" s="1318"/>
      <c r="LB598" s="1318"/>
      <c r="LC598" s="1318"/>
      <c r="LD598" s="1318"/>
      <c r="LE598" s="1318"/>
      <c r="LF598" s="1318"/>
      <c r="LG598" s="1318"/>
      <c r="LN598" s="255"/>
      <c r="LO598" s="255"/>
    </row>
    <row r="599" spans="1:343" ht="14.25" customHeight="1">
      <c r="C599" s="253" t="s">
        <v>1265</v>
      </c>
      <c r="D599" s="253"/>
      <c r="E599" s="253"/>
      <c r="F599" s="253"/>
      <c r="H599" s="254" t="s">
        <v>1214</v>
      </c>
      <c r="I599" s="612"/>
      <c r="K599" s="2299">
        <f>EI487</f>
        <v>0</v>
      </c>
      <c r="L599" s="2299">
        <f>EJ487</f>
        <v>0</v>
      </c>
      <c r="M599" s="2299">
        <f>EK487</f>
        <v>0</v>
      </c>
      <c r="N599" s="2299">
        <f>EL487</f>
        <v>0</v>
      </c>
      <c r="O599" s="2299">
        <f>EM487</f>
        <v>0</v>
      </c>
      <c r="P599" s="2312">
        <f t="shared" ref="P599:P605" si="368">SUM(K599:O599)</f>
        <v>0</v>
      </c>
      <c r="Q599" s="2297" t="str">
        <f>'Part V-Revenues &amp; Expenses'!Q161</f>
        <v/>
      </c>
      <c r="S599" s="2273"/>
      <c r="T599" s="2273"/>
      <c r="U599" s="2273"/>
      <c r="V599" s="2273"/>
      <c r="W599" s="2273"/>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318"/>
      <c r="KB599" s="1318"/>
      <c r="KG599" s="1318"/>
      <c r="KL599" s="1318"/>
      <c r="KM599" s="1318"/>
      <c r="KN599" s="1318"/>
      <c r="KO599" s="1318"/>
      <c r="KP599" s="1318"/>
      <c r="KQ599" s="1318"/>
      <c r="KR599" s="1318"/>
      <c r="KS599" s="1318"/>
      <c r="KT599" s="1318"/>
      <c r="KU599" s="1318"/>
      <c r="KV599" s="1318"/>
      <c r="KW599" s="1318"/>
      <c r="KX599" s="1318"/>
      <c r="KY599" s="1318"/>
      <c r="KZ599" s="1318"/>
      <c r="LA599" s="1318"/>
      <c r="LB599" s="1318"/>
      <c r="LC599" s="1318"/>
      <c r="LD599" s="1318"/>
      <c r="LE599" s="1318"/>
      <c r="LF599" s="1318"/>
      <c r="LG599" s="1318"/>
      <c r="LN599" s="255"/>
      <c r="LO599" s="255"/>
    </row>
    <row r="600" spans="1:343" ht="14.25" customHeight="1">
      <c r="C600" s="253"/>
      <c r="D600" s="253"/>
      <c r="E600" s="253"/>
      <c r="F600" s="253"/>
      <c r="H600" s="2304" t="s">
        <v>1216</v>
      </c>
      <c r="I600" s="1438"/>
      <c r="K600" s="2312">
        <f>EN487</f>
        <v>0</v>
      </c>
      <c r="L600" s="2312">
        <f>EO487</f>
        <v>0</v>
      </c>
      <c r="M600" s="2312">
        <f>EP487</f>
        <v>0</v>
      </c>
      <c r="N600" s="2312">
        <f>EQ487</f>
        <v>0</v>
      </c>
      <c r="O600" s="2312">
        <f>ER487</f>
        <v>0</v>
      </c>
      <c r="P600" s="2312">
        <f t="shared" si="368"/>
        <v>0</v>
      </c>
      <c r="Q600" s="2297" t="str">
        <f>'Part V-Revenues &amp; Expenses'!Q162</f>
        <v/>
      </c>
      <c r="S600" s="2273"/>
      <c r="T600" s="2273"/>
      <c r="U600" s="2273"/>
      <c r="V600" s="2273"/>
      <c r="W600" s="2273"/>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318"/>
      <c r="KB600" s="1318"/>
      <c r="KG600" s="1318"/>
      <c r="KL600" s="1318"/>
      <c r="KM600" s="1318"/>
      <c r="KN600" s="1318"/>
      <c r="KO600" s="1318"/>
      <c r="KP600" s="1318"/>
      <c r="KQ600" s="1318"/>
      <c r="KR600" s="1318"/>
      <c r="KS600" s="1318"/>
      <c r="KT600" s="1318"/>
      <c r="KU600" s="1318"/>
      <c r="KV600" s="1318"/>
      <c r="KW600" s="1318"/>
      <c r="KX600" s="1318"/>
      <c r="KY600" s="1318"/>
      <c r="KZ600" s="1318"/>
      <c r="LA600" s="1318"/>
      <c r="LB600" s="1318"/>
      <c r="LC600" s="1318"/>
      <c r="LD600" s="1318"/>
      <c r="LE600" s="1318"/>
      <c r="LF600" s="1318"/>
      <c r="LG600" s="1318"/>
      <c r="LN600" s="255"/>
      <c r="LO600" s="255"/>
    </row>
    <row r="601" spans="1:343" ht="14.25" customHeight="1">
      <c r="C601" s="253"/>
      <c r="D601" s="253"/>
      <c r="E601" s="253"/>
      <c r="F601" s="253"/>
      <c r="H601" s="2304" t="s">
        <v>1217</v>
      </c>
      <c r="I601" s="1438"/>
      <c r="K601" s="2312">
        <f>ES487</f>
        <v>0</v>
      </c>
      <c r="L601" s="2312">
        <f>ET487</f>
        <v>9142</v>
      </c>
      <c r="M601" s="2312">
        <f>EU487</f>
        <v>14445</v>
      </c>
      <c r="N601" s="2312">
        <f>EV487</f>
        <v>0</v>
      </c>
      <c r="O601" s="2312">
        <f>EW487</f>
        <v>0</v>
      </c>
      <c r="P601" s="2312">
        <f t="shared" si="368"/>
        <v>23587</v>
      </c>
      <c r="Q601" s="2297">
        <f>'Part V-Revenues &amp; Expenses'!Q163</f>
        <v>813.34482758620686</v>
      </c>
      <c r="S601" s="2273"/>
      <c r="T601" s="2273"/>
      <c r="U601" s="2273"/>
      <c r="V601" s="2273"/>
      <c r="W601" s="2273"/>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318"/>
      <c r="KB601" s="1318"/>
      <c r="KG601" s="1318"/>
      <c r="KL601" s="1318"/>
      <c r="KM601" s="1318"/>
      <c r="KN601" s="1318"/>
      <c r="KO601" s="1318"/>
      <c r="KP601" s="1318"/>
      <c r="KQ601" s="1318"/>
      <c r="KR601" s="1318"/>
      <c r="KS601" s="1318"/>
      <c r="KT601" s="1318"/>
      <c r="KU601" s="1318"/>
      <c r="KV601" s="1318"/>
      <c r="KW601" s="1318"/>
      <c r="KX601" s="1318"/>
      <c r="KY601" s="1318"/>
      <c r="KZ601" s="1318"/>
      <c r="LA601" s="1318"/>
      <c r="LB601" s="1318"/>
      <c r="LC601" s="1318"/>
      <c r="LD601" s="1318"/>
      <c r="LE601" s="1318"/>
      <c r="LF601" s="1318"/>
      <c r="LG601" s="1318"/>
      <c r="LN601" s="255"/>
      <c r="LO601" s="255"/>
    </row>
    <row r="602" spans="1:343" ht="14.25" customHeight="1">
      <c r="C602" s="253"/>
      <c r="D602" s="253"/>
      <c r="E602" s="253"/>
      <c r="F602" s="253"/>
      <c r="H602" s="2304" t="s">
        <v>1218</v>
      </c>
      <c r="I602" s="1438"/>
      <c r="K602" s="2312">
        <f>EX487</f>
        <v>0</v>
      </c>
      <c r="L602" s="2312">
        <f>EY487</f>
        <v>11101</v>
      </c>
      <c r="M602" s="2312">
        <f>EZ487</f>
        <v>0</v>
      </c>
      <c r="N602" s="2312">
        <f>FA487</f>
        <v>0</v>
      </c>
      <c r="O602" s="2312">
        <f>FB487</f>
        <v>0</v>
      </c>
      <c r="P602" s="2312">
        <f t="shared" si="368"/>
        <v>11101</v>
      </c>
      <c r="Q602" s="2297">
        <f>'Part V-Revenues &amp; Expenses'!Q164</f>
        <v>653</v>
      </c>
      <c r="S602" s="2273"/>
      <c r="T602" s="2273"/>
      <c r="U602" s="2273"/>
      <c r="V602" s="2273"/>
      <c r="W602" s="2273"/>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318"/>
      <c r="KB602" s="1318"/>
      <c r="KG602" s="1318"/>
      <c r="KL602" s="1318"/>
      <c r="KM602" s="1318"/>
      <c r="KN602" s="1318"/>
      <c r="KO602" s="1318"/>
      <c r="KP602" s="1318"/>
      <c r="KQ602" s="1318"/>
      <c r="KR602" s="1318"/>
      <c r="KS602" s="1318"/>
      <c r="KT602" s="1318"/>
      <c r="KU602" s="1318"/>
      <c r="KV602" s="1318"/>
      <c r="KW602" s="1318"/>
      <c r="KX602" s="1318"/>
      <c r="KY602" s="1318"/>
      <c r="KZ602" s="1318"/>
      <c r="LA602" s="1318"/>
      <c r="LB602" s="1318"/>
      <c r="LC602" s="1318"/>
      <c r="LD602" s="1318"/>
      <c r="LE602" s="1318"/>
      <c r="LF602" s="1318"/>
      <c r="LG602" s="1318"/>
      <c r="LN602" s="255"/>
      <c r="LO602" s="255"/>
    </row>
    <row r="603" spans="1:343" ht="14.25" customHeight="1">
      <c r="C603" s="253"/>
      <c r="D603" s="253"/>
      <c r="E603" s="253"/>
      <c r="F603" s="253"/>
      <c r="H603" s="2304" t="s">
        <v>1219</v>
      </c>
      <c r="I603" s="1438"/>
      <c r="K603" s="2312">
        <f>FC487</f>
        <v>0</v>
      </c>
      <c r="L603" s="2312">
        <f>FD487</f>
        <v>0</v>
      </c>
      <c r="M603" s="2312">
        <f>FE487</f>
        <v>0</v>
      </c>
      <c r="N603" s="2312">
        <f>FF487</f>
        <v>0</v>
      </c>
      <c r="O603" s="2312">
        <f>FG487</f>
        <v>0</v>
      </c>
      <c r="P603" s="2312">
        <f t="shared" si="368"/>
        <v>0</v>
      </c>
      <c r="Q603" s="2297" t="str">
        <f>'Part V-Revenues &amp; Expenses'!Q165</f>
        <v/>
      </c>
      <c r="S603" s="2273"/>
      <c r="T603" s="2273"/>
      <c r="U603" s="2273"/>
      <c r="V603" s="2273"/>
      <c r="W603" s="2273"/>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318"/>
      <c r="KB603" s="1318"/>
      <c r="KG603" s="1318"/>
      <c r="KL603" s="1318"/>
      <c r="KM603" s="1318"/>
      <c r="KN603" s="1318"/>
      <c r="KO603" s="1318"/>
      <c r="KP603" s="1318"/>
      <c r="KQ603" s="1318"/>
      <c r="KR603" s="1318"/>
      <c r="KS603" s="1318"/>
      <c r="KT603" s="1318"/>
      <c r="KU603" s="1318"/>
      <c r="KV603" s="1318"/>
      <c r="KW603" s="1318"/>
      <c r="KX603" s="1318"/>
      <c r="KY603" s="1318"/>
      <c r="KZ603" s="1318"/>
      <c r="LA603" s="1318"/>
      <c r="LB603" s="1318"/>
      <c r="LC603" s="1318"/>
      <c r="LD603" s="1318"/>
      <c r="LE603" s="1318"/>
      <c r="LF603" s="1318"/>
      <c r="LG603" s="1318"/>
      <c r="LN603" s="255"/>
      <c r="LO603" s="255"/>
    </row>
    <row r="604" spans="1:343" ht="14.25" customHeight="1">
      <c r="C604" s="253"/>
      <c r="D604" s="253"/>
      <c r="E604" s="253"/>
      <c r="F604" s="253"/>
      <c r="H604" s="2304" t="s">
        <v>1220</v>
      </c>
      <c r="I604" s="1438"/>
      <c r="K604" s="2312">
        <f>FH487</f>
        <v>0</v>
      </c>
      <c r="L604" s="2312">
        <f>FI487</f>
        <v>3918</v>
      </c>
      <c r="M604" s="2312">
        <f>FJ487</f>
        <v>0</v>
      </c>
      <c r="N604" s="2312">
        <f>FK487</f>
        <v>0</v>
      </c>
      <c r="O604" s="2312">
        <f>FL487</f>
        <v>0</v>
      </c>
      <c r="P604" s="2312">
        <f t="shared" si="368"/>
        <v>3918</v>
      </c>
      <c r="Q604" s="2297">
        <f>'Part V-Revenues &amp; Expenses'!Q166</f>
        <v>653</v>
      </c>
      <c r="S604" s="2273"/>
      <c r="T604" s="2273"/>
      <c r="U604" s="2273"/>
      <c r="V604" s="2273"/>
      <c r="W604" s="2273"/>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318"/>
      <c r="KB604" s="1318"/>
      <c r="KG604" s="1318"/>
      <c r="KL604" s="1318"/>
      <c r="KM604" s="1318"/>
      <c r="KN604" s="1318"/>
      <c r="KO604" s="1318"/>
      <c r="KP604" s="1318"/>
      <c r="KQ604" s="1318"/>
      <c r="KR604" s="1318"/>
      <c r="KS604" s="1318"/>
      <c r="KT604" s="1318"/>
      <c r="KU604" s="1318"/>
      <c r="KV604" s="1318"/>
      <c r="KW604" s="1318"/>
      <c r="KX604" s="1318"/>
      <c r="KY604" s="1318"/>
      <c r="KZ604" s="1318"/>
      <c r="LA604" s="1318"/>
      <c r="LB604" s="1318"/>
      <c r="LC604" s="1318"/>
      <c r="LD604" s="1318"/>
      <c r="LE604" s="1318"/>
      <c r="LF604" s="1318"/>
      <c r="LG604" s="1318"/>
      <c r="LN604" s="255"/>
      <c r="LO604" s="255"/>
    </row>
    <row r="605" spans="1:343" ht="14.25" customHeight="1">
      <c r="C605" s="1317"/>
      <c r="D605" s="253"/>
      <c r="E605" s="253"/>
      <c r="F605" s="253"/>
      <c r="H605" s="254" t="s">
        <v>1221</v>
      </c>
      <c r="I605" s="612"/>
      <c r="K605" s="2299">
        <f>FM487</f>
        <v>0</v>
      </c>
      <c r="L605" s="2299">
        <f>FN487</f>
        <v>0</v>
      </c>
      <c r="M605" s="2299">
        <f>FO487</f>
        <v>0</v>
      </c>
      <c r="N605" s="2299">
        <f>FP487</f>
        <v>0</v>
      </c>
      <c r="O605" s="2299">
        <f>FQ487</f>
        <v>0</v>
      </c>
      <c r="P605" s="2312">
        <f t="shared" si="368"/>
        <v>0</v>
      </c>
      <c r="Q605" s="2297" t="str">
        <f>'Part V-Revenues &amp; Expenses'!Q167</f>
        <v/>
      </c>
      <c r="S605" s="2273"/>
      <c r="T605" s="2273"/>
      <c r="U605" s="2273"/>
      <c r="V605" s="2273"/>
      <c r="W605" s="2273"/>
      <c r="X605" s="1317"/>
      <c r="AA605" s="253"/>
      <c r="AB605" s="256"/>
      <c r="AC605" s="1317"/>
      <c r="AF605" s="253"/>
      <c r="AG605" s="256"/>
      <c r="AH605" s="1317"/>
      <c r="AK605" s="253"/>
      <c r="AL605" s="256"/>
      <c r="AM605" s="1317"/>
      <c r="AP605" s="253"/>
      <c r="AQ605" s="256"/>
      <c r="AR605" s="257"/>
      <c r="AS605" s="257"/>
      <c r="AT605" s="257"/>
      <c r="AU605" s="257"/>
      <c r="AV605" s="257"/>
      <c r="AW605" s="257"/>
      <c r="AX605" s="253"/>
      <c r="AY605" s="253"/>
      <c r="BB605" s="257"/>
      <c r="BC605" s="253"/>
      <c r="BD605" s="253"/>
      <c r="JW605" s="1318"/>
      <c r="KB605" s="1318"/>
      <c r="KG605" s="1318"/>
      <c r="KL605" s="1318"/>
      <c r="KM605" s="1318"/>
      <c r="KN605" s="1318"/>
      <c r="KO605" s="1318"/>
      <c r="KP605" s="1318"/>
      <c r="KQ605" s="1318"/>
      <c r="KR605" s="1318"/>
      <c r="KS605" s="1318"/>
      <c r="KT605" s="1318"/>
      <c r="KU605" s="1318"/>
      <c r="KV605" s="1318"/>
      <c r="KW605" s="1318"/>
      <c r="KX605" s="1318"/>
      <c r="KY605" s="1318"/>
      <c r="KZ605" s="1318"/>
      <c r="LA605" s="1318"/>
      <c r="LB605" s="1318"/>
      <c r="LC605" s="1318"/>
      <c r="LD605" s="1318"/>
      <c r="LE605" s="1318"/>
      <c r="LF605" s="1318"/>
      <c r="LG605" s="1318"/>
      <c r="LN605" s="255"/>
      <c r="LO605" s="255"/>
    </row>
    <row r="606" spans="1:343" ht="14.25" customHeight="1">
      <c r="C606" s="1317"/>
      <c r="D606" s="253"/>
      <c r="E606" s="253"/>
      <c r="F606" s="253"/>
      <c r="H606" s="2305" t="s">
        <v>1266</v>
      </c>
      <c r="I606" s="2306"/>
      <c r="J606" s="2289"/>
      <c r="K606" s="2313">
        <f>SUM(K599:K605)</f>
        <v>0</v>
      </c>
      <c r="L606" s="2313">
        <f>SUM(L599:L605)</f>
        <v>24161</v>
      </c>
      <c r="M606" s="2313">
        <f>SUM(M599:M605)</f>
        <v>14445</v>
      </c>
      <c r="N606" s="2313">
        <f>SUM(N599:N605)</f>
        <v>0</v>
      </c>
      <c r="O606" s="2313">
        <f>SUM(O599:O605)</f>
        <v>0</v>
      </c>
      <c r="P606" s="2313">
        <f>SUM(K606:O606)</f>
        <v>38606</v>
      </c>
      <c r="S606" s="2273"/>
      <c r="T606" s="2273"/>
      <c r="U606" s="2273"/>
      <c r="V606" s="2273"/>
      <c r="W606" s="2273"/>
      <c r="X606" s="1317"/>
      <c r="AA606" s="253"/>
      <c r="AB606" s="256"/>
      <c r="AC606" s="1317"/>
      <c r="AF606" s="253"/>
      <c r="AG606" s="256"/>
      <c r="AH606" s="1317"/>
      <c r="AK606" s="253"/>
      <c r="AL606" s="256"/>
      <c r="AM606" s="1317"/>
      <c r="AP606" s="253"/>
      <c r="AQ606" s="256"/>
      <c r="AR606" s="257"/>
      <c r="AS606" s="257"/>
      <c r="AT606" s="257"/>
      <c r="AU606" s="257"/>
      <c r="AV606" s="257"/>
      <c r="AW606" s="257"/>
      <c r="AX606" s="253"/>
      <c r="AY606" s="253"/>
      <c r="BB606" s="257"/>
      <c r="BC606" s="253"/>
      <c r="BD606" s="253"/>
      <c r="JW606" s="1318"/>
      <c r="KB606" s="1318"/>
      <c r="KG606" s="1318"/>
      <c r="KL606" s="1318"/>
      <c r="KM606" s="1318"/>
      <c r="KN606" s="1318"/>
      <c r="KO606" s="1318"/>
      <c r="KP606" s="1318"/>
      <c r="KQ606" s="1318"/>
      <c r="KR606" s="1318"/>
      <c r="KS606" s="1318"/>
      <c r="KT606" s="1318"/>
      <c r="KU606" s="1318"/>
      <c r="KV606" s="1318"/>
      <c r="KW606" s="1318"/>
      <c r="KX606" s="1318"/>
      <c r="KY606" s="1318"/>
      <c r="KZ606" s="1318"/>
      <c r="LA606" s="1318"/>
      <c r="LB606" s="1318"/>
      <c r="LC606" s="1318"/>
      <c r="LD606" s="1318"/>
      <c r="LE606" s="1318"/>
      <c r="LF606" s="1318"/>
      <c r="LG606" s="1318"/>
      <c r="LN606" s="255"/>
      <c r="LO606" s="255"/>
    </row>
    <row r="607" spans="1:343" ht="14.25" customHeight="1">
      <c r="C607" s="253" t="s">
        <v>1150</v>
      </c>
      <c r="D607" s="253"/>
      <c r="E607" s="253"/>
      <c r="F607" s="253"/>
      <c r="G607" s="253"/>
      <c r="K607" s="2312">
        <f>FR487</f>
        <v>0</v>
      </c>
      <c r="L607" s="2312">
        <f>FS487</f>
        <v>2612</v>
      </c>
      <c r="M607" s="2312">
        <f>FT487</f>
        <v>1926</v>
      </c>
      <c r="N607" s="2312">
        <f>FU487</f>
        <v>0</v>
      </c>
      <c r="O607" s="2312">
        <f>FV487</f>
        <v>0</v>
      </c>
      <c r="P607" s="2312">
        <f>SUM(K607:O607)</f>
        <v>4538</v>
      </c>
      <c r="Q607" s="2297">
        <f>'Part V-Revenues &amp; Expenses'!Q169</f>
        <v>756.33333333333337</v>
      </c>
      <c r="S607" s="2273"/>
      <c r="T607" s="2273"/>
      <c r="U607" s="2273"/>
      <c r="V607" s="2273"/>
      <c r="W607" s="2273"/>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318"/>
      <c r="KB607" s="1318"/>
      <c r="KG607" s="1318"/>
      <c r="KL607" s="1318"/>
      <c r="KM607" s="1318"/>
      <c r="KN607" s="1318"/>
      <c r="KO607" s="1318"/>
      <c r="KP607" s="1318"/>
      <c r="KQ607" s="1318"/>
      <c r="KR607" s="1318"/>
      <c r="KS607" s="1318"/>
      <c r="KT607" s="1318"/>
      <c r="KU607" s="1318"/>
      <c r="KV607" s="1318"/>
      <c r="KW607" s="1318"/>
      <c r="KX607" s="1318"/>
      <c r="KY607" s="1318"/>
      <c r="KZ607" s="1318"/>
      <c r="LA607" s="1318"/>
      <c r="LB607" s="1318"/>
      <c r="LC607" s="1318"/>
      <c r="LD607" s="1318"/>
      <c r="LE607" s="1318"/>
      <c r="LF607" s="1318"/>
      <c r="LG607" s="1318"/>
      <c r="LN607" s="255"/>
      <c r="LO607" s="255"/>
    </row>
    <row r="608" spans="1:343" ht="14.25" customHeight="1">
      <c r="C608" s="2314" t="s">
        <v>1223</v>
      </c>
      <c r="D608" s="2288"/>
      <c r="E608" s="2288"/>
      <c r="F608" s="2288"/>
      <c r="G608" s="2288"/>
      <c r="H608" s="2289"/>
      <c r="I608" s="2289"/>
      <c r="J608" s="2289"/>
      <c r="K608" s="2315">
        <f>SUM(K606:K607)</f>
        <v>0</v>
      </c>
      <c r="L608" s="2315">
        <f>SUM(L606:L607)</f>
        <v>26773</v>
      </c>
      <c r="M608" s="2315">
        <f>SUM(M606:M607)</f>
        <v>16371</v>
      </c>
      <c r="N608" s="2315">
        <f>SUM(N606:N607)</f>
        <v>0</v>
      </c>
      <c r="O608" s="2315">
        <f>SUM(O606:O607)</f>
        <v>0</v>
      </c>
      <c r="P608" s="2315">
        <f>SUM(K608:O608)</f>
        <v>43144</v>
      </c>
      <c r="S608" s="2273"/>
      <c r="T608" s="2273"/>
      <c r="U608" s="2273"/>
      <c r="V608" s="2273"/>
      <c r="W608" s="2273"/>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318"/>
      <c r="KB608" s="1318"/>
      <c r="KG608" s="1318"/>
      <c r="KL608" s="1318"/>
      <c r="KM608" s="1318"/>
      <c r="KN608" s="1318"/>
      <c r="KO608" s="1318"/>
      <c r="KP608" s="1318"/>
      <c r="KQ608" s="1318"/>
      <c r="KR608" s="1318"/>
      <c r="KS608" s="1318"/>
      <c r="KT608" s="1318"/>
      <c r="KU608" s="1318"/>
      <c r="KV608" s="1318"/>
      <c r="KW608" s="1318"/>
      <c r="KX608" s="1318"/>
      <c r="KY608" s="1318"/>
      <c r="KZ608" s="1318"/>
      <c r="LA608" s="1318"/>
      <c r="LB608" s="1318"/>
      <c r="LC608" s="1318"/>
      <c r="LD608" s="1318"/>
      <c r="LE608" s="1318"/>
      <c r="LF608" s="1318"/>
      <c r="LG608" s="1318"/>
      <c r="LN608" s="255"/>
      <c r="LO608" s="255"/>
      <c r="ME608" s="255"/>
    </row>
    <row r="609" spans="1:380" ht="14.25" customHeight="1">
      <c r="C609" s="253" t="s">
        <v>1224</v>
      </c>
      <c r="D609" s="253"/>
      <c r="E609" s="253"/>
      <c r="F609" s="253"/>
      <c r="G609" s="253"/>
      <c r="K609" s="2312">
        <f>GB487</f>
        <v>0</v>
      </c>
      <c r="L609" s="2312">
        <f>GC487</f>
        <v>0</v>
      </c>
      <c r="M609" s="2312">
        <f>GD487</f>
        <v>0</v>
      </c>
      <c r="N609" s="2312">
        <f>GE487</f>
        <v>0</v>
      </c>
      <c r="O609" s="2312">
        <f>GF487</f>
        <v>0</v>
      </c>
      <c r="P609" s="2312">
        <f>SUM(K609:O609)</f>
        <v>0</v>
      </c>
      <c r="Q609" s="2297" t="str">
        <f>'Part V-Revenues &amp; Expenses'!Q171</f>
        <v/>
      </c>
      <c r="S609" s="2273"/>
      <c r="T609" s="2273"/>
      <c r="U609" s="2273"/>
      <c r="V609" s="2273"/>
      <c r="W609" s="2273"/>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318"/>
      <c r="KB609" s="1318"/>
      <c r="KG609" s="1318"/>
      <c r="KL609" s="1318"/>
      <c r="KM609" s="1318"/>
      <c r="KN609" s="1318"/>
      <c r="KO609" s="1318"/>
      <c r="KP609" s="1318"/>
      <c r="KQ609" s="1318"/>
      <c r="KR609" s="1318"/>
      <c r="KS609" s="1318"/>
      <c r="KT609" s="1318"/>
      <c r="KU609" s="1318"/>
      <c r="KV609" s="1318"/>
      <c r="KW609" s="1318"/>
      <c r="KX609" s="1318"/>
      <c r="KY609" s="1318"/>
      <c r="KZ609" s="1318"/>
      <c r="LA609" s="1318"/>
      <c r="LB609" s="1318"/>
      <c r="LC609" s="1318"/>
      <c r="LD609" s="1318"/>
      <c r="LE609" s="1318"/>
      <c r="LF609" s="1318"/>
      <c r="LG609" s="1318"/>
      <c r="LN609" s="255"/>
      <c r="LO609" s="255"/>
      <c r="ME609" s="255"/>
    </row>
    <row r="610" spans="1:380" ht="14.25" customHeight="1">
      <c r="C610" s="1317" t="s">
        <v>299</v>
      </c>
      <c r="D610" s="253"/>
      <c r="E610" s="253"/>
      <c r="F610" s="253"/>
      <c r="G610" s="253"/>
      <c r="K610" s="2316">
        <f>SUM(K608:K609)</f>
        <v>0</v>
      </c>
      <c r="L610" s="2316">
        <f>SUM(L608:L609)</f>
        <v>26773</v>
      </c>
      <c r="M610" s="2316">
        <f>SUM(M608:M609)</f>
        <v>16371</v>
      </c>
      <c r="N610" s="2316">
        <f>SUM(N608:N609)</f>
        <v>0</v>
      </c>
      <c r="O610" s="2316">
        <f>SUM(O608:O609)</f>
        <v>0</v>
      </c>
      <c r="P610" s="2316">
        <f>SUM(K610:O610)</f>
        <v>43144</v>
      </c>
      <c r="S610" s="2273"/>
      <c r="T610" s="2273"/>
      <c r="U610" s="2273"/>
      <c r="V610" s="2273"/>
      <c r="W610" s="2273"/>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318"/>
      <c r="KB610" s="1318"/>
      <c r="KG610" s="1318"/>
      <c r="KL610" s="1318"/>
      <c r="KM610" s="1318"/>
      <c r="KN610" s="1318"/>
      <c r="KO610" s="1318"/>
      <c r="KP610" s="1318"/>
      <c r="KQ610" s="1318"/>
      <c r="KR610" s="1318"/>
      <c r="KS610" s="1318"/>
      <c r="KT610" s="1318"/>
      <c r="KU610" s="1318"/>
      <c r="KV610" s="1318"/>
      <c r="KW610" s="1318"/>
      <c r="KX610" s="1318"/>
      <c r="KY610" s="1318"/>
      <c r="KZ610" s="1318"/>
      <c r="LA610" s="1318"/>
      <c r="LB610" s="1318"/>
      <c r="LC610" s="1318"/>
      <c r="LD610" s="1318"/>
      <c r="LE610" s="1318"/>
      <c r="LF610" s="1318"/>
      <c r="LG610" s="1318"/>
      <c r="LN610" s="255"/>
      <c r="LO610" s="255"/>
      <c r="ME610" s="255"/>
    </row>
    <row r="611" spans="1:380" ht="14.1" customHeight="1">
      <c r="JW611" s="1318"/>
      <c r="KB611" s="1318"/>
      <c r="KG611" s="1318"/>
      <c r="KL611" s="1318"/>
      <c r="KM611" s="1318"/>
      <c r="KN611" s="1318"/>
      <c r="KO611" s="1318"/>
      <c r="KP611" s="1318"/>
      <c r="KQ611" s="1318"/>
      <c r="KR611" s="1318"/>
      <c r="KS611" s="1318"/>
      <c r="KT611" s="1318"/>
      <c r="KU611" s="1318"/>
      <c r="KV611" s="1318"/>
      <c r="KW611" s="1318"/>
      <c r="KX611" s="1318"/>
      <c r="KY611" s="1318"/>
      <c r="KZ611" s="1318"/>
      <c r="LA611" s="1318"/>
      <c r="LB611" s="1318"/>
      <c r="LC611" s="1318"/>
      <c r="LD611" s="1318"/>
      <c r="LE611" s="1318"/>
      <c r="LF611" s="1318"/>
      <c r="LG611" s="1318"/>
      <c r="LN611" s="255"/>
      <c r="MD611" s="255"/>
      <c r="ME611" s="255"/>
    </row>
    <row r="612" spans="1:380" s="253" customFormat="1" ht="14.1" customHeight="1">
      <c r="JW612" s="1454"/>
      <c r="KB612" s="1454"/>
      <c r="KG612" s="1454"/>
      <c r="KL612" s="1454"/>
      <c r="KM612" s="1454"/>
      <c r="KN612" s="1454"/>
      <c r="KO612" s="1454"/>
      <c r="KP612" s="1454"/>
      <c r="KQ612" s="1454"/>
      <c r="KR612" s="1454"/>
      <c r="KS612" s="1454"/>
      <c r="KT612" s="1454"/>
      <c r="KU612" s="1454"/>
      <c r="KV612" s="1454"/>
      <c r="KW612" s="1454"/>
      <c r="KX612" s="1454"/>
      <c r="KY612" s="1454"/>
      <c r="KZ612" s="1454"/>
      <c r="LA612" s="1454"/>
      <c r="LB612" s="1454"/>
      <c r="LC612" s="1454"/>
      <c r="LD612" s="1454"/>
      <c r="LE612" s="1454"/>
      <c r="LF612" s="1454"/>
      <c r="LG612" s="1454"/>
      <c r="LN612" s="1317"/>
      <c r="MD612" s="1317"/>
      <c r="ME612" s="1317"/>
      <c r="NP612" s="251"/>
    </row>
    <row r="613" spans="1:380" s="253" customFormat="1" ht="14.25" customHeight="1">
      <c r="C613" s="253" t="s">
        <v>2263</v>
      </c>
      <c r="K613" s="2317" t="str">
        <f>'Part V-Revenues &amp; Expenses'!K175</f>
        <v/>
      </c>
      <c r="L613" s="2317">
        <f>'Part V-Revenues &amp; Expenses'!L175</f>
        <v>653</v>
      </c>
      <c r="M613" s="2317">
        <f>'Part V-Revenues &amp; Expenses'!M175</f>
        <v>963</v>
      </c>
      <c r="N613" s="2317" t="str">
        <f>'Part V-Revenues &amp; Expenses'!N175</f>
        <v/>
      </c>
      <c r="O613" s="2317" t="str">
        <f>'Part V-Revenues &amp; Expenses'!O175</f>
        <v/>
      </c>
      <c r="P613" s="2317">
        <f>'Part V-Revenues &amp; Expenses'!P175</f>
        <v>0</v>
      </c>
      <c r="JW613" s="1454"/>
      <c r="KB613" s="1454"/>
      <c r="KG613" s="1454"/>
      <c r="KL613" s="1454"/>
      <c r="KM613" s="1454"/>
      <c r="KN613" s="1454"/>
      <c r="KO613" s="1454"/>
      <c r="KP613" s="1454"/>
      <c r="KQ613" s="1454"/>
      <c r="KR613" s="1454"/>
      <c r="KS613" s="1454"/>
      <c r="KT613" s="1454"/>
      <c r="KU613" s="1454"/>
      <c r="KV613" s="1454"/>
      <c r="KW613" s="1454"/>
      <c r="KX613" s="1454"/>
      <c r="KY613" s="1454"/>
      <c r="KZ613" s="1454"/>
      <c r="LA613" s="1454"/>
      <c r="LB613" s="1454"/>
      <c r="LC613" s="1454"/>
      <c r="LD613" s="1454"/>
      <c r="LE613" s="1454"/>
      <c r="LF613" s="1454"/>
      <c r="LG613" s="1454"/>
      <c r="LN613" s="1317"/>
      <c r="MD613" s="1317"/>
      <c r="ME613" s="1317"/>
      <c r="NP613" s="251"/>
    </row>
    <row r="614" spans="1:380" s="253" customFormat="1" ht="14.1" customHeight="1">
      <c r="JW614" s="1454"/>
      <c r="KB614" s="1454"/>
      <c r="KG614" s="1454"/>
      <c r="KL614" s="1454"/>
      <c r="KM614" s="1454"/>
      <c r="KN614" s="1454"/>
      <c r="KO614" s="1454"/>
      <c r="KP614" s="1454"/>
      <c r="KQ614" s="1454"/>
      <c r="KR614" s="1454"/>
      <c r="KS614" s="1454"/>
      <c r="KT614" s="1454"/>
      <c r="KU614" s="1454"/>
      <c r="KV614" s="1454"/>
      <c r="KW614" s="1454"/>
      <c r="KX614" s="1454"/>
      <c r="KY614" s="1454"/>
      <c r="KZ614" s="1454"/>
      <c r="LA614" s="1454"/>
      <c r="LB614" s="1454"/>
      <c r="LC614" s="1454"/>
      <c r="LD614" s="1454"/>
      <c r="LE614" s="1454"/>
      <c r="LF614" s="1454"/>
      <c r="LG614" s="1454"/>
      <c r="LN614" s="1317"/>
      <c r="MD614" s="1317"/>
      <c r="ME614" s="1317"/>
      <c r="NP614" s="251"/>
    </row>
    <row r="615" spans="1:380" s="253" customFormat="1" ht="14.1" customHeight="1">
      <c r="A615" s="255" t="s">
        <v>32</v>
      </c>
      <c r="B615" s="255" t="s">
        <v>1268</v>
      </c>
      <c r="JW615" s="1454"/>
      <c r="KB615" s="1454"/>
      <c r="KG615" s="1454"/>
      <c r="KL615" s="1454"/>
      <c r="KM615" s="1454"/>
      <c r="KN615" s="1454"/>
      <c r="KO615" s="1454"/>
      <c r="KP615" s="1454"/>
      <c r="KQ615" s="1454"/>
      <c r="KR615" s="1454"/>
      <c r="KS615" s="1454"/>
      <c r="KT615" s="1454"/>
      <c r="KU615" s="1454"/>
      <c r="KV615" s="1454"/>
      <c r="KW615" s="1454"/>
      <c r="KX615" s="1454"/>
      <c r="KY615" s="1454"/>
      <c r="KZ615" s="1454"/>
      <c r="LA615" s="1454"/>
      <c r="LB615" s="1454"/>
      <c r="LC615" s="1454"/>
      <c r="LD615" s="1454"/>
      <c r="LE615" s="1454"/>
      <c r="LF615" s="1454"/>
      <c r="LG615" s="1454"/>
      <c r="LN615" s="1317"/>
      <c r="MD615" s="1317"/>
      <c r="ME615" s="1317"/>
      <c r="NP615" s="251"/>
    </row>
    <row r="616" spans="1:380" s="1380" customFormat="1" ht="13.5" customHeight="1">
      <c r="A616" s="2102"/>
      <c r="C616" s="271" t="s">
        <v>2264</v>
      </c>
      <c r="K616" s="2132">
        <f>'Part V-Revenues &amp; Expenses'!K178</f>
        <v>6000</v>
      </c>
      <c r="L616" s="2132"/>
      <c r="Z616" s="1202">
        <v>68</v>
      </c>
    </row>
    <row r="617" spans="1:380" s="1380" customFormat="1" ht="13.35" customHeight="1">
      <c r="A617" s="2102"/>
      <c r="C617" s="271" t="s">
        <v>1270</v>
      </c>
      <c r="K617" s="2132">
        <f>P610+K616</f>
        <v>49144</v>
      </c>
      <c r="L617" s="2132"/>
      <c r="Z617" s="1202">
        <v>69</v>
      </c>
    </row>
    <row r="618" spans="1:380" s="253" customFormat="1" ht="14.1" customHeight="1">
      <c r="A618" s="2318"/>
      <c r="JW618" s="1454"/>
      <c r="KB618" s="1454"/>
      <c r="KG618" s="1454"/>
      <c r="KL618" s="1454"/>
      <c r="KM618" s="1454"/>
      <c r="KN618" s="1454"/>
      <c r="KO618" s="1454"/>
      <c r="KP618" s="1454"/>
      <c r="KQ618" s="1454"/>
      <c r="KR618" s="1454"/>
      <c r="KS618" s="1454"/>
      <c r="KT618" s="1454"/>
      <c r="KU618" s="1454"/>
      <c r="KV618" s="1454"/>
      <c r="KW618" s="1454"/>
      <c r="KX618" s="1454"/>
      <c r="KY618" s="1454"/>
      <c r="KZ618" s="1454"/>
      <c r="LA618" s="1454"/>
      <c r="LB618" s="1454"/>
      <c r="LC618" s="1454"/>
      <c r="LD618" s="1454"/>
      <c r="LE618" s="1454"/>
      <c r="LF618" s="1454"/>
      <c r="LG618" s="1454"/>
      <c r="LN618" s="1317"/>
      <c r="MD618" s="1317"/>
      <c r="ME618" s="1317"/>
      <c r="NP618" s="251"/>
    </row>
    <row r="619" spans="1:380" ht="14.1" customHeight="1">
      <c r="A619" s="255" t="s">
        <v>51</v>
      </c>
      <c r="B619" s="255" t="s">
        <v>2265</v>
      </c>
      <c r="S619" s="255" t="s">
        <v>814</v>
      </c>
      <c r="U619" s="253"/>
      <c r="KM619" s="1318"/>
      <c r="KN619" s="1318"/>
      <c r="KO619" s="1318"/>
      <c r="KP619" s="1318"/>
      <c r="KQ619" s="1318"/>
      <c r="KR619" s="1318"/>
      <c r="KS619" s="1318"/>
      <c r="KT619" s="1318"/>
      <c r="KU619" s="1318"/>
      <c r="KV619" s="1318"/>
      <c r="KW619" s="1318"/>
      <c r="KX619" s="1318"/>
      <c r="KY619" s="1318"/>
      <c r="KZ619" s="1318"/>
      <c r="LA619" s="1318"/>
      <c r="LB619" s="1318"/>
      <c r="LC619" s="1318"/>
      <c r="LD619" s="1318"/>
      <c r="LE619" s="1318"/>
      <c r="LF619" s="1318"/>
      <c r="LG619" s="1318"/>
      <c r="LH619" s="1318"/>
      <c r="LO619" s="255"/>
      <c r="ME619" s="255"/>
      <c r="MF619" s="255"/>
    </row>
    <row r="620" spans="1:380" ht="2.25" customHeight="1">
      <c r="Q620" s="253"/>
      <c r="R620" s="253"/>
      <c r="JW620" s="1318"/>
      <c r="KB620" s="1318"/>
      <c r="KG620" s="1318"/>
      <c r="KL620" s="1318"/>
      <c r="KM620" s="1318"/>
      <c r="KN620" s="1318"/>
      <c r="KO620" s="1318"/>
      <c r="KP620" s="1318"/>
      <c r="KQ620" s="1318"/>
      <c r="KR620" s="1318"/>
      <c r="KS620" s="1318"/>
      <c r="KT620" s="1318"/>
      <c r="KU620" s="1318"/>
      <c r="KV620" s="1318"/>
      <c r="KW620" s="1318"/>
      <c r="KX620" s="1318"/>
      <c r="KY620" s="1318"/>
      <c r="KZ620" s="1318"/>
      <c r="LA620" s="1318"/>
      <c r="LB620" s="1318"/>
      <c r="LC620" s="1318"/>
      <c r="LD620" s="1318"/>
      <c r="LE620" s="1318"/>
      <c r="LF620" s="1318"/>
      <c r="LG620" s="1318"/>
      <c r="LN620" s="255"/>
      <c r="MD620" s="255"/>
      <c r="ME620" s="255"/>
    </row>
    <row r="621" spans="1:380" s="253" customFormat="1" ht="15.6" customHeight="1">
      <c r="B621" s="1213" t="s">
        <v>1272</v>
      </c>
      <c r="C621" s="1106"/>
      <c r="D621" s="1106"/>
      <c r="E621" s="1106"/>
      <c r="F621" s="1106"/>
      <c r="G621" s="1106"/>
      <c r="H621" s="2319">
        <f>'Part V-Revenues &amp; Expenses'!H183</f>
        <v>16260.48</v>
      </c>
      <c r="I621" s="2319"/>
      <c r="J621" s="2304" t="s">
        <v>2266</v>
      </c>
      <c r="M621" s="1106"/>
      <c r="N621" s="1106"/>
      <c r="O621" s="1106"/>
      <c r="P621" s="2320">
        <f>IF(M488=0,0,H621/M488)</f>
        <v>0.02</v>
      </c>
      <c r="Q621" s="1106"/>
      <c r="R621" s="1106"/>
      <c r="S621" s="1317" t="str">
        <f>B621</f>
        <v>Ancillary Income</v>
      </c>
      <c r="JW621" s="1454"/>
      <c r="KB621" s="1454"/>
      <c r="KG621" s="1454"/>
      <c r="KL621" s="1454"/>
      <c r="KM621" s="1454"/>
      <c r="KN621" s="1454"/>
      <c r="KO621" s="1454"/>
      <c r="KP621" s="1454"/>
      <c r="KQ621" s="1454"/>
      <c r="KR621" s="1454"/>
      <c r="KS621" s="1454"/>
      <c r="KT621" s="1454"/>
      <c r="KU621" s="1454"/>
      <c r="KV621" s="1454"/>
      <c r="KW621" s="1454"/>
      <c r="KX621" s="1454"/>
      <c r="KY621" s="1454"/>
      <c r="KZ621" s="1454"/>
      <c r="LA621" s="1454"/>
      <c r="LB621" s="1454"/>
      <c r="LC621" s="1454"/>
      <c r="LD621" s="1454"/>
      <c r="LE621" s="1454"/>
      <c r="LF621" s="1454"/>
      <c r="LG621" s="1454"/>
      <c r="LN621" s="1317"/>
      <c r="MD621" s="1317"/>
      <c r="ME621" s="1317"/>
    </row>
    <row r="622" spans="1:380" ht="15.6" customHeight="1">
      <c r="B622" s="2250"/>
      <c r="C622" s="254"/>
      <c r="D622" s="1106"/>
      <c r="E622" s="254"/>
      <c r="F622" s="254"/>
      <c r="G622" s="254"/>
      <c r="H622" s="254"/>
      <c r="I622" s="254"/>
      <c r="J622" s="2309"/>
      <c r="K622" s="254"/>
      <c r="L622" s="254"/>
      <c r="M622" s="254"/>
      <c r="N622" s="254"/>
      <c r="O622" s="254"/>
      <c r="P622" s="254"/>
      <c r="Q622" s="1106"/>
      <c r="R622" s="1106"/>
      <c r="JW622" s="1318"/>
      <c r="KB622" s="1318"/>
      <c r="KG622" s="1318"/>
      <c r="KL622" s="1318"/>
      <c r="KM622" s="1318"/>
      <c r="KN622" s="1318"/>
      <c r="KO622" s="1318"/>
      <c r="KP622" s="1318"/>
      <c r="KQ622" s="1318"/>
      <c r="KR622" s="1318"/>
      <c r="KS622" s="1318"/>
      <c r="KT622" s="1318"/>
      <c r="KU622" s="1318"/>
      <c r="KV622" s="1318"/>
      <c r="KW622" s="1318"/>
      <c r="KX622" s="1318"/>
      <c r="KY622" s="1318"/>
      <c r="KZ622" s="1318"/>
      <c r="LA622" s="1318"/>
      <c r="LB622" s="1318"/>
      <c r="LC622" s="1318"/>
      <c r="LD622" s="1318"/>
      <c r="LE622" s="1318"/>
      <c r="LF622" s="1318"/>
      <c r="LG622" s="1318"/>
      <c r="LN622" s="255"/>
      <c r="MD622" s="255"/>
      <c r="ME622" s="255"/>
      <c r="NP622" s="253"/>
    </row>
    <row r="623" spans="1:380" ht="15.6" customHeight="1">
      <c r="B623" s="2250" t="s">
        <v>1274</v>
      </c>
      <c r="C623" s="254"/>
      <c r="D623" s="254"/>
      <c r="E623" s="254"/>
      <c r="F623" s="254"/>
      <c r="G623" s="254"/>
      <c r="H623" s="254"/>
      <c r="I623" s="254"/>
      <c r="J623" s="2250"/>
      <c r="K623" s="254"/>
      <c r="L623" s="2321"/>
      <c r="M623" s="254"/>
      <c r="N623" s="254"/>
      <c r="O623" s="254"/>
      <c r="P623" s="254"/>
      <c r="Q623" s="254"/>
      <c r="S623" s="2246" t="str">
        <f>B623</f>
        <v>Other Income (OI) by Year:</v>
      </c>
      <c r="JW623" s="1318"/>
      <c r="KB623" s="1318"/>
      <c r="KG623" s="1318"/>
      <c r="KL623" s="1318"/>
      <c r="KM623" s="1318"/>
      <c r="KN623" s="1318"/>
      <c r="KO623" s="1318"/>
      <c r="KP623" s="1318"/>
      <c r="KQ623" s="1318"/>
      <c r="KR623" s="1318"/>
      <c r="KS623" s="1318"/>
      <c r="KT623" s="1318"/>
      <c r="KU623" s="1318"/>
      <c r="KV623" s="1318"/>
      <c r="KW623" s="1318"/>
      <c r="KX623" s="1318"/>
      <c r="KY623" s="1318"/>
      <c r="KZ623" s="1318"/>
      <c r="LA623" s="1318"/>
      <c r="LB623" s="1318"/>
      <c r="LC623" s="1318"/>
      <c r="LD623" s="1318"/>
      <c r="LE623" s="1318"/>
      <c r="LF623" s="1318"/>
      <c r="LG623" s="1318"/>
      <c r="LN623" s="255"/>
      <c r="MD623" s="255"/>
      <c r="ME623" s="255"/>
      <c r="NP623" s="253"/>
    </row>
    <row r="624" spans="1:380" ht="15.6" customHeight="1">
      <c r="B624" s="2322" t="s">
        <v>1275</v>
      </c>
      <c r="C624" s="254"/>
      <c r="D624" s="254"/>
      <c r="E624" s="254"/>
      <c r="F624" s="254"/>
      <c r="H624" s="2323">
        <v>1</v>
      </c>
      <c r="I624" s="2323">
        <v>2</v>
      </c>
      <c r="J624" s="2323">
        <v>3</v>
      </c>
      <c r="K624" s="2323">
        <v>4</v>
      </c>
      <c r="L624" s="2323">
        <v>5</v>
      </c>
      <c r="M624" s="2323">
        <v>6</v>
      </c>
      <c r="N624" s="2323">
        <v>7</v>
      </c>
      <c r="O624" s="2323">
        <v>8</v>
      </c>
      <c r="P624" s="2323">
        <v>9</v>
      </c>
      <c r="Q624" s="2323">
        <v>10</v>
      </c>
      <c r="R624" s="2324"/>
      <c r="S624" s="253" t="str">
        <f>B624</f>
        <v>Included in Mgt Fee:</v>
      </c>
      <c r="JW624" s="1318"/>
      <c r="KB624" s="1318"/>
      <c r="KG624" s="1318"/>
      <c r="KL624" s="1318"/>
      <c r="KM624" s="1318"/>
      <c r="KN624" s="1318"/>
      <c r="KO624" s="1318"/>
      <c r="KP624" s="1318"/>
      <c r="KQ624" s="1318"/>
      <c r="KR624" s="1318"/>
      <c r="KS624" s="1318"/>
      <c r="KT624" s="1318"/>
      <c r="KU624" s="1318"/>
      <c r="KV624" s="1318"/>
      <c r="KW624" s="1318"/>
      <c r="KX624" s="1318"/>
      <c r="KY624" s="1318"/>
      <c r="KZ624" s="1318"/>
      <c r="LA624" s="1318"/>
      <c r="LB624" s="1318"/>
      <c r="LC624" s="1318"/>
      <c r="LD624" s="1318"/>
      <c r="LE624" s="1318"/>
      <c r="LF624" s="1318"/>
      <c r="LG624" s="1318"/>
      <c r="LN624" s="255"/>
      <c r="MD624" s="255"/>
      <c r="ME624" s="255"/>
      <c r="NP624" s="253"/>
    </row>
    <row r="625" spans="2:380" ht="15.6" customHeight="1">
      <c r="B625" s="1106" t="s">
        <v>1276</v>
      </c>
      <c r="C625" s="1106"/>
      <c r="D625" s="1106"/>
      <c r="E625" s="1106"/>
      <c r="F625" s="1106"/>
      <c r="H625" s="2325">
        <f>'Part V-Revenues &amp; Expenses'!H187</f>
        <v>0</v>
      </c>
      <c r="I625" s="2325">
        <f>'Part V-Revenues &amp; Expenses'!I187</f>
        <v>0</v>
      </c>
      <c r="J625" s="2325">
        <f>'Part V-Revenues &amp; Expenses'!J187</f>
        <v>0</v>
      </c>
      <c r="K625" s="2325">
        <f>'Part V-Revenues &amp; Expenses'!K187</f>
        <v>0</v>
      </c>
      <c r="L625" s="2325">
        <f>'Part V-Revenues &amp; Expenses'!L187</f>
        <v>0</v>
      </c>
      <c r="M625" s="2325">
        <f>'Part V-Revenues &amp; Expenses'!M187</f>
        <v>0</v>
      </c>
      <c r="N625" s="2325">
        <f>'Part V-Revenues &amp; Expenses'!N187</f>
        <v>0</v>
      </c>
      <c r="O625" s="2325">
        <f>'Part V-Revenues &amp; Expenses'!O187</f>
        <v>0</v>
      </c>
      <c r="P625" s="2325">
        <f>'Part V-Revenues &amp; Expenses'!P187</f>
        <v>0</v>
      </c>
      <c r="Q625" s="2325">
        <f>'Part V-Revenues &amp; Expenses'!Q187</f>
        <v>0</v>
      </c>
      <c r="R625" s="2317"/>
      <c r="S625" s="2273"/>
      <c r="T625" s="2273"/>
      <c r="U625" s="2273"/>
      <c r="V625" s="2273"/>
      <c r="W625" s="2273"/>
      <c r="JW625" s="1318"/>
      <c r="KB625" s="1318"/>
      <c r="KG625" s="1318"/>
      <c r="KL625" s="1318"/>
      <c r="KM625" s="1318"/>
      <c r="KN625" s="1318"/>
      <c r="KO625" s="1318"/>
      <c r="KP625" s="1318"/>
      <c r="KQ625" s="1318"/>
      <c r="KR625" s="1318"/>
      <c r="KS625" s="1318"/>
      <c r="KT625" s="1318"/>
      <c r="KU625" s="1318"/>
      <c r="KV625" s="1318"/>
      <c r="KW625" s="1318"/>
      <c r="KX625" s="1318"/>
      <c r="KY625" s="1318"/>
      <c r="KZ625" s="1318"/>
      <c r="LA625" s="1318"/>
      <c r="LB625" s="1318"/>
      <c r="LC625" s="1318"/>
      <c r="LD625" s="1318"/>
      <c r="LE625" s="1318"/>
      <c r="LF625" s="1318"/>
      <c r="LG625" s="1318"/>
      <c r="LN625" s="255"/>
      <c r="MD625" s="255"/>
      <c r="ME625" s="255"/>
    </row>
    <row r="626" spans="2:380" ht="15.6" customHeight="1">
      <c r="B626" s="1106" t="s">
        <v>450</v>
      </c>
      <c r="C626" s="1106">
        <f>'Part V-Revenues &amp; Expenses'!C188</f>
        <v>0</v>
      </c>
      <c r="D626" s="1106"/>
      <c r="E626" s="1106"/>
      <c r="F626" s="1106"/>
      <c r="H626" s="2325">
        <f>'Part V-Revenues &amp; Expenses'!H188</f>
        <v>0</v>
      </c>
      <c r="I626" s="2325">
        <f>'Part V-Revenues &amp; Expenses'!I188</f>
        <v>0</v>
      </c>
      <c r="J626" s="2325">
        <f>'Part V-Revenues &amp; Expenses'!J188</f>
        <v>0</v>
      </c>
      <c r="K626" s="2325">
        <f>'Part V-Revenues &amp; Expenses'!K188</f>
        <v>0</v>
      </c>
      <c r="L626" s="2325">
        <f>'Part V-Revenues &amp; Expenses'!L188</f>
        <v>0</v>
      </c>
      <c r="M626" s="2325">
        <f>'Part V-Revenues &amp; Expenses'!M188</f>
        <v>0</v>
      </c>
      <c r="N626" s="2325">
        <f>'Part V-Revenues &amp; Expenses'!N188</f>
        <v>0</v>
      </c>
      <c r="O626" s="2325">
        <f>'Part V-Revenues &amp; Expenses'!O188</f>
        <v>0</v>
      </c>
      <c r="P626" s="2325">
        <f>'Part V-Revenues &amp; Expenses'!P188</f>
        <v>0</v>
      </c>
      <c r="Q626" s="2325">
        <f>'Part V-Revenues &amp; Expenses'!Q188</f>
        <v>0</v>
      </c>
      <c r="R626" s="2317"/>
      <c r="S626" s="2273"/>
      <c r="T626" s="2273"/>
      <c r="U626" s="2273"/>
      <c r="V626" s="2273"/>
      <c r="W626" s="2273"/>
      <c r="JW626" s="1318"/>
      <c r="KB626" s="1318"/>
      <c r="KG626" s="1318"/>
      <c r="KL626" s="1318"/>
      <c r="KM626" s="1318"/>
      <c r="KN626" s="1318"/>
      <c r="KO626" s="1318"/>
      <c r="KP626" s="1318"/>
      <c r="KQ626" s="1318"/>
      <c r="KR626" s="1318"/>
      <c r="KS626" s="1318"/>
      <c r="KT626" s="1318"/>
      <c r="KU626" s="1318"/>
      <c r="KV626" s="1318"/>
      <c r="KW626" s="1318"/>
      <c r="KX626" s="1318"/>
      <c r="KY626" s="1318"/>
      <c r="KZ626" s="1318"/>
      <c r="LA626" s="1318"/>
      <c r="LB626" s="1318"/>
      <c r="LC626" s="1318"/>
      <c r="LD626" s="1318"/>
      <c r="LE626" s="1318"/>
      <c r="LF626" s="1318"/>
      <c r="LG626" s="1318"/>
      <c r="LN626" s="255"/>
      <c r="MD626" s="255"/>
      <c r="ME626" s="255"/>
    </row>
    <row r="627" spans="2:380" ht="15.6" customHeight="1">
      <c r="B627" s="1106"/>
      <c r="C627" s="1106" t="s">
        <v>1277</v>
      </c>
      <c r="D627" s="1106"/>
      <c r="E627" s="1106"/>
      <c r="F627" s="1106"/>
      <c r="H627" s="2326">
        <f>SUM(H625:H626)</f>
        <v>0</v>
      </c>
      <c r="I627" s="2326">
        <f>SUM(I625:I626)</f>
        <v>0</v>
      </c>
      <c r="J627" s="2326">
        <f t="shared" ref="J627:Q627" si="369">SUM(J625:J626)</f>
        <v>0</v>
      </c>
      <c r="K627" s="2326">
        <f t="shared" si="369"/>
        <v>0</v>
      </c>
      <c r="L627" s="2326">
        <f t="shared" si="369"/>
        <v>0</v>
      </c>
      <c r="M627" s="2326">
        <f t="shared" si="369"/>
        <v>0</v>
      </c>
      <c r="N627" s="2326">
        <f t="shared" si="369"/>
        <v>0</v>
      </c>
      <c r="O627" s="2326">
        <f t="shared" si="369"/>
        <v>0</v>
      </c>
      <c r="P627" s="2326">
        <f t="shared" si="369"/>
        <v>0</v>
      </c>
      <c r="Q627" s="2326">
        <f t="shared" si="369"/>
        <v>0</v>
      </c>
      <c r="R627" s="257"/>
      <c r="S627" s="2273"/>
      <c r="T627" s="2273"/>
      <c r="U627" s="2273"/>
      <c r="V627" s="2273"/>
      <c r="W627" s="2273"/>
      <c r="JW627" s="1318"/>
      <c r="KB627" s="1318"/>
      <c r="KG627" s="1318"/>
      <c r="KL627" s="1318"/>
      <c r="KM627" s="1318"/>
      <c r="KN627" s="1318"/>
      <c r="KO627" s="1318"/>
      <c r="KP627" s="1318"/>
      <c r="KQ627" s="1318"/>
      <c r="KR627" s="1318"/>
      <c r="KS627" s="1318"/>
      <c r="KT627" s="1318"/>
      <c r="KU627" s="1318"/>
      <c r="KV627" s="1318"/>
      <c r="KW627" s="1318"/>
      <c r="KX627" s="1318"/>
      <c r="KY627" s="1318"/>
      <c r="KZ627" s="1318"/>
      <c r="LA627" s="1318"/>
      <c r="LB627" s="1318"/>
      <c r="LC627" s="1318"/>
      <c r="LD627" s="1318"/>
      <c r="LE627" s="1318"/>
      <c r="LF627" s="1318"/>
      <c r="LG627" s="1318"/>
      <c r="LN627" s="255"/>
      <c r="MD627" s="255"/>
      <c r="ME627" s="255"/>
      <c r="NP627" s="253"/>
    </row>
    <row r="628" spans="2:380" ht="15.6" customHeight="1">
      <c r="B628" s="2322" t="s">
        <v>2267</v>
      </c>
      <c r="C628" s="254"/>
      <c r="D628" s="254"/>
      <c r="E628" s="254"/>
      <c r="F628" s="254"/>
      <c r="H628" s="2327"/>
      <c r="I628" s="254"/>
      <c r="J628" s="254"/>
      <c r="K628" s="254"/>
      <c r="L628" s="254"/>
      <c r="M628" s="254"/>
      <c r="N628" s="254"/>
      <c r="O628" s="254"/>
      <c r="P628" s="254"/>
      <c r="Q628" s="254"/>
      <c r="S628" s="253" t="str">
        <f>B628</f>
        <v>NOT Included in Mgt Fee:</v>
      </c>
      <c r="JW628" s="1318"/>
      <c r="KB628" s="1318"/>
      <c r="KG628" s="1318"/>
      <c r="KL628" s="1318"/>
      <c r="KM628" s="1318"/>
      <c r="KN628" s="1318"/>
      <c r="KO628" s="1318"/>
      <c r="KP628" s="1318"/>
      <c r="KQ628" s="1318"/>
      <c r="KR628" s="1318"/>
      <c r="KS628" s="1318"/>
      <c r="KT628" s="1318"/>
      <c r="KU628" s="1318"/>
      <c r="KV628" s="1318"/>
      <c r="KW628" s="1318"/>
      <c r="KX628" s="1318"/>
      <c r="KY628" s="1318"/>
      <c r="KZ628" s="1318"/>
      <c r="LA628" s="1318"/>
      <c r="LB628" s="1318"/>
      <c r="LC628" s="1318"/>
      <c r="LD628" s="1318"/>
      <c r="LE628" s="1318"/>
      <c r="LF628" s="1318"/>
      <c r="LG628" s="1318"/>
      <c r="LN628" s="255"/>
      <c r="MD628" s="255"/>
      <c r="ME628" s="255"/>
    </row>
    <row r="629" spans="2:380" ht="15.6" customHeight="1">
      <c r="B629" s="1106" t="s">
        <v>1279</v>
      </c>
      <c r="C629" s="1106"/>
      <c r="D629" s="1106"/>
      <c r="E629" s="1106"/>
      <c r="F629" s="1106"/>
      <c r="H629" s="2325">
        <f>'Part V-Revenues &amp; Expenses'!H191</f>
        <v>0</v>
      </c>
      <c r="I629" s="2325">
        <f>'Part V-Revenues &amp; Expenses'!I191</f>
        <v>0</v>
      </c>
      <c r="J629" s="2325">
        <f>'Part V-Revenues &amp; Expenses'!J191</f>
        <v>0</v>
      </c>
      <c r="K629" s="2325">
        <f>'Part V-Revenues &amp; Expenses'!K191</f>
        <v>0</v>
      </c>
      <c r="L629" s="2325">
        <f>'Part V-Revenues &amp; Expenses'!L191</f>
        <v>0</v>
      </c>
      <c r="M629" s="2325">
        <f>'Part V-Revenues &amp; Expenses'!M191</f>
        <v>0</v>
      </c>
      <c r="N629" s="2325">
        <f>'Part V-Revenues &amp; Expenses'!N191</f>
        <v>0</v>
      </c>
      <c r="O629" s="2325">
        <f>'Part V-Revenues &amp; Expenses'!O191</f>
        <v>0</v>
      </c>
      <c r="P629" s="2325">
        <f>'Part V-Revenues &amp; Expenses'!P191</f>
        <v>0</v>
      </c>
      <c r="Q629" s="2325">
        <f>'Part V-Revenues &amp; Expenses'!Q191</f>
        <v>0</v>
      </c>
      <c r="R629" s="2317"/>
      <c r="S629" s="2273"/>
      <c r="T629" s="2273"/>
      <c r="U629" s="2273"/>
      <c r="V629" s="2273"/>
      <c r="W629" s="2273"/>
      <c r="JW629" s="1318"/>
      <c r="KB629" s="1318"/>
      <c r="KG629" s="1318"/>
      <c r="KL629" s="1318"/>
      <c r="KM629" s="1318"/>
      <c r="KN629" s="1318"/>
      <c r="KO629" s="1318"/>
      <c r="KP629" s="1318"/>
      <c r="KQ629" s="1318"/>
      <c r="KR629" s="1318"/>
      <c r="KS629" s="1318"/>
      <c r="KT629" s="1318"/>
      <c r="KU629" s="1318"/>
      <c r="KV629" s="1318"/>
      <c r="KW629" s="1318"/>
      <c r="KX629" s="1318"/>
      <c r="KY629" s="1318"/>
      <c r="KZ629" s="1318"/>
      <c r="LA629" s="1318"/>
      <c r="LB629" s="1318"/>
      <c r="LC629" s="1318"/>
      <c r="LD629" s="1318"/>
      <c r="LE629" s="1318"/>
      <c r="LF629" s="1318"/>
      <c r="LG629" s="1318"/>
      <c r="LN629" s="255"/>
      <c r="MD629" s="255"/>
      <c r="ME629" s="255"/>
    </row>
    <row r="630" spans="2:380" ht="15.6" customHeight="1">
      <c r="B630" s="1106" t="s">
        <v>450</v>
      </c>
      <c r="C630" s="1106">
        <f>'Part V-Revenues &amp; Expenses'!C192</f>
        <v>0</v>
      </c>
      <c r="D630" s="1106"/>
      <c r="E630" s="1106"/>
      <c r="F630" s="1106"/>
      <c r="H630" s="2325">
        <f>'Part V-Revenues &amp; Expenses'!H192</f>
        <v>0</v>
      </c>
      <c r="I630" s="2325">
        <f>'Part V-Revenues &amp; Expenses'!I192</f>
        <v>0</v>
      </c>
      <c r="J630" s="2325">
        <f>'Part V-Revenues &amp; Expenses'!J192</f>
        <v>0</v>
      </c>
      <c r="K630" s="2325">
        <f>'Part V-Revenues &amp; Expenses'!K192</f>
        <v>0</v>
      </c>
      <c r="L630" s="2325">
        <f>'Part V-Revenues &amp; Expenses'!L192</f>
        <v>0</v>
      </c>
      <c r="M630" s="2325">
        <f>'Part V-Revenues &amp; Expenses'!M192</f>
        <v>0</v>
      </c>
      <c r="N630" s="2325">
        <f>'Part V-Revenues &amp; Expenses'!N192</f>
        <v>0</v>
      </c>
      <c r="O630" s="2325">
        <f>'Part V-Revenues &amp; Expenses'!O192</f>
        <v>0</v>
      </c>
      <c r="P630" s="2325">
        <f>'Part V-Revenues &amp; Expenses'!P192</f>
        <v>0</v>
      </c>
      <c r="Q630" s="2325">
        <f>'Part V-Revenues &amp; Expenses'!Q192</f>
        <v>0</v>
      </c>
      <c r="R630" s="2317"/>
      <c r="S630" s="2273"/>
      <c r="T630" s="2273"/>
      <c r="U630" s="2273"/>
      <c r="V630" s="2273"/>
      <c r="W630" s="2273"/>
      <c r="JW630" s="1318"/>
      <c r="KB630" s="1318"/>
      <c r="KG630" s="1318"/>
      <c r="KL630" s="1318"/>
      <c r="KM630" s="1318"/>
      <c r="KN630" s="1318"/>
      <c r="KO630" s="1318"/>
      <c r="KP630" s="1318"/>
      <c r="KQ630" s="1318"/>
      <c r="KR630" s="1318"/>
      <c r="KS630" s="1318"/>
      <c r="KT630" s="1318"/>
      <c r="KU630" s="1318"/>
      <c r="KV630" s="1318"/>
      <c r="KW630" s="1318"/>
      <c r="KX630" s="1318"/>
      <c r="KY630" s="1318"/>
      <c r="KZ630" s="1318"/>
      <c r="LA630" s="1318"/>
      <c r="LB630" s="1318"/>
      <c r="LC630" s="1318"/>
      <c r="LD630" s="1318"/>
      <c r="LE630" s="1318"/>
      <c r="LF630" s="1318"/>
      <c r="LG630" s="1318"/>
      <c r="LN630" s="255"/>
      <c r="MD630" s="255"/>
      <c r="ME630" s="255"/>
    </row>
    <row r="631" spans="2:380" ht="15.6" customHeight="1">
      <c r="B631" s="1106"/>
      <c r="C631" s="1106" t="s">
        <v>2268</v>
      </c>
      <c r="D631" s="1106"/>
      <c r="E631" s="1106"/>
      <c r="F631" s="1106"/>
      <c r="H631" s="2326">
        <f>SUM(H629:H630)</f>
        <v>0</v>
      </c>
      <c r="I631" s="2326">
        <f>SUM(I629:I630)</f>
        <v>0</v>
      </c>
      <c r="J631" s="2326">
        <f t="shared" ref="J631:Q631" si="370">SUM(J629:J630)</f>
        <v>0</v>
      </c>
      <c r="K631" s="2326">
        <f t="shared" si="370"/>
        <v>0</v>
      </c>
      <c r="L631" s="2326">
        <f t="shared" si="370"/>
        <v>0</v>
      </c>
      <c r="M631" s="2326">
        <f t="shared" si="370"/>
        <v>0</v>
      </c>
      <c r="N631" s="2326">
        <f t="shared" si="370"/>
        <v>0</v>
      </c>
      <c r="O631" s="2326">
        <f t="shared" si="370"/>
        <v>0</v>
      </c>
      <c r="P631" s="2326">
        <f t="shared" si="370"/>
        <v>0</v>
      </c>
      <c r="Q631" s="2326">
        <f t="shared" si="370"/>
        <v>0</v>
      </c>
      <c r="R631" s="257"/>
      <c r="S631" s="2273"/>
      <c r="T631" s="2273"/>
      <c r="U631" s="2273"/>
      <c r="V631" s="2273"/>
      <c r="W631" s="2273"/>
      <c r="JW631" s="1318"/>
      <c r="KB631" s="1318"/>
      <c r="KG631" s="1318"/>
      <c r="KL631" s="1318"/>
      <c r="KM631" s="1318"/>
      <c r="KN631" s="1318"/>
      <c r="KO631" s="1318"/>
      <c r="KP631" s="1318"/>
      <c r="KQ631" s="1318"/>
      <c r="KR631" s="1318"/>
      <c r="KS631" s="1318"/>
      <c r="KT631" s="1318"/>
      <c r="KU631" s="1318"/>
      <c r="KV631" s="1318"/>
      <c r="KW631" s="1318"/>
      <c r="KX631" s="1318"/>
      <c r="KY631" s="1318"/>
      <c r="KZ631" s="1318"/>
      <c r="LA631" s="1318"/>
      <c r="LB631" s="1318"/>
      <c r="LC631" s="1318"/>
      <c r="LD631" s="1318"/>
      <c r="LE631" s="1318"/>
      <c r="LF631" s="1318"/>
      <c r="LG631" s="1318"/>
      <c r="LN631" s="255"/>
      <c r="MD631" s="255"/>
      <c r="ME631" s="255"/>
    </row>
    <row r="632" spans="2:380" ht="15.6" customHeight="1">
      <c r="B632" s="2250"/>
      <c r="C632" s="254"/>
      <c r="D632" s="254"/>
      <c r="E632" s="254"/>
      <c r="F632" s="254"/>
      <c r="H632" s="2327"/>
      <c r="I632" s="254"/>
      <c r="J632" s="254"/>
      <c r="K632" s="254"/>
      <c r="L632" s="254"/>
      <c r="M632" s="254"/>
      <c r="N632" s="254"/>
      <c r="O632" s="254"/>
      <c r="P632" s="254"/>
      <c r="Q632" s="254"/>
      <c r="JW632" s="1318"/>
      <c r="KB632" s="1318"/>
      <c r="KG632" s="1318"/>
      <c r="KL632" s="1318"/>
      <c r="KM632" s="1318"/>
      <c r="KN632" s="1318"/>
      <c r="KO632" s="1318"/>
      <c r="KP632" s="1318"/>
      <c r="KQ632" s="1318"/>
      <c r="KR632" s="1318"/>
      <c r="KS632" s="1318"/>
      <c r="KT632" s="1318"/>
      <c r="KU632" s="1318"/>
      <c r="KV632" s="1318"/>
      <c r="KW632" s="1318"/>
      <c r="KX632" s="1318"/>
      <c r="KY632" s="1318"/>
      <c r="KZ632" s="1318"/>
      <c r="LA632" s="1318"/>
      <c r="LB632" s="1318"/>
      <c r="LC632" s="1318"/>
      <c r="LD632" s="1318"/>
      <c r="LE632" s="1318"/>
      <c r="LF632" s="1318"/>
      <c r="LG632" s="1318"/>
      <c r="LN632" s="255"/>
      <c r="MD632" s="255"/>
      <c r="ME632" s="255"/>
    </row>
    <row r="633" spans="2:380" ht="15.6" customHeight="1">
      <c r="B633" s="2322" t="s">
        <v>1275</v>
      </c>
      <c r="C633" s="254"/>
      <c r="D633" s="254"/>
      <c r="E633" s="254"/>
      <c r="F633" s="254"/>
      <c r="H633" s="2323">
        <v>11</v>
      </c>
      <c r="I633" s="2323">
        <v>12</v>
      </c>
      <c r="J633" s="2323">
        <v>13</v>
      </c>
      <c r="K633" s="2323">
        <v>14</v>
      </c>
      <c r="L633" s="2323">
        <v>15</v>
      </c>
      <c r="M633" s="2323">
        <v>16</v>
      </c>
      <c r="N633" s="2323">
        <v>17</v>
      </c>
      <c r="O633" s="2323">
        <v>18</v>
      </c>
      <c r="P633" s="2323">
        <v>19</v>
      </c>
      <c r="Q633" s="2323">
        <v>20</v>
      </c>
      <c r="S633" s="2275" t="s">
        <v>1281</v>
      </c>
      <c r="T633" s="253" t="str">
        <f>B633</f>
        <v>Included in Mgt Fee:</v>
      </c>
      <c r="JW633" s="1318"/>
      <c r="KB633" s="1318"/>
      <c r="KG633" s="1318"/>
      <c r="KL633" s="1318"/>
      <c r="KM633" s="1318"/>
      <c r="KN633" s="1318"/>
      <c r="KO633" s="1318"/>
      <c r="KP633" s="1318"/>
      <c r="KQ633" s="1318"/>
      <c r="KR633" s="1318"/>
      <c r="KS633" s="1318"/>
      <c r="KT633" s="1318"/>
      <c r="KU633" s="1318"/>
      <c r="KV633" s="1318"/>
      <c r="KW633" s="1318"/>
      <c r="KX633" s="1318"/>
      <c r="KY633" s="1318"/>
      <c r="KZ633" s="1318"/>
      <c r="LA633" s="1318"/>
      <c r="LB633" s="1318"/>
      <c r="LC633" s="1318"/>
      <c r="LD633" s="1318"/>
      <c r="LE633" s="1318"/>
      <c r="LF633" s="1318"/>
      <c r="LG633" s="1318"/>
      <c r="LN633" s="255"/>
      <c r="MD633" s="255"/>
      <c r="ME633" s="255"/>
    </row>
    <row r="634" spans="2:380" ht="15.6" customHeight="1">
      <c r="B634" s="1106" t="s">
        <v>1276</v>
      </c>
      <c r="C634" s="1106"/>
      <c r="D634" s="1106"/>
      <c r="E634" s="1106"/>
      <c r="F634" s="1106"/>
      <c r="H634" s="2325">
        <f>'Part V-Revenues &amp; Expenses'!H196</f>
        <v>0</v>
      </c>
      <c r="I634" s="2325">
        <f>'Part V-Revenues &amp; Expenses'!I196</f>
        <v>0</v>
      </c>
      <c r="J634" s="2325">
        <f>'Part V-Revenues &amp; Expenses'!J196</f>
        <v>0</v>
      </c>
      <c r="K634" s="2325">
        <f>'Part V-Revenues &amp; Expenses'!K196</f>
        <v>0</v>
      </c>
      <c r="L634" s="2325">
        <f>'Part V-Revenues &amp; Expenses'!L196</f>
        <v>0</v>
      </c>
      <c r="M634" s="2325">
        <f>'Part V-Revenues &amp; Expenses'!M196</f>
        <v>0</v>
      </c>
      <c r="N634" s="2325">
        <f>'Part V-Revenues &amp; Expenses'!N196</f>
        <v>0</v>
      </c>
      <c r="O634" s="2325">
        <f>'Part V-Revenues &amp; Expenses'!O196</f>
        <v>0</v>
      </c>
      <c r="P634" s="2325">
        <f>'Part V-Revenues &amp; Expenses'!P196</f>
        <v>0</v>
      </c>
      <c r="Q634" s="2325">
        <f>'Part V-Revenues &amp; Expenses'!Q196</f>
        <v>0</v>
      </c>
      <c r="R634" s="2317"/>
      <c r="S634" s="2273"/>
      <c r="T634" s="2273"/>
      <c r="U634" s="2273"/>
      <c r="V634" s="2273"/>
      <c r="W634" s="2273"/>
    </row>
    <row r="635" spans="2:380" ht="15.6" customHeight="1">
      <c r="B635" s="1106" t="s">
        <v>450</v>
      </c>
      <c r="C635" s="1106">
        <f>'Part V-Revenues &amp; Expenses'!C197</f>
        <v>0</v>
      </c>
      <c r="D635" s="1106"/>
      <c r="E635" s="1106"/>
      <c r="F635" s="1106"/>
      <c r="H635" s="2325">
        <f>'Part V-Revenues &amp; Expenses'!H197</f>
        <v>0</v>
      </c>
      <c r="I635" s="2325">
        <f>'Part V-Revenues &amp; Expenses'!I197</f>
        <v>0</v>
      </c>
      <c r="J635" s="2325">
        <f>'Part V-Revenues &amp; Expenses'!J197</f>
        <v>0</v>
      </c>
      <c r="K635" s="2325">
        <f>'Part V-Revenues &amp; Expenses'!K197</f>
        <v>0</v>
      </c>
      <c r="L635" s="2325">
        <f>'Part V-Revenues &amp; Expenses'!L197</f>
        <v>0</v>
      </c>
      <c r="M635" s="2325">
        <f>'Part V-Revenues &amp; Expenses'!M197</f>
        <v>0</v>
      </c>
      <c r="N635" s="2325">
        <f>'Part V-Revenues &amp; Expenses'!N197</f>
        <v>0</v>
      </c>
      <c r="O635" s="2325">
        <f>'Part V-Revenues &amp; Expenses'!O197</f>
        <v>0</v>
      </c>
      <c r="P635" s="2325">
        <f>'Part V-Revenues &amp; Expenses'!P197</f>
        <v>0</v>
      </c>
      <c r="Q635" s="2325">
        <f>'Part V-Revenues &amp; Expenses'!Q197</f>
        <v>0</v>
      </c>
      <c r="R635" s="2317"/>
      <c r="S635" s="2273"/>
      <c r="T635" s="2273"/>
      <c r="U635" s="2273"/>
      <c r="V635" s="2273"/>
      <c r="W635" s="2273"/>
    </row>
    <row r="636" spans="2:380" ht="15.6" customHeight="1">
      <c r="B636" s="1106"/>
      <c r="C636" s="1106" t="s">
        <v>1277</v>
      </c>
      <c r="D636" s="1106"/>
      <c r="E636" s="1106"/>
      <c r="F636" s="1106"/>
      <c r="H636" s="2326">
        <f>SUM(H634:H635)</f>
        <v>0</v>
      </c>
      <c r="I636" s="2326">
        <f>SUM(I634:I635)</f>
        <v>0</v>
      </c>
      <c r="J636" s="2326">
        <f t="shared" ref="J636:Q636" si="371">SUM(J634:J635)</f>
        <v>0</v>
      </c>
      <c r="K636" s="2326">
        <f t="shared" si="371"/>
        <v>0</v>
      </c>
      <c r="L636" s="2326">
        <f t="shared" si="371"/>
        <v>0</v>
      </c>
      <c r="M636" s="2326">
        <f t="shared" si="371"/>
        <v>0</v>
      </c>
      <c r="N636" s="2326">
        <f t="shared" si="371"/>
        <v>0</v>
      </c>
      <c r="O636" s="2326">
        <f t="shared" si="371"/>
        <v>0</v>
      </c>
      <c r="P636" s="2326">
        <f t="shared" si="371"/>
        <v>0</v>
      </c>
      <c r="Q636" s="2326">
        <f t="shared" si="371"/>
        <v>0</v>
      </c>
      <c r="R636" s="257"/>
      <c r="S636" s="2273"/>
      <c r="T636" s="2273"/>
      <c r="U636" s="2273"/>
      <c r="V636" s="2273"/>
      <c r="W636" s="2273"/>
    </row>
    <row r="637" spans="2:380" ht="15.6" customHeight="1">
      <c r="B637" s="2322" t="s">
        <v>2267</v>
      </c>
      <c r="C637" s="254"/>
      <c r="D637" s="254"/>
      <c r="E637" s="254"/>
      <c r="F637" s="254"/>
      <c r="H637" s="2327"/>
      <c r="I637" s="254"/>
      <c r="J637" s="254"/>
      <c r="K637" s="254"/>
      <c r="L637" s="254"/>
      <c r="M637" s="254"/>
      <c r="N637" s="254"/>
      <c r="O637" s="254"/>
      <c r="P637" s="254"/>
      <c r="Q637" s="254"/>
      <c r="S637" s="253" t="str">
        <f>B637</f>
        <v>NOT Included in Mgt Fee:</v>
      </c>
    </row>
    <row r="638" spans="2:380" ht="15.6" customHeight="1">
      <c r="B638" s="1106" t="s">
        <v>1279</v>
      </c>
      <c r="C638" s="1106"/>
      <c r="D638" s="1106"/>
      <c r="E638" s="1106"/>
      <c r="F638" s="1106"/>
      <c r="H638" s="2325">
        <f>'Part V-Revenues &amp; Expenses'!H200</f>
        <v>0</v>
      </c>
      <c r="I638" s="2325">
        <f>'Part V-Revenues &amp; Expenses'!I200</f>
        <v>0</v>
      </c>
      <c r="J638" s="2325">
        <f>'Part V-Revenues &amp; Expenses'!J200</f>
        <v>0</v>
      </c>
      <c r="K638" s="2325">
        <f>'Part V-Revenues &amp; Expenses'!K200</f>
        <v>0</v>
      </c>
      <c r="L638" s="2325">
        <f>'Part V-Revenues &amp; Expenses'!L200</f>
        <v>0</v>
      </c>
      <c r="M638" s="2325">
        <f>'Part V-Revenues &amp; Expenses'!M200</f>
        <v>0</v>
      </c>
      <c r="N638" s="2325">
        <f>'Part V-Revenues &amp; Expenses'!N200</f>
        <v>0</v>
      </c>
      <c r="O638" s="2325">
        <f>'Part V-Revenues &amp; Expenses'!O200</f>
        <v>0</v>
      </c>
      <c r="P638" s="2325">
        <f>'Part V-Revenues &amp; Expenses'!P200</f>
        <v>0</v>
      </c>
      <c r="Q638" s="2325">
        <f>'Part V-Revenues &amp; Expenses'!Q200</f>
        <v>0</v>
      </c>
      <c r="R638" s="2317"/>
      <c r="S638" s="2273"/>
      <c r="T638" s="2273"/>
      <c r="U638" s="2273"/>
      <c r="V638" s="2273"/>
      <c r="W638" s="2273"/>
    </row>
    <row r="639" spans="2:380" ht="15.6" customHeight="1">
      <c r="B639" s="1106" t="s">
        <v>450</v>
      </c>
      <c r="C639" s="1106">
        <f>'Part V-Revenues &amp; Expenses'!C201</f>
        <v>0</v>
      </c>
      <c r="D639" s="1106"/>
      <c r="E639" s="1106"/>
      <c r="F639" s="1106"/>
      <c r="H639" s="2325">
        <f>'Part V-Revenues &amp; Expenses'!H201</f>
        <v>0</v>
      </c>
      <c r="I639" s="2325">
        <f>'Part V-Revenues &amp; Expenses'!I201</f>
        <v>0</v>
      </c>
      <c r="J639" s="2325">
        <f>'Part V-Revenues &amp; Expenses'!J201</f>
        <v>0</v>
      </c>
      <c r="K639" s="2325">
        <f>'Part V-Revenues &amp; Expenses'!K201</f>
        <v>0</v>
      </c>
      <c r="L639" s="2325">
        <f>'Part V-Revenues &amp; Expenses'!L201</f>
        <v>0</v>
      </c>
      <c r="M639" s="2325">
        <f>'Part V-Revenues &amp; Expenses'!M201</f>
        <v>0</v>
      </c>
      <c r="N639" s="2325">
        <f>'Part V-Revenues &amp; Expenses'!N201</f>
        <v>0</v>
      </c>
      <c r="O639" s="2325">
        <f>'Part V-Revenues &amp; Expenses'!O201</f>
        <v>0</v>
      </c>
      <c r="P639" s="2325">
        <f>'Part V-Revenues &amp; Expenses'!P201</f>
        <v>0</v>
      </c>
      <c r="Q639" s="2325">
        <f>'Part V-Revenues &amp; Expenses'!Q201</f>
        <v>0</v>
      </c>
      <c r="R639" s="2317"/>
      <c r="S639" s="2273"/>
      <c r="T639" s="2273"/>
      <c r="U639" s="2273"/>
      <c r="V639" s="2273"/>
      <c r="W639" s="2273"/>
    </row>
    <row r="640" spans="2:380" ht="15.6" customHeight="1">
      <c r="B640" s="1106"/>
      <c r="C640" s="1106" t="s">
        <v>2268</v>
      </c>
      <c r="D640" s="1106"/>
      <c r="E640" s="1106"/>
      <c r="F640" s="1106"/>
      <c r="H640" s="2326">
        <f>SUM(H638:H639)</f>
        <v>0</v>
      </c>
      <c r="I640" s="2326">
        <f>SUM(I638:I639)</f>
        <v>0</v>
      </c>
      <c r="J640" s="2326">
        <f t="shared" ref="J640:Q640" si="372">SUM(J638:J639)</f>
        <v>0</v>
      </c>
      <c r="K640" s="2326">
        <f t="shared" si="372"/>
        <v>0</v>
      </c>
      <c r="L640" s="2326">
        <f t="shared" si="372"/>
        <v>0</v>
      </c>
      <c r="M640" s="2326">
        <f t="shared" si="372"/>
        <v>0</v>
      </c>
      <c r="N640" s="2326">
        <f t="shared" si="372"/>
        <v>0</v>
      </c>
      <c r="O640" s="2326">
        <f t="shared" si="372"/>
        <v>0</v>
      </c>
      <c r="P640" s="2326">
        <f t="shared" si="372"/>
        <v>0</v>
      </c>
      <c r="Q640" s="2326">
        <f t="shared" si="372"/>
        <v>0</v>
      </c>
      <c r="R640" s="257"/>
      <c r="S640" s="2273"/>
      <c r="T640" s="2273"/>
      <c r="U640" s="2273"/>
      <c r="V640" s="2273"/>
      <c r="W640" s="2273"/>
    </row>
    <row r="641" spans="2:343" ht="15.6" customHeight="1">
      <c r="B641" s="2250"/>
      <c r="C641" s="254"/>
      <c r="D641" s="254"/>
      <c r="E641" s="254"/>
      <c r="F641" s="254"/>
      <c r="H641" s="2327"/>
      <c r="I641" s="254"/>
      <c r="J641" s="254"/>
      <c r="K641" s="254"/>
      <c r="L641" s="254"/>
      <c r="M641" s="254"/>
      <c r="N641" s="254"/>
      <c r="O641" s="254"/>
      <c r="P641" s="254"/>
      <c r="Q641" s="254"/>
    </row>
    <row r="642" spans="2:343" ht="15.6" customHeight="1">
      <c r="B642" s="2322" t="s">
        <v>1275</v>
      </c>
      <c r="C642" s="254"/>
      <c r="D642" s="254"/>
      <c r="E642" s="254"/>
      <c r="F642" s="254"/>
      <c r="H642" s="2323">
        <v>21</v>
      </c>
      <c r="I642" s="2323">
        <v>22</v>
      </c>
      <c r="J642" s="2323">
        <v>23</v>
      </c>
      <c r="K642" s="2323">
        <v>24</v>
      </c>
      <c r="L642" s="2323">
        <v>25</v>
      </c>
      <c r="M642" s="2323">
        <v>26</v>
      </c>
      <c r="N642" s="2323">
        <v>27</v>
      </c>
      <c r="O642" s="2323">
        <v>28</v>
      </c>
      <c r="P642" s="2323">
        <v>29</v>
      </c>
      <c r="Q642" s="2323">
        <v>30</v>
      </c>
      <c r="R642" s="2324"/>
      <c r="S642" s="2275" t="s">
        <v>1282</v>
      </c>
      <c r="T642" s="253" t="str">
        <f>B642</f>
        <v>Included in Mgt Fee:</v>
      </c>
    </row>
    <row r="643" spans="2:343" ht="15.6" customHeight="1">
      <c r="B643" s="1106" t="s">
        <v>1276</v>
      </c>
      <c r="C643" s="1106"/>
      <c r="D643" s="1106"/>
      <c r="E643" s="1106"/>
      <c r="F643" s="1106"/>
      <c r="H643" s="2325">
        <f>'Part V-Revenues &amp; Expenses'!H205</f>
        <v>0</v>
      </c>
      <c r="I643" s="2325">
        <f>'Part V-Revenues &amp; Expenses'!I205</f>
        <v>0</v>
      </c>
      <c r="J643" s="2325">
        <f>'Part V-Revenues &amp; Expenses'!J205</f>
        <v>0</v>
      </c>
      <c r="K643" s="2325">
        <f>'Part V-Revenues &amp; Expenses'!K205</f>
        <v>0</v>
      </c>
      <c r="L643" s="2325">
        <f>'Part V-Revenues &amp; Expenses'!L205</f>
        <v>0</v>
      </c>
      <c r="M643" s="2325">
        <f>'Part V-Revenues &amp; Expenses'!M205</f>
        <v>0</v>
      </c>
      <c r="N643" s="2325">
        <f>'Part V-Revenues &amp; Expenses'!N205</f>
        <v>0</v>
      </c>
      <c r="O643" s="2325">
        <f>'Part V-Revenues &amp; Expenses'!O205</f>
        <v>0</v>
      </c>
      <c r="P643" s="2325">
        <f>'Part V-Revenues &amp; Expenses'!P205</f>
        <v>0</v>
      </c>
      <c r="Q643" s="2325">
        <f>'Part V-Revenues &amp; Expenses'!Q205</f>
        <v>0</v>
      </c>
      <c r="R643" s="2317"/>
      <c r="S643" s="2273"/>
      <c r="T643" s="2273"/>
      <c r="U643" s="2273"/>
      <c r="V643" s="2273"/>
      <c r="W643" s="2273"/>
    </row>
    <row r="644" spans="2:343" ht="15.6" customHeight="1">
      <c r="B644" s="1106" t="s">
        <v>450</v>
      </c>
      <c r="C644" s="1106">
        <f>'Part V-Revenues &amp; Expenses'!C206</f>
        <v>0</v>
      </c>
      <c r="D644" s="1106"/>
      <c r="E644" s="1106"/>
      <c r="F644" s="1106"/>
      <c r="H644" s="2325">
        <f>'Part V-Revenues &amp; Expenses'!H206</f>
        <v>0</v>
      </c>
      <c r="I644" s="2325">
        <f>'Part V-Revenues &amp; Expenses'!I206</f>
        <v>0</v>
      </c>
      <c r="J644" s="2325">
        <f>'Part V-Revenues &amp; Expenses'!J206</f>
        <v>0</v>
      </c>
      <c r="K644" s="2325">
        <f>'Part V-Revenues &amp; Expenses'!K206</f>
        <v>0</v>
      </c>
      <c r="L644" s="2325">
        <f>'Part V-Revenues &amp; Expenses'!L206</f>
        <v>0</v>
      </c>
      <c r="M644" s="2325">
        <f>'Part V-Revenues &amp; Expenses'!M206</f>
        <v>0</v>
      </c>
      <c r="N644" s="2325">
        <f>'Part V-Revenues &amp; Expenses'!N206</f>
        <v>0</v>
      </c>
      <c r="O644" s="2325">
        <f>'Part V-Revenues &amp; Expenses'!O206</f>
        <v>0</v>
      </c>
      <c r="P644" s="2325">
        <f>'Part V-Revenues &amp; Expenses'!P206</f>
        <v>0</v>
      </c>
      <c r="Q644" s="2325">
        <f>'Part V-Revenues &amp; Expenses'!Q206</f>
        <v>0</v>
      </c>
      <c r="R644" s="2317"/>
      <c r="S644" s="2273"/>
      <c r="T644" s="2273"/>
      <c r="U644" s="2273"/>
      <c r="V644" s="2273"/>
      <c r="W644" s="2273"/>
    </row>
    <row r="645" spans="2:343" ht="15.6" customHeight="1">
      <c r="B645" s="1106"/>
      <c r="C645" s="1106" t="s">
        <v>1277</v>
      </c>
      <c r="D645" s="1106"/>
      <c r="E645" s="1106"/>
      <c r="F645" s="1106"/>
      <c r="H645" s="2326">
        <f>SUM(H643:H644)</f>
        <v>0</v>
      </c>
      <c r="I645" s="2326">
        <f>SUM(I643:I644)</f>
        <v>0</v>
      </c>
      <c r="J645" s="2326">
        <f t="shared" ref="J645:Q645" si="373">SUM(J643:J644)</f>
        <v>0</v>
      </c>
      <c r="K645" s="2326">
        <f t="shared" si="373"/>
        <v>0</v>
      </c>
      <c r="L645" s="2326">
        <f t="shared" si="373"/>
        <v>0</v>
      </c>
      <c r="M645" s="2326">
        <f t="shared" si="373"/>
        <v>0</v>
      </c>
      <c r="N645" s="2326">
        <f t="shared" si="373"/>
        <v>0</v>
      </c>
      <c r="O645" s="2326">
        <f t="shared" si="373"/>
        <v>0</v>
      </c>
      <c r="P645" s="2326">
        <f t="shared" si="373"/>
        <v>0</v>
      </c>
      <c r="Q645" s="2326">
        <f t="shared" si="373"/>
        <v>0</v>
      </c>
      <c r="R645" s="257"/>
      <c r="S645" s="2273"/>
      <c r="T645" s="2273"/>
      <c r="U645" s="2273"/>
      <c r="V645" s="2273"/>
      <c r="W645" s="2273"/>
    </row>
    <row r="646" spans="2:343" ht="15.6" customHeight="1">
      <c r="B646" s="2322" t="s">
        <v>2267</v>
      </c>
      <c r="C646" s="254"/>
      <c r="D646" s="254"/>
      <c r="E646" s="254"/>
      <c r="F646" s="254"/>
      <c r="H646" s="2327"/>
      <c r="I646" s="254"/>
      <c r="J646" s="254"/>
      <c r="K646" s="254"/>
      <c r="L646" s="254"/>
      <c r="M646" s="254"/>
      <c r="N646" s="254"/>
      <c r="O646" s="254"/>
      <c r="P646" s="254"/>
      <c r="Q646" s="254"/>
      <c r="S646" s="253" t="str">
        <f>B646</f>
        <v>NOT Included in Mgt Fee:</v>
      </c>
    </row>
    <row r="647" spans="2:343" ht="15.6" customHeight="1">
      <c r="B647" s="1106" t="s">
        <v>1279</v>
      </c>
      <c r="C647" s="1106"/>
      <c r="D647" s="1106"/>
      <c r="E647" s="1106"/>
      <c r="F647" s="1106"/>
      <c r="H647" s="2325">
        <f>'Part V-Revenues &amp; Expenses'!H209</f>
        <v>0</v>
      </c>
      <c r="I647" s="2325">
        <f>'Part V-Revenues &amp; Expenses'!I209</f>
        <v>0</v>
      </c>
      <c r="J647" s="2325">
        <f>'Part V-Revenues &amp; Expenses'!J209</f>
        <v>0</v>
      </c>
      <c r="K647" s="2325">
        <f>'Part V-Revenues &amp; Expenses'!K209</f>
        <v>0</v>
      </c>
      <c r="L647" s="2325">
        <f>'Part V-Revenues &amp; Expenses'!L209</f>
        <v>0</v>
      </c>
      <c r="M647" s="2325">
        <f>'Part V-Revenues &amp; Expenses'!M209</f>
        <v>0</v>
      </c>
      <c r="N647" s="2325">
        <f>'Part V-Revenues &amp; Expenses'!N209</f>
        <v>0</v>
      </c>
      <c r="O647" s="2325">
        <f>'Part V-Revenues &amp; Expenses'!O209</f>
        <v>0</v>
      </c>
      <c r="P647" s="2325">
        <f>'Part V-Revenues &amp; Expenses'!P209</f>
        <v>0</v>
      </c>
      <c r="Q647" s="2325">
        <f>'Part V-Revenues &amp; Expenses'!Q209</f>
        <v>0</v>
      </c>
      <c r="R647" s="2317"/>
      <c r="S647" s="2273"/>
      <c r="T647" s="2273"/>
      <c r="U647" s="2273"/>
      <c r="V647" s="2273"/>
      <c r="W647" s="2273"/>
    </row>
    <row r="648" spans="2:343" ht="15.6" customHeight="1">
      <c r="B648" s="1106" t="s">
        <v>450</v>
      </c>
      <c r="C648" s="1106">
        <f>'Part V-Revenues &amp; Expenses'!C210</f>
        <v>0</v>
      </c>
      <c r="D648" s="1106"/>
      <c r="E648" s="1106"/>
      <c r="F648" s="1106"/>
      <c r="H648" s="2325">
        <f>'Part V-Revenues &amp; Expenses'!H210</f>
        <v>0</v>
      </c>
      <c r="I648" s="2325">
        <f>'Part V-Revenues &amp; Expenses'!I210</f>
        <v>0</v>
      </c>
      <c r="J648" s="2325">
        <f>'Part V-Revenues &amp; Expenses'!J210</f>
        <v>0</v>
      </c>
      <c r="K648" s="2325">
        <f>'Part V-Revenues &amp; Expenses'!K210</f>
        <v>0</v>
      </c>
      <c r="L648" s="2325">
        <f>'Part V-Revenues &amp; Expenses'!L210</f>
        <v>0</v>
      </c>
      <c r="M648" s="2325">
        <f>'Part V-Revenues &amp; Expenses'!M210</f>
        <v>0</v>
      </c>
      <c r="N648" s="2325">
        <f>'Part V-Revenues &amp; Expenses'!N210</f>
        <v>0</v>
      </c>
      <c r="O648" s="2325">
        <f>'Part V-Revenues &amp; Expenses'!O210</f>
        <v>0</v>
      </c>
      <c r="P648" s="2325">
        <f>'Part V-Revenues &amp; Expenses'!P210</f>
        <v>0</v>
      </c>
      <c r="Q648" s="2325">
        <f>'Part V-Revenues &amp; Expenses'!Q210</f>
        <v>0</v>
      </c>
      <c r="R648" s="2317"/>
      <c r="S648" s="2273"/>
      <c r="T648" s="2273"/>
      <c r="U648" s="2273"/>
      <c r="V648" s="2273"/>
      <c r="W648" s="2273"/>
    </row>
    <row r="649" spans="2:343" ht="15.6" customHeight="1">
      <c r="B649" s="1106"/>
      <c r="C649" s="1106" t="s">
        <v>2268</v>
      </c>
      <c r="D649" s="1106"/>
      <c r="E649" s="1106"/>
      <c r="F649" s="1106"/>
      <c r="H649" s="2326">
        <f>SUM(H647:H648)</f>
        <v>0</v>
      </c>
      <c r="I649" s="2326">
        <f>SUM(I647:I648)</f>
        <v>0</v>
      </c>
      <c r="J649" s="2326">
        <f t="shared" ref="J649:Q649" si="374">SUM(J647:J648)</f>
        <v>0</v>
      </c>
      <c r="K649" s="2326">
        <f t="shared" si="374"/>
        <v>0</v>
      </c>
      <c r="L649" s="2326">
        <f t="shared" si="374"/>
        <v>0</v>
      </c>
      <c r="M649" s="2326">
        <f t="shared" si="374"/>
        <v>0</v>
      </c>
      <c r="N649" s="2326">
        <f t="shared" si="374"/>
        <v>0</v>
      </c>
      <c r="O649" s="2326">
        <f t="shared" si="374"/>
        <v>0</v>
      </c>
      <c r="P649" s="2326">
        <f t="shared" si="374"/>
        <v>0</v>
      </c>
      <c r="Q649" s="2326">
        <f t="shared" si="374"/>
        <v>0</v>
      </c>
      <c r="R649" s="257"/>
      <c r="S649" s="2273"/>
      <c r="T649" s="2273"/>
      <c r="U649" s="2273"/>
      <c r="V649" s="2273"/>
      <c r="W649" s="2273"/>
    </row>
    <row r="650" spans="2:343" ht="15.6" customHeight="1">
      <c r="B650" s="2250"/>
      <c r="C650" s="254"/>
      <c r="D650" s="254"/>
      <c r="E650" s="254"/>
      <c r="F650" s="254"/>
      <c r="H650" s="2327"/>
      <c r="I650" s="254"/>
      <c r="J650" s="254"/>
      <c r="K650" s="254"/>
      <c r="L650" s="254"/>
      <c r="M650" s="254"/>
      <c r="N650" s="254"/>
      <c r="O650" s="254"/>
      <c r="P650" s="254"/>
      <c r="Q650" s="254"/>
      <c r="JW650" s="1318"/>
      <c r="KB650" s="1318"/>
      <c r="KG650" s="1318"/>
      <c r="KL650" s="1318"/>
      <c r="KM650" s="1318"/>
      <c r="KN650" s="1318"/>
      <c r="KO650" s="1318"/>
      <c r="KP650" s="1318"/>
      <c r="KQ650" s="1318"/>
      <c r="KR650" s="1318"/>
      <c r="KS650" s="1318"/>
      <c r="KT650" s="1318"/>
      <c r="KU650" s="1318"/>
      <c r="KV650" s="1318"/>
      <c r="KW650" s="1318"/>
      <c r="KX650" s="1318"/>
      <c r="KY650" s="1318"/>
      <c r="KZ650" s="1318"/>
      <c r="LA650" s="1318"/>
      <c r="LB650" s="1318"/>
      <c r="LC650" s="1318"/>
      <c r="LD650" s="1318"/>
      <c r="LE650" s="1318"/>
      <c r="LF650" s="1318"/>
      <c r="LG650" s="1318"/>
      <c r="LN650" s="255"/>
      <c r="MD650" s="255"/>
      <c r="ME650" s="255"/>
    </row>
    <row r="651" spans="2:343" ht="15.6" customHeight="1">
      <c r="B651" s="2322" t="s">
        <v>1275</v>
      </c>
      <c r="C651" s="254"/>
      <c r="D651" s="254"/>
      <c r="E651" s="254"/>
      <c r="F651" s="254"/>
      <c r="H651" s="2323">
        <v>31</v>
      </c>
      <c r="I651" s="2323">
        <v>32</v>
      </c>
      <c r="J651" s="2323">
        <v>33</v>
      </c>
      <c r="K651" s="2323">
        <v>34</v>
      </c>
      <c r="L651" s="2323">
        <v>35</v>
      </c>
      <c r="M651" s="254"/>
      <c r="N651" s="254"/>
      <c r="O651" s="254"/>
      <c r="P651" s="254"/>
      <c r="Q651" s="254"/>
      <c r="S651" s="2275" t="s">
        <v>1282</v>
      </c>
      <c r="T651" s="253" t="str">
        <f>B651</f>
        <v>Included in Mgt Fee:</v>
      </c>
      <c r="JW651" s="1318"/>
      <c r="KB651" s="1318"/>
      <c r="KG651" s="1318"/>
      <c r="KL651" s="1318"/>
      <c r="KM651" s="1318"/>
      <c r="KN651" s="1318"/>
      <c r="KO651" s="1318"/>
      <c r="KP651" s="1318"/>
      <c r="KQ651" s="1318"/>
      <c r="KR651" s="1318"/>
      <c r="KS651" s="1318"/>
      <c r="KT651" s="1318"/>
      <c r="KU651" s="1318"/>
      <c r="KV651" s="1318"/>
      <c r="KW651" s="1318"/>
      <c r="KX651" s="1318"/>
      <c r="KY651" s="1318"/>
      <c r="KZ651" s="1318"/>
      <c r="LA651" s="1318"/>
      <c r="LB651" s="1318"/>
      <c r="LC651" s="1318"/>
      <c r="LD651" s="1318"/>
      <c r="LE651" s="1318"/>
      <c r="LF651" s="1318"/>
      <c r="LG651" s="1318"/>
      <c r="LN651" s="255"/>
      <c r="MD651" s="255"/>
      <c r="ME651" s="255"/>
    </row>
    <row r="652" spans="2:343" ht="15.6" customHeight="1">
      <c r="B652" s="1106" t="s">
        <v>1276</v>
      </c>
      <c r="C652" s="1106"/>
      <c r="D652" s="1106"/>
      <c r="E652" s="1106"/>
      <c r="F652" s="1106"/>
      <c r="H652" s="2325">
        <f>'Part V-Revenues &amp; Expenses'!H214</f>
        <v>0</v>
      </c>
      <c r="I652" s="2325">
        <f>'Part V-Revenues &amp; Expenses'!I214</f>
        <v>0</v>
      </c>
      <c r="J652" s="2325">
        <f>'Part V-Revenues &amp; Expenses'!J214</f>
        <v>0</v>
      </c>
      <c r="K652" s="2325">
        <f>'Part V-Revenues &amp; Expenses'!K214</f>
        <v>0</v>
      </c>
      <c r="L652" s="2325">
        <f>'Part V-Revenues &amp; Expenses'!L214</f>
        <v>0</v>
      </c>
      <c r="M652" s="254"/>
      <c r="N652" s="254"/>
      <c r="O652" s="254"/>
      <c r="P652" s="254"/>
      <c r="Q652" s="254"/>
      <c r="S652" s="2273"/>
      <c r="T652" s="2273"/>
      <c r="U652" s="2273"/>
      <c r="V652" s="2273"/>
      <c r="W652" s="2273"/>
      <c r="JW652" s="1318"/>
      <c r="KB652" s="1318"/>
      <c r="KG652" s="1318"/>
      <c r="KL652" s="1318"/>
      <c r="KM652" s="1318"/>
      <c r="KN652" s="1318"/>
      <c r="KO652" s="1318"/>
      <c r="KP652" s="1318"/>
      <c r="KQ652" s="1318"/>
      <c r="KR652" s="1318"/>
      <c r="KS652" s="1318"/>
      <c r="KT652" s="1318"/>
      <c r="KU652" s="1318"/>
      <c r="KV652" s="1318"/>
      <c r="KW652" s="1318"/>
      <c r="KX652" s="1318"/>
      <c r="KY652" s="1318"/>
      <c r="KZ652" s="1318"/>
      <c r="LA652" s="1318"/>
      <c r="LB652" s="1318"/>
      <c r="LC652" s="1318"/>
      <c r="LD652" s="1318"/>
      <c r="LE652" s="1318"/>
      <c r="LF652" s="1318"/>
      <c r="LG652" s="1318"/>
      <c r="LN652" s="255"/>
      <c r="MD652" s="255"/>
      <c r="ME652" s="255"/>
    </row>
    <row r="653" spans="2:343" ht="15.6" customHeight="1">
      <c r="B653" s="1106" t="s">
        <v>450</v>
      </c>
      <c r="C653" s="1106">
        <f>'Part V-Revenues &amp; Expenses'!C215</f>
        <v>0</v>
      </c>
      <c r="D653" s="1106"/>
      <c r="E653" s="1106"/>
      <c r="F653" s="1106"/>
      <c r="H653" s="2325">
        <f>'Part V-Revenues &amp; Expenses'!H215</f>
        <v>0</v>
      </c>
      <c r="I653" s="2325">
        <f>'Part V-Revenues &amp; Expenses'!I215</f>
        <v>0</v>
      </c>
      <c r="J653" s="2325">
        <f>'Part V-Revenues &amp; Expenses'!J215</f>
        <v>0</v>
      </c>
      <c r="K653" s="2325">
        <f>'Part V-Revenues &amp; Expenses'!K215</f>
        <v>0</v>
      </c>
      <c r="L653" s="2325">
        <f>'Part V-Revenues &amp; Expenses'!L215</f>
        <v>0</v>
      </c>
      <c r="M653" s="254"/>
      <c r="N653" s="254"/>
      <c r="O653" s="254"/>
      <c r="P653" s="254"/>
      <c r="Q653" s="254"/>
      <c r="S653" s="2273"/>
      <c r="T653" s="2273"/>
      <c r="U653" s="2273"/>
      <c r="V653" s="2273"/>
      <c r="W653" s="2273"/>
      <c r="JW653" s="1318"/>
      <c r="KB653" s="1318"/>
      <c r="KG653" s="1318"/>
      <c r="KL653" s="1318"/>
      <c r="KM653" s="1318"/>
      <c r="KN653" s="1318"/>
      <c r="KO653" s="1318"/>
      <c r="KP653" s="1318"/>
      <c r="KQ653" s="1318"/>
      <c r="KR653" s="1318"/>
      <c r="KS653" s="1318"/>
      <c r="KT653" s="1318"/>
      <c r="KU653" s="1318"/>
      <c r="KV653" s="1318"/>
      <c r="KW653" s="1318"/>
      <c r="KX653" s="1318"/>
      <c r="KY653" s="1318"/>
      <c r="KZ653" s="1318"/>
      <c r="LA653" s="1318"/>
      <c r="LB653" s="1318"/>
      <c r="LC653" s="1318"/>
      <c r="LD653" s="1318"/>
      <c r="LE653" s="1318"/>
      <c r="LF653" s="1318"/>
      <c r="LG653" s="1318"/>
      <c r="LN653" s="255"/>
      <c r="MD653" s="255"/>
      <c r="ME653" s="255"/>
    </row>
    <row r="654" spans="2:343" ht="15.6" customHeight="1">
      <c r="B654" s="1106"/>
      <c r="C654" s="1106" t="s">
        <v>1277</v>
      </c>
      <c r="D654" s="1106"/>
      <c r="E654" s="1106"/>
      <c r="F654" s="1106"/>
      <c r="H654" s="2326">
        <f>SUM(H652:H653)</f>
        <v>0</v>
      </c>
      <c r="I654" s="2326">
        <f>SUM(I652:I653)</f>
        <v>0</v>
      </c>
      <c r="J654" s="2326">
        <f>SUM(J652:J653)</f>
        <v>0</v>
      </c>
      <c r="K654" s="2326">
        <f>SUM(K652:K653)</f>
        <v>0</v>
      </c>
      <c r="L654" s="2326">
        <f>SUM(L652:L653)</f>
        <v>0</v>
      </c>
      <c r="M654" s="254"/>
      <c r="N654" s="254"/>
      <c r="O654" s="254"/>
      <c r="P654" s="254"/>
      <c r="Q654" s="254"/>
      <c r="S654" s="2273"/>
      <c r="T654" s="2273"/>
      <c r="U654" s="2273"/>
      <c r="V654" s="2273"/>
      <c r="W654" s="2273"/>
      <c r="JW654" s="1318"/>
      <c r="KB654" s="1318"/>
      <c r="KG654" s="1318"/>
      <c r="KL654" s="1318"/>
      <c r="KM654" s="1318"/>
      <c r="KN654" s="1318"/>
      <c r="KO654" s="1318"/>
      <c r="KP654" s="1318"/>
      <c r="KQ654" s="1318"/>
      <c r="KR654" s="1318"/>
      <c r="KS654" s="1318"/>
      <c r="KT654" s="1318"/>
      <c r="KU654" s="1318"/>
      <c r="KV654" s="1318"/>
      <c r="KW654" s="1318"/>
      <c r="KX654" s="1318"/>
      <c r="KY654" s="1318"/>
      <c r="KZ654" s="1318"/>
      <c r="LA654" s="1318"/>
      <c r="LB654" s="1318"/>
      <c r="LC654" s="1318"/>
      <c r="LD654" s="1318"/>
      <c r="LE654" s="1318"/>
      <c r="LF654" s="1318"/>
      <c r="LG654" s="1318"/>
      <c r="LN654" s="255"/>
      <c r="MD654" s="255"/>
      <c r="ME654" s="255"/>
    </row>
    <row r="655" spans="2:343" ht="15.6" customHeight="1">
      <c r="B655" s="2322" t="s">
        <v>2267</v>
      </c>
      <c r="C655" s="254"/>
      <c r="D655" s="254"/>
      <c r="E655" s="254"/>
      <c r="F655" s="254"/>
      <c r="H655" s="2327"/>
      <c r="I655" s="254"/>
      <c r="J655" s="254"/>
      <c r="K655" s="254"/>
      <c r="L655" s="254"/>
      <c r="M655" s="254"/>
      <c r="N655" s="254"/>
      <c r="O655" s="254"/>
      <c r="P655" s="254"/>
      <c r="Q655" s="254"/>
      <c r="S655" s="253" t="str">
        <f>B655</f>
        <v>NOT Included in Mgt Fee:</v>
      </c>
      <c r="JW655" s="1318"/>
      <c r="KB655" s="1318"/>
      <c r="KG655" s="1318"/>
      <c r="KL655" s="1318"/>
      <c r="KM655" s="1318"/>
      <c r="KN655" s="1318"/>
      <c r="KO655" s="1318"/>
      <c r="KP655" s="1318"/>
      <c r="KQ655" s="1318"/>
      <c r="KR655" s="1318"/>
      <c r="KS655" s="1318"/>
      <c r="KT655" s="1318"/>
      <c r="KU655" s="1318"/>
      <c r="KV655" s="1318"/>
      <c r="KW655" s="1318"/>
      <c r="KX655" s="1318"/>
      <c r="KY655" s="1318"/>
      <c r="KZ655" s="1318"/>
      <c r="LA655" s="1318"/>
      <c r="LB655" s="1318"/>
      <c r="LC655" s="1318"/>
      <c r="LD655" s="1318"/>
      <c r="LE655" s="1318"/>
      <c r="LF655" s="1318"/>
      <c r="LG655" s="1318"/>
      <c r="LN655" s="255"/>
      <c r="MD655" s="255"/>
      <c r="ME655" s="255"/>
    </row>
    <row r="656" spans="2:343" ht="15.6" customHeight="1">
      <c r="B656" s="1106" t="s">
        <v>1279</v>
      </c>
      <c r="C656" s="1106"/>
      <c r="D656" s="1106"/>
      <c r="E656" s="1106"/>
      <c r="F656" s="1106"/>
      <c r="H656" s="2325">
        <f>'Part V-Revenues &amp; Expenses'!H218</f>
        <v>0</v>
      </c>
      <c r="I656" s="2325">
        <f>'Part V-Revenues &amp; Expenses'!I218</f>
        <v>0</v>
      </c>
      <c r="J656" s="2325">
        <f>'Part V-Revenues &amp; Expenses'!J218</f>
        <v>0</v>
      </c>
      <c r="K656" s="2325">
        <f>'Part V-Revenues &amp; Expenses'!K218</f>
        <v>0</v>
      </c>
      <c r="L656" s="2325">
        <f>'Part V-Revenues &amp; Expenses'!L218</f>
        <v>0</v>
      </c>
      <c r="M656" s="254"/>
      <c r="N656" s="254"/>
      <c r="O656" s="254"/>
      <c r="P656" s="254"/>
      <c r="Q656" s="254"/>
      <c r="S656" s="2273"/>
      <c r="T656" s="2273"/>
      <c r="U656" s="2273"/>
      <c r="V656" s="2273"/>
      <c r="W656" s="2273"/>
      <c r="JW656" s="1318"/>
      <c r="KB656" s="1318"/>
      <c r="KG656" s="1318"/>
      <c r="KL656" s="1318"/>
      <c r="KM656" s="1318"/>
      <c r="KN656" s="1318"/>
      <c r="KO656" s="1318"/>
      <c r="KP656" s="1318"/>
      <c r="KQ656" s="1318"/>
      <c r="KR656" s="1318"/>
      <c r="KS656" s="1318"/>
      <c r="KT656" s="1318"/>
      <c r="KU656" s="1318"/>
      <c r="KV656" s="1318"/>
      <c r="KW656" s="1318"/>
      <c r="KX656" s="1318"/>
      <c r="KY656" s="1318"/>
      <c r="KZ656" s="1318"/>
      <c r="LA656" s="1318"/>
      <c r="LB656" s="1318"/>
      <c r="LC656" s="1318"/>
      <c r="LD656" s="1318"/>
      <c r="LE656" s="1318"/>
      <c r="LF656" s="1318"/>
      <c r="LG656" s="1318"/>
      <c r="LN656" s="255"/>
      <c r="MD656" s="255"/>
      <c r="ME656" s="255"/>
    </row>
    <row r="657" spans="1:380" ht="15.6" customHeight="1">
      <c r="B657" s="1106" t="s">
        <v>450</v>
      </c>
      <c r="C657" s="1106">
        <f>'Part V-Revenues &amp; Expenses'!C219</f>
        <v>0</v>
      </c>
      <c r="D657" s="1106"/>
      <c r="E657" s="1106"/>
      <c r="F657" s="1106"/>
      <c r="H657" s="2325">
        <f>'Part V-Revenues &amp; Expenses'!H219</f>
        <v>0</v>
      </c>
      <c r="I657" s="2325">
        <f>'Part V-Revenues &amp; Expenses'!I219</f>
        <v>0</v>
      </c>
      <c r="J657" s="2325">
        <f>'Part V-Revenues &amp; Expenses'!J219</f>
        <v>0</v>
      </c>
      <c r="K657" s="2325">
        <f>'Part V-Revenues &amp; Expenses'!K219</f>
        <v>0</v>
      </c>
      <c r="L657" s="2325">
        <f>'Part V-Revenues &amp; Expenses'!L219</f>
        <v>0</v>
      </c>
      <c r="M657" s="254"/>
      <c r="N657" s="254"/>
      <c r="O657" s="254"/>
      <c r="P657" s="254"/>
      <c r="Q657" s="254"/>
      <c r="S657" s="2273"/>
      <c r="T657" s="2273"/>
      <c r="U657" s="2273"/>
      <c r="V657" s="2273"/>
      <c r="W657" s="2273"/>
      <c r="JW657" s="1318"/>
      <c r="KB657" s="1318"/>
      <c r="KG657" s="1318"/>
      <c r="KL657" s="1318"/>
      <c r="KM657" s="1318"/>
      <c r="KN657" s="1318"/>
      <c r="KO657" s="1318"/>
      <c r="KP657" s="1318"/>
      <c r="KQ657" s="1318"/>
      <c r="KR657" s="1318"/>
      <c r="KS657" s="1318"/>
      <c r="KT657" s="1318"/>
      <c r="KU657" s="1318"/>
      <c r="KV657" s="1318"/>
      <c r="KW657" s="1318"/>
      <c r="KX657" s="1318"/>
      <c r="KY657" s="1318"/>
      <c r="KZ657" s="1318"/>
      <c r="LA657" s="1318"/>
      <c r="LB657" s="1318"/>
      <c r="LC657" s="1318"/>
      <c r="LD657" s="1318"/>
      <c r="LE657" s="1318"/>
      <c r="LF657" s="1318"/>
      <c r="LG657" s="1318"/>
      <c r="LN657" s="255"/>
      <c r="MD657" s="255"/>
      <c r="ME657" s="255"/>
    </row>
    <row r="658" spans="1:380" ht="15.6" customHeight="1">
      <c r="B658" s="1106"/>
      <c r="C658" s="1106" t="s">
        <v>2268</v>
      </c>
      <c r="D658" s="1106"/>
      <c r="E658" s="1106"/>
      <c r="F658" s="1106"/>
      <c r="H658" s="2326">
        <f>SUM(H656:H657)</f>
        <v>0</v>
      </c>
      <c r="I658" s="2326">
        <f>SUM(I656:I657)</f>
        <v>0</v>
      </c>
      <c r="J658" s="2326">
        <f>SUM(J656:J657)</f>
        <v>0</v>
      </c>
      <c r="K658" s="2326">
        <f>SUM(K656:K657)</f>
        <v>0</v>
      </c>
      <c r="L658" s="2326">
        <f>SUM(L656:L657)</f>
        <v>0</v>
      </c>
      <c r="M658" s="254"/>
      <c r="N658" s="254"/>
      <c r="O658" s="254"/>
      <c r="P658" s="254"/>
      <c r="Q658" s="254"/>
      <c r="S658" s="2273"/>
      <c r="T658" s="2273"/>
      <c r="U658" s="2273"/>
      <c r="V658" s="2273"/>
      <c r="W658" s="2273"/>
      <c r="JW658" s="1318"/>
      <c r="KB658" s="1318"/>
      <c r="KG658" s="1318"/>
      <c r="KL658" s="1318"/>
      <c r="KM658" s="1318"/>
      <c r="KN658" s="1318"/>
      <c r="KO658" s="1318"/>
      <c r="KP658" s="1318"/>
      <c r="KQ658" s="1318"/>
      <c r="KR658" s="1318"/>
      <c r="KS658" s="1318"/>
      <c r="KT658" s="1318"/>
      <c r="KU658" s="1318"/>
      <c r="KV658" s="1318"/>
      <c r="KW658" s="1318"/>
      <c r="KX658" s="1318"/>
      <c r="KY658" s="1318"/>
      <c r="KZ658" s="1318"/>
      <c r="LA658" s="1318"/>
      <c r="LB658" s="1318"/>
      <c r="LC658" s="1318"/>
      <c r="LD658" s="1318"/>
      <c r="LE658" s="1318"/>
      <c r="LF658" s="1318"/>
      <c r="LG658" s="1318"/>
      <c r="LN658" s="255"/>
      <c r="MD658" s="255"/>
      <c r="ME658" s="255"/>
    </row>
    <row r="659" spans="1:380" ht="2.25" customHeight="1">
      <c r="B659" s="255"/>
      <c r="F659" s="2328"/>
      <c r="G659" s="2328"/>
      <c r="JW659" s="1318"/>
      <c r="KB659" s="1318"/>
      <c r="KG659" s="1318"/>
      <c r="KL659" s="1318"/>
      <c r="KM659" s="1318"/>
      <c r="KN659" s="1318"/>
      <c r="KO659" s="1318"/>
      <c r="KP659" s="1318"/>
      <c r="KQ659" s="1318"/>
      <c r="KR659" s="1318"/>
      <c r="KS659" s="1318"/>
      <c r="KT659" s="1318"/>
      <c r="KU659" s="1318"/>
      <c r="KV659" s="1318"/>
      <c r="KW659" s="1318"/>
      <c r="KX659" s="1318"/>
      <c r="KY659" s="1318"/>
      <c r="KZ659" s="1318"/>
      <c r="LA659" s="1318"/>
      <c r="LB659" s="1318"/>
      <c r="LC659" s="1318"/>
      <c r="LD659" s="1318"/>
      <c r="LE659" s="1318"/>
      <c r="LF659" s="1318"/>
      <c r="LG659" s="1318"/>
      <c r="LN659" s="255"/>
      <c r="MD659" s="255"/>
      <c r="ME659" s="255"/>
    </row>
    <row r="660" spans="1:380" s="253" customFormat="1" ht="11.25" customHeight="1">
      <c r="A660" s="1317" t="s">
        <v>68</v>
      </c>
      <c r="B660" s="2329" t="s">
        <v>1283</v>
      </c>
      <c r="C660" s="2329"/>
      <c r="D660" s="2329"/>
      <c r="E660" s="2329"/>
      <c r="F660" s="2329"/>
      <c r="G660" s="2329"/>
      <c r="H660" s="2329"/>
      <c r="I660" s="2329"/>
      <c r="J660" s="2329"/>
      <c r="K660" s="2329"/>
      <c r="L660" s="2329"/>
      <c r="N660" s="2330"/>
      <c r="O660" s="1454"/>
      <c r="P660" s="1454"/>
      <c r="S660" s="1317" t="str">
        <f>B660</f>
        <v>ANNUAL OPERATING EXPENSE BUDGET</v>
      </c>
      <c r="T660" s="251"/>
      <c r="X660" s="251"/>
      <c r="AC660" s="251"/>
      <c r="AH660" s="251"/>
      <c r="AM660" s="251"/>
      <c r="JW660" s="1454"/>
      <c r="KB660" s="1454"/>
      <c r="KG660" s="1454"/>
      <c r="KL660" s="1454"/>
      <c r="KM660" s="1454"/>
      <c r="KN660" s="1454"/>
      <c r="KO660" s="1454"/>
      <c r="KP660" s="1454"/>
      <c r="KQ660" s="1454"/>
      <c r="KR660" s="1454"/>
      <c r="KS660" s="1454"/>
      <c r="KT660" s="1454"/>
      <c r="KU660" s="1454"/>
      <c r="KV660" s="1454"/>
      <c r="KW660" s="1454"/>
      <c r="KX660" s="1454"/>
      <c r="KY660" s="1454"/>
      <c r="KZ660" s="1454"/>
      <c r="LA660" s="1454"/>
      <c r="LB660" s="1454"/>
      <c r="LC660" s="1454"/>
      <c r="LD660" s="1454"/>
      <c r="LE660" s="1454"/>
      <c r="LF660" s="1454"/>
      <c r="LG660" s="1454"/>
      <c r="LN660" s="1317"/>
      <c r="MD660" s="1317"/>
      <c r="ME660" s="1317"/>
      <c r="NP660" s="251"/>
    </row>
    <row r="661" spans="1:380" s="253" customFormat="1" ht="11.25" customHeight="1">
      <c r="B661" s="2329"/>
      <c r="C661" s="2329"/>
      <c r="D661" s="2329"/>
      <c r="E661" s="2329"/>
      <c r="F661" s="2329"/>
      <c r="G661" s="2329"/>
      <c r="H661" s="2329"/>
      <c r="I661" s="2329"/>
      <c r="J661" s="2329"/>
      <c r="K661" s="2329"/>
      <c r="S661" s="1440" t="s">
        <v>814</v>
      </c>
      <c r="T661" s="1440"/>
      <c r="JW661" s="1454"/>
      <c r="KB661" s="1454"/>
      <c r="KG661" s="1454"/>
      <c r="KL661" s="1454"/>
      <c r="KM661" s="1454"/>
      <c r="KN661" s="1454"/>
      <c r="KO661" s="1454"/>
      <c r="KP661" s="1454"/>
      <c r="KQ661" s="1454"/>
      <c r="KR661" s="1454"/>
      <c r="KS661" s="1454"/>
      <c r="KT661" s="1454"/>
      <c r="KU661" s="1454"/>
      <c r="KV661" s="1454"/>
      <c r="KW661" s="1454"/>
      <c r="KX661" s="1454"/>
      <c r="KY661" s="1454"/>
      <c r="KZ661" s="1454"/>
      <c r="LA661" s="1454"/>
      <c r="LB661" s="1454"/>
      <c r="LC661" s="1454"/>
      <c r="LD661" s="1454"/>
      <c r="LE661" s="1454"/>
      <c r="LF661" s="1454"/>
      <c r="LG661" s="1454"/>
      <c r="LN661" s="1317"/>
      <c r="MD661" s="1317"/>
      <c r="ME661" s="1317"/>
      <c r="NP661" s="251"/>
    </row>
    <row r="662" spans="1:380" s="253" customFormat="1" ht="16.5" customHeight="1">
      <c r="B662" s="1317" t="s">
        <v>1284</v>
      </c>
      <c r="F662" s="251"/>
      <c r="G662" s="251"/>
      <c r="I662" s="1317" t="s">
        <v>1285</v>
      </c>
      <c r="O662" s="1317" t="s">
        <v>1286</v>
      </c>
      <c r="Q662" s="2331">
        <f>IF(OR('Part VI-Pro Forma'!$B$22 = "Choose Mgt Fee",'Part VI-Pro Forma'!$B$22 = "Choose One!"), 0,- 'Part VI-Pro Forma'!$B$22)</f>
        <v>52058</v>
      </c>
      <c r="S662" s="2273"/>
      <c r="T662" s="2273"/>
      <c r="U662" s="2273"/>
      <c r="V662" s="2273"/>
      <c r="W662" s="2273"/>
      <c r="X662" s="251"/>
      <c r="AC662" s="251"/>
      <c r="AH662" s="251"/>
      <c r="AM662" s="251"/>
      <c r="JW662" s="1454"/>
      <c r="KB662" s="1454"/>
      <c r="KG662" s="1454"/>
      <c r="KL662" s="1454"/>
      <c r="KM662" s="1454"/>
      <c r="KN662" s="1454"/>
      <c r="KO662" s="1454"/>
      <c r="KP662" s="1454"/>
      <c r="KQ662" s="1454"/>
      <c r="KR662" s="1454"/>
      <c r="KS662" s="1454"/>
      <c r="KT662" s="1454"/>
      <c r="KU662" s="1454"/>
      <c r="KV662" s="1454"/>
      <c r="KW662" s="1454"/>
      <c r="KX662" s="1454"/>
      <c r="KY662" s="1454"/>
      <c r="KZ662" s="1454"/>
      <c r="LA662" s="1454"/>
      <c r="LB662" s="1454"/>
      <c r="LC662" s="1454"/>
      <c r="LD662" s="1454"/>
      <c r="LE662" s="1454"/>
      <c r="LF662" s="1454"/>
      <c r="LG662" s="1454"/>
      <c r="LN662" s="1317"/>
      <c r="MD662" s="1317"/>
      <c r="ME662" s="1317"/>
      <c r="NP662" s="251"/>
    </row>
    <row r="663" spans="1:380" s="253" customFormat="1" ht="16.5" customHeight="1">
      <c r="B663" s="253" t="s">
        <v>1287</v>
      </c>
      <c r="F663" s="2312">
        <f>'Part V-Revenues &amp; Expenses'!F225</f>
        <v>80000</v>
      </c>
      <c r="G663" s="2312"/>
      <c r="I663" s="253" t="s">
        <v>1288</v>
      </c>
      <c r="L663" s="2312">
        <f>'Part V-Revenues &amp; Expenses'!L225</f>
        <v>0</v>
      </c>
      <c r="M663" s="2312"/>
      <c r="O663" s="2332">
        <f>+Q662/(P505*0.93)</f>
        <v>965.10938079347409</v>
      </c>
      <c r="P663" s="2291" t="s">
        <v>1289</v>
      </c>
      <c r="R663" s="2317"/>
      <c r="S663" s="2273"/>
      <c r="T663" s="2273"/>
      <c r="U663" s="2273"/>
      <c r="V663" s="2273"/>
      <c r="W663" s="2273"/>
      <c r="X663" s="251"/>
      <c r="AC663" s="251"/>
      <c r="AH663" s="251"/>
      <c r="AM663" s="251"/>
      <c r="JW663" s="1454"/>
      <c r="KB663" s="1454"/>
      <c r="KG663" s="1454"/>
      <c r="KL663" s="1454"/>
      <c r="KM663" s="1454"/>
      <c r="KN663" s="1454"/>
      <c r="KO663" s="1454"/>
      <c r="KP663" s="1454"/>
      <c r="KQ663" s="1454"/>
      <c r="KR663" s="1454"/>
      <c r="KS663" s="1454"/>
      <c r="KT663" s="1454"/>
      <c r="KU663" s="1454"/>
      <c r="KV663" s="1454"/>
      <c r="KW663" s="1454"/>
      <c r="KX663" s="1454"/>
      <c r="KY663" s="1454"/>
      <c r="KZ663" s="1454"/>
      <c r="LA663" s="1454"/>
      <c r="LB663" s="1454"/>
      <c r="LC663" s="1454"/>
      <c r="LD663" s="1454"/>
      <c r="LE663" s="1454"/>
      <c r="LF663" s="1454"/>
      <c r="LG663" s="1454"/>
      <c r="LN663" s="1317"/>
      <c r="MD663" s="1317"/>
      <c r="ME663" s="1317"/>
      <c r="NP663" s="251"/>
    </row>
    <row r="664" spans="1:380" s="253" customFormat="1" ht="16.5" customHeight="1">
      <c r="B664" s="253" t="s">
        <v>1290</v>
      </c>
      <c r="F664" s="2312">
        <f>'Part V-Revenues &amp; Expenses'!F226</f>
        <v>92800</v>
      </c>
      <c r="G664" s="2312"/>
      <c r="I664" s="253" t="s">
        <v>1291</v>
      </c>
      <c r="L664" s="2312">
        <f>'Part V-Revenues &amp; Expenses'!L226</f>
        <v>0</v>
      </c>
      <c r="M664" s="2312"/>
      <c r="O664" s="2332">
        <f>+Q662/(P505*0.93)/12</f>
        <v>80.425781732789503</v>
      </c>
      <c r="P664" s="2291" t="s">
        <v>1292</v>
      </c>
      <c r="R664" s="2317"/>
      <c r="S664" s="2273"/>
      <c r="T664" s="2273"/>
      <c r="U664" s="2273"/>
      <c r="V664" s="2273"/>
      <c r="W664" s="2273"/>
      <c r="X664" s="251"/>
      <c r="AC664" s="251"/>
      <c r="AH664" s="251"/>
      <c r="AM664" s="251"/>
      <c r="JW664" s="1454"/>
      <c r="KB664" s="1454"/>
      <c r="KG664" s="1454"/>
      <c r="KL664" s="1454"/>
      <c r="KM664" s="1454"/>
      <c r="KN664" s="1454"/>
      <c r="KO664" s="1454"/>
      <c r="KP664" s="1454"/>
      <c r="KQ664" s="1454"/>
      <c r="KR664" s="1454"/>
      <c r="KS664" s="1454"/>
      <c r="KT664" s="1454"/>
      <c r="KU664" s="1454"/>
      <c r="KV664" s="1454"/>
      <c r="KW664" s="1454"/>
      <c r="KX664" s="1454"/>
      <c r="KY664" s="1454"/>
      <c r="KZ664" s="1454"/>
      <c r="LA664" s="1454"/>
      <c r="LB664" s="1454"/>
      <c r="LC664" s="1454"/>
      <c r="LD664" s="1454"/>
      <c r="LE664" s="1454"/>
      <c r="LF664" s="1454"/>
      <c r="LG664" s="1454"/>
      <c r="LN664" s="1317"/>
      <c r="MD664" s="1317"/>
      <c r="ME664" s="1317"/>
      <c r="NP664" s="251"/>
    </row>
    <row r="665" spans="1:380" s="253" customFormat="1" ht="16.5" customHeight="1">
      <c r="B665" s="253" t="s">
        <v>1293</v>
      </c>
      <c r="F665" s="2312">
        <f>'Part V-Revenues &amp; Expenses'!F227</f>
        <v>0</v>
      </c>
      <c r="G665" s="2312"/>
      <c r="K665" s="2333" t="s">
        <v>548</v>
      </c>
      <c r="L665" s="2312">
        <f>SUM(L663:M664)</f>
        <v>0</v>
      </c>
      <c r="M665" s="2312"/>
      <c r="O665" s="256" t="s">
        <v>1294</v>
      </c>
      <c r="P665" s="256"/>
      <c r="Q665" s="256"/>
      <c r="R665" s="2317"/>
      <c r="S665" s="2273"/>
      <c r="T665" s="2273"/>
      <c r="U665" s="2273"/>
      <c r="V665" s="2273"/>
      <c r="W665" s="2273"/>
      <c r="X665" s="251"/>
      <c r="AC665" s="251"/>
      <c r="AH665" s="251"/>
      <c r="AM665" s="251"/>
      <c r="JW665" s="1454"/>
      <c r="KB665" s="1454"/>
      <c r="KG665" s="1454"/>
      <c r="KL665" s="1454"/>
      <c r="KM665" s="1454"/>
      <c r="KN665" s="1454"/>
      <c r="KO665" s="1454"/>
      <c r="KP665" s="1454"/>
      <c r="KQ665" s="1454"/>
      <c r="KR665" s="1454"/>
      <c r="KS665" s="1454"/>
      <c r="KT665" s="1454"/>
      <c r="KU665" s="1454"/>
      <c r="KV665" s="1454"/>
      <c r="KW665" s="1454"/>
      <c r="KX665" s="1454"/>
      <c r="KY665" s="1454"/>
      <c r="KZ665" s="1454"/>
      <c r="LA665" s="1454"/>
      <c r="LB665" s="1454"/>
      <c r="LC665" s="1454"/>
      <c r="LD665" s="1454"/>
      <c r="LE665" s="1454"/>
      <c r="LF665" s="1454"/>
      <c r="LG665" s="1454"/>
      <c r="LN665" s="1317"/>
      <c r="MD665" s="1317"/>
      <c r="ME665" s="1317"/>
      <c r="NP665" s="251"/>
    </row>
    <row r="666" spans="1:380" s="253" customFormat="1" ht="16.5" customHeight="1">
      <c r="B666" s="2334" t="s">
        <v>1295</v>
      </c>
      <c r="F666" s="2312">
        <f>'Part V-Revenues &amp; Expenses'!F228</f>
        <v>10000</v>
      </c>
      <c r="G666" s="2312"/>
      <c r="R666" s="2317"/>
      <c r="S666" s="2273"/>
      <c r="T666" s="2273"/>
      <c r="U666" s="2273"/>
      <c r="V666" s="2273"/>
      <c r="W666" s="2273"/>
      <c r="X666" s="251"/>
      <c r="AC666" s="251"/>
      <c r="AH666" s="251"/>
      <c r="AM666" s="251"/>
      <c r="JW666" s="1454"/>
      <c r="KB666" s="1454"/>
      <c r="KG666" s="1454"/>
      <c r="KL666" s="1454"/>
      <c r="KM666" s="1454"/>
      <c r="KN666" s="1454"/>
      <c r="KO666" s="1454"/>
      <c r="KP666" s="1454"/>
      <c r="KQ666" s="1454"/>
      <c r="KR666" s="1454"/>
      <c r="KS666" s="1454"/>
      <c r="KT666" s="1454"/>
      <c r="KU666" s="1454"/>
      <c r="KV666" s="1454"/>
      <c r="KW666" s="1454"/>
      <c r="KX666" s="1454"/>
      <c r="KY666" s="1454"/>
      <c r="KZ666" s="1454"/>
      <c r="LA666" s="1454"/>
      <c r="LB666" s="1454"/>
      <c r="LC666" s="1454"/>
      <c r="LD666" s="1454"/>
      <c r="LE666" s="1454"/>
      <c r="LF666" s="1454"/>
      <c r="LG666" s="1454"/>
      <c r="LN666" s="1317"/>
      <c r="MD666" s="1317"/>
      <c r="ME666" s="1317"/>
    </row>
    <row r="667" spans="1:380" s="253" customFormat="1" ht="16.5" customHeight="1">
      <c r="B667" s="2334" t="s">
        <v>1296</v>
      </c>
      <c r="F667" s="2312">
        <f>'Part V-Revenues &amp; Expenses'!F229</f>
        <v>0</v>
      </c>
      <c r="G667" s="2312"/>
      <c r="R667" s="2317"/>
      <c r="S667" s="2273"/>
      <c r="T667" s="2273"/>
      <c r="U667" s="2273"/>
      <c r="V667" s="2273"/>
      <c r="W667" s="2273"/>
      <c r="X667" s="251"/>
      <c r="AC667" s="251"/>
      <c r="AH667" s="251"/>
      <c r="AM667" s="251"/>
      <c r="JW667" s="1454"/>
      <c r="KB667" s="1454"/>
      <c r="KG667" s="1454"/>
      <c r="KL667" s="1454"/>
      <c r="KM667" s="1454"/>
      <c r="KN667" s="1454"/>
      <c r="KO667" s="1454"/>
      <c r="KP667" s="1454"/>
      <c r="KQ667" s="1454"/>
      <c r="KR667" s="1454"/>
      <c r="KS667" s="1454"/>
      <c r="KT667" s="1454"/>
      <c r="KU667" s="1454"/>
      <c r="KV667" s="1454"/>
      <c r="KW667" s="1454"/>
      <c r="KX667" s="1454"/>
      <c r="KY667" s="1454"/>
      <c r="KZ667" s="1454"/>
      <c r="LA667" s="1454"/>
      <c r="LB667" s="1454"/>
      <c r="LC667" s="1454"/>
      <c r="LD667" s="1454"/>
      <c r="LE667" s="1454"/>
      <c r="LF667" s="1454"/>
      <c r="LG667" s="1454"/>
      <c r="LN667" s="1317"/>
      <c r="MD667" s="1317"/>
      <c r="ME667" s="1317"/>
    </row>
    <row r="668" spans="1:380" s="253" customFormat="1" ht="16.5" customHeight="1">
      <c r="B668" s="256" t="str">
        <f>'Part V-Revenues &amp; Expenses'!B230</f>
        <v>Other (describe here)</v>
      </c>
      <c r="C668" s="256"/>
      <c r="D668" s="256"/>
      <c r="E668" s="256"/>
      <c r="F668" s="2312">
        <f>'Part V-Revenues &amp; Expenses'!F230</f>
        <v>0</v>
      </c>
      <c r="G668" s="2312"/>
      <c r="I668" s="1317" t="s">
        <v>1298</v>
      </c>
      <c r="R668" s="2317"/>
      <c r="S668" s="2273"/>
      <c r="T668" s="2273"/>
      <c r="U668" s="2273"/>
      <c r="V668" s="2273"/>
      <c r="W668" s="2273"/>
      <c r="X668" s="251"/>
      <c r="AC668" s="251"/>
      <c r="AH668" s="251"/>
      <c r="AM668" s="251"/>
      <c r="JW668" s="1454"/>
      <c r="KB668" s="1454"/>
      <c r="KG668" s="1454"/>
      <c r="KL668" s="1454"/>
      <c r="KM668" s="1454"/>
      <c r="KN668" s="1454"/>
      <c r="KO668" s="1454"/>
      <c r="KP668" s="1454"/>
      <c r="KQ668" s="1454"/>
      <c r="KR668" s="1454"/>
      <c r="KS668" s="1454"/>
      <c r="KT668" s="1454"/>
      <c r="KU668" s="1454"/>
      <c r="KV668" s="1454"/>
      <c r="KW668" s="1454"/>
      <c r="KX668" s="1454"/>
      <c r="KY668" s="1454"/>
      <c r="KZ668" s="1454"/>
      <c r="LA668" s="1454"/>
      <c r="LB668" s="1454"/>
      <c r="LC668" s="1454"/>
      <c r="LD668" s="1454"/>
      <c r="LE668" s="1454"/>
      <c r="LF668" s="1454"/>
      <c r="LG668" s="1454"/>
      <c r="LN668" s="1317"/>
      <c r="MD668" s="1317"/>
      <c r="ME668" s="1317"/>
    </row>
    <row r="669" spans="1:380" s="253" customFormat="1" ht="16.5" customHeight="1">
      <c r="E669" s="2333" t="s">
        <v>548</v>
      </c>
      <c r="F669" s="2312">
        <f>SUM(F663:G668)</f>
        <v>182800</v>
      </c>
      <c r="G669" s="2312"/>
      <c r="I669" s="253" t="s">
        <v>1299</v>
      </c>
      <c r="L669" s="2312">
        <f>'Part V-Revenues &amp; Expenses'!L231</f>
        <v>5000</v>
      </c>
      <c r="M669" s="2312"/>
      <c r="S669" s="2273"/>
      <c r="T669" s="2273"/>
      <c r="U669" s="2273"/>
      <c r="V669" s="2273"/>
      <c r="W669" s="2273"/>
      <c r="X669" s="251"/>
      <c r="AC669" s="251"/>
      <c r="AH669" s="251"/>
      <c r="AM669" s="251"/>
      <c r="JW669" s="1454"/>
      <c r="KB669" s="1454"/>
      <c r="KG669" s="1454"/>
      <c r="KL669" s="1454"/>
      <c r="KM669" s="1454"/>
      <c r="KN669" s="1454"/>
      <c r="KO669" s="1454"/>
      <c r="KP669" s="1454"/>
      <c r="KQ669" s="1454"/>
      <c r="KR669" s="1454"/>
      <c r="KS669" s="1454"/>
      <c r="KT669" s="1454"/>
      <c r="KU669" s="1454"/>
      <c r="KV669" s="1454"/>
      <c r="KW669" s="1454"/>
      <c r="KX669" s="1454"/>
      <c r="KY669" s="1454"/>
      <c r="KZ669" s="1454"/>
      <c r="LA669" s="1454"/>
      <c r="LB669" s="1454"/>
      <c r="LC669" s="1454"/>
      <c r="LD669" s="1454"/>
      <c r="LE669" s="1454"/>
      <c r="LF669" s="1454"/>
      <c r="LG669" s="1454"/>
      <c r="LN669" s="1317"/>
      <c r="MD669" s="1317"/>
      <c r="ME669" s="1317"/>
    </row>
    <row r="670" spans="1:380" s="253" customFormat="1" ht="16.5" customHeight="1">
      <c r="C670" s="1317"/>
      <c r="D670" s="2333"/>
      <c r="F670" s="2287"/>
      <c r="G670" s="2287"/>
      <c r="I670" s="253" t="s">
        <v>624</v>
      </c>
      <c r="L670" s="2312">
        <f>'Part V-Revenues &amp; Expenses'!L232</f>
        <v>5000</v>
      </c>
      <c r="M670" s="2312"/>
      <c r="N670" s="1213" t="str">
        <f>IF(Q672="","",IF(Q670&lt;Q672, "WARNING! OE below required minimum.",""))</f>
        <v/>
      </c>
      <c r="O670" s="1317" t="s">
        <v>1300</v>
      </c>
      <c r="Q670" s="2317">
        <f>F669+F678+F689+L665+L673+L683+L689+Q662</f>
        <v>452387</v>
      </c>
      <c r="S670" s="2273"/>
      <c r="T670" s="2273"/>
      <c r="U670" s="2273"/>
      <c r="V670" s="2273"/>
      <c r="W670" s="2273"/>
      <c r="JW670" s="1454"/>
      <c r="KB670" s="1454"/>
      <c r="KG670" s="1454"/>
      <c r="KL670" s="1454"/>
      <c r="KM670" s="1454"/>
      <c r="KN670" s="1454"/>
      <c r="KO670" s="1454"/>
      <c r="KP670" s="1454"/>
      <c r="KQ670" s="1454"/>
      <c r="KR670" s="1454"/>
      <c r="KS670" s="1454"/>
      <c r="KT670" s="1454"/>
      <c r="KU670" s="1454"/>
      <c r="KV670" s="1454"/>
      <c r="KW670" s="1454"/>
      <c r="KX670" s="1454"/>
      <c r="KY670" s="1454"/>
      <c r="KZ670" s="1454"/>
      <c r="LA670" s="1454"/>
      <c r="LB670" s="1454"/>
      <c r="LC670" s="1454"/>
      <c r="LD670" s="1454"/>
      <c r="LE670" s="1454"/>
      <c r="LF670" s="1454"/>
      <c r="LG670" s="1454"/>
      <c r="LN670" s="1317"/>
      <c r="MD670" s="1317"/>
      <c r="ME670" s="1317"/>
    </row>
    <row r="671" spans="1:380" s="253" customFormat="1" ht="16.5" customHeight="1">
      <c r="B671" s="1317" t="s">
        <v>1301</v>
      </c>
      <c r="D671" s="2303"/>
      <c r="I671" s="253" t="s">
        <v>1302</v>
      </c>
      <c r="L671" s="2312">
        <f>'Part V-Revenues &amp; Expenses'!L233</f>
        <v>6000</v>
      </c>
      <c r="M671" s="2312"/>
      <c r="N671" s="1213"/>
      <c r="O671" s="2291" t="s">
        <v>1303</v>
      </c>
      <c r="P671" s="2332">
        <f>+Q670/P505</f>
        <v>7799.7758620689656</v>
      </c>
      <c r="R671" s="2331"/>
      <c r="S671" s="2273"/>
      <c r="T671" s="2273"/>
      <c r="U671" s="2273"/>
      <c r="V671" s="2273"/>
      <c r="W671" s="2273"/>
      <c r="X671" s="251"/>
      <c r="AC671" s="251"/>
      <c r="AH671" s="251"/>
      <c r="AM671" s="251"/>
      <c r="JW671" s="1454"/>
      <c r="KB671" s="1454"/>
      <c r="KG671" s="1454"/>
      <c r="KL671" s="1454"/>
      <c r="KM671" s="1454"/>
      <c r="KN671" s="1454"/>
      <c r="KO671" s="1454"/>
      <c r="KP671" s="1454"/>
      <c r="KQ671" s="1454"/>
      <c r="KR671" s="1454"/>
      <c r="KS671" s="1454"/>
      <c r="KT671" s="1454"/>
      <c r="KU671" s="1454"/>
      <c r="KV671" s="1454"/>
      <c r="KW671" s="1454"/>
      <c r="KX671" s="1454"/>
      <c r="KY671" s="1454"/>
      <c r="KZ671" s="1454"/>
      <c r="LA671" s="1454"/>
      <c r="LB671" s="1454"/>
      <c r="LC671" s="1454"/>
      <c r="LD671" s="1454"/>
      <c r="LE671" s="1454"/>
      <c r="LF671" s="1454"/>
      <c r="LG671" s="1454"/>
      <c r="LN671" s="1317"/>
      <c r="MD671" s="1317"/>
      <c r="ME671" s="1317"/>
      <c r="NP671" s="253" t="s">
        <v>1304</v>
      </c>
    </row>
    <row r="672" spans="1:380" s="253" customFormat="1" ht="16.5" customHeight="1">
      <c r="B672" s="253" t="s">
        <v>1305</v>
      </c>
      <c r="D672" s="2303"/>
      <c r="F672" s="2312">
        <f>'Part V-Revenues &amp; Expenses'!F234</f>
        <v>5000</v>
      </c>
      <c r="G672" s="2312"/>
      <c r="I672" s="2335" t="str">
        <f>'Part V-Revenues &amp; Expenses'!I234</f>
        <v>Other (describe here)</v>
      </c>
      <c r="J672" s="2335"/>
      <c r="K672" s="2335"/>
      <c r="L672" s="2312">
        <f>'Part V-Revenues &amp; Expenses'!L234</f>
        <v>0</v>
      </c>
      <c r="M672" s="2312"/>
      <c r="N672" s="1213"/>
      <c r="P672" s="2291" t="s">
        <v>1306</v>
      </c>
      <c r="Q672" s="2317">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0</v>
      </c>
      <c r="S672" s="2273"/>
      <c r="T672" s="2273"/>
      <c r="U672" s="2273"/>
      <c r="V672" s="2273"/>
      <c r="W672" s="2273"/>
      <c r="X672" s="251"/>
      <c r="AC672" s="251"/>
      <c r="AH672" s="251"/>
      <c r="AM672" s="251"/>
      <c r="JW672" s="1454"/>
      <c r="KB672" s="1454"/>
      <c r="KG672" s="1454"/>
      <c r="KL672" s="1454"/>
      <c r="KM672" s="1454"/>
      <c r="KN672" s="1454"/>
      <c r="KO672" s="1454"/>
      <c r="KP672" s="1454"/>
      <c r="KQ672" s="1454"/>
      <c r="KR672" s="1454"/>
      <c r="KS672" s="1454"/>
      <c r="KT672" s="1454"/>
      <c r="KU672" s="1454"/>
      <c r="KV672" s="1454"/>
      <c r="KW672" s="1454"/>
      <c r="KX672" s="1454"/>
      <c r="KY672" s="1454"/>
      <c r="KZ672" s="1454"/>
      <c r="LA672" s="1454"/>
      <c r="LB672" s="1454"/>
      <c r="LC672" s="1454"/>
      <c r="LD672" s="1454"/>
      <c r="LE672" s="1454"/>
      <c r="LF672" s="1454"/>
      <c r="LG672" s="1454"/>
      <c r="LN672" s="1317"/>
      <c r="MD672" s="1317"/>
      <c r="ME672" s="1317"/>
    </row>
    <row r="673" spans="2:380" s="253" customFormat="1" ht="16.5" customHeight="1">
      <c r="B673" s="253" t="s">
        <v>1307</v>
      </c>
      <c r="D673" s="2303"/>
      <c r="F673" s="2312">
        <f>'Part V-Revenues &amp; Expenses'!F235</f>
        <v>7200</v>
      </c>
      <c r="G673" s="2312"/>
      <c r="I673" s="1317"/>
      <c r="K673" s="2333" t="s">
        <v>548</v>
      </c>
      <c r="L673" s="2317">
        <f>SUM(L669:L672)</f>
        <v>16000</v>
      </c>
      <c r="M673" s="2317"/>
      <c r="N673" s="1213"/>
      <c r="O673" s="2336" t="s">
        <v>1308</v>
      </c>
      <c r="P673" s="2336"/>
      <c r="Q673" s="2336"/>
      <c r="S673" s="2273"/>
      <c r="T673" s="2273"/>
      <c r="U673" s="2273"/>
      <c r="V673" s="2273"/>
      <c r="W673" s="2273"/>
      <c r="X673" s="251"/>
      <c r="AC673" s="251"/>
      <c r="AH673" s="251"/>
      <c r="AM673" s="251"/>
      <c r="JW673" s="1454"/>
      <c r="KB673" s="1454"/>
      <c r="KG673" s="1454"/>
      <c r="KL673" s="1454"/>
      <c r="KM673" s="1454"/>
      <c r="KN673" s="1454"/>
      <c r="KO673" s="1454"/>
      <c r="KP673" s="1454"/>
      <c r="KQ673" s="1454"/>
      <c r="KR673" s="1454"/>
      <c r="KS673" s="1454"/>
      <c r="KT673" s="1454"/>
      <c r="KU673" s="1454"/>
      <c r="KV673" s="1454"/>
      <c r="KW673" s="1454"/>
      <c r="KX673" s="1454"/>
      <c r="KY673" s="1454"/>
      <c r="KZ673" s="1454"/>
      <c r="LA673" s="1454"/>
      <c r="LB673" s="1454"/>
      <c r="LC673" s="1454"/>
      <c r="LD673" s="1454"/>
      <c r="LE673" s="1454"/>
      <c r="LF673" s="1454"/>
      <c r="LG673" s="1454"/>
      <c r="LN673" s="1317"/>
      <c r="MD673" s="1317"/>
      <c r="ME673" s="1317"/>
    </row>
    <row r="674" spans="2:380" s="253" customFormat="1" ht="16.5" customHeight="1">
      <c r="B674" s="253" t="s">
        <v>1309</v>
      </c>
      <c r="D674" s="2303"/>
      <c r="F674" s="2312">
        <f>'Part V-Revenues &amp; Expenses'!F236</f>
        <v>2000</v>
      </c>
      <c r="G674" s="2312"/>
      <c r="O674" s="2336"/>
      <c r="P674" s="2336"/>
      <c r="Q674" s="2336"/>
      <c r="R674" s="1438"/>
      <c r="S674" s="2273"/>
      <c r="T674" s="2273"/>
      <c r="U674" s="2273"/>
      <c r="V674" s="2273"/>
      <c r="W674" s="2273"/>
      <c r="X674" s="251"/>
      <c r="AC674" s="251"/>
      <c r="AH674" s="251"/>
      <c r="AM674" s="251"/>
      <c r="JW674" s="1454"/>
      <c r="KB674" s="1454"/>
      <c r="KG674" s="1454"/>
      <c r="KL674" s="1454"/>
      <c r="KM674" s="1454"/>
      <c r="KN674" s="1454"/>
      <c r="KO674" s="1454"/>
      <c r="KP674" s="1454"/>
      <c r="KQ674" s="1454"/>
      <c r="KR674" s="1454"/>
      <c r="KS674" s="1454"/>
      <c r="KT674" s="1454"/>
      <c r="KU674" s="1454"/>
      <c r="KV674" s="1454"/>
      <c r="KW674" s="1454"/>
      <c r="KX674" s="1454"/>
      <c r="KY674" s="1454"/>
      <c r="KZ674" s="1454"/>
      <c r="LA674" s="1454"/>
      <c r="LB674" s="1454"/>
      <c r="LC674" s="1454"/>
      <c r="LD674" s="1454"/>
      <c r="LE674" s="1454"/>
      <c r="LF674" s="1454"/>
      <c r="LG674" s="1454"/>
      <c r="LN674" s="1317"/>
      <c r="MD674" s="1317"/>
      <c r="ME674" s="1317"/>
    </row>
    <row r="675" spans="2:380" s="253" customFormat="1" ht="16.5" customHeight="1">
      <c r="B675" s="253" t="s">
        <v>1310</v>
      </c>
      <c r="D675" s="2303"/>
      <c r="F675" s="2312">
        <f>'Part V-Revenues &amp; Expenses'!F237</f>
        <v>0</v>
      </c>
      <c r="G675" s="2312"/>
      <c r="R675" s="1438"/>
      <c r="S675" s="2273"/>
      <c r="T675" s="2273"/>
      <c r="U675" s="2273"/>
      <c r="V675" s="2273"/>
      <c r="W675" s="2273"/>
      <c r="X675" s="251"/>
      <c r="AC675" s="251"/>
      <c r="AH675" s="251"/>
      <c r="AM675" s="251"/>
      <c r="JW675" s="1454"/>
      <c r="KB675" s="1454"/>
      <c r="KG675" s="1454"/>
      <c r="KL675" s="1454"/>
      <c r="KM675" s="1454"/>
      <c r="KN675" s="1454"/>
      <c r="KO675" s="1454"/>
      <c r="KP675" s="1454"/>
      <c r="KQ675" s="1454"/>
      <c r="KR675" s="1454"/>
      <c r="KS675" s="1454"/>
      <c r="KT675" s="1454"/>
      <c r="KU675" s="1454"/>
      <c r="KV675" s="1454"/>
      <c r="KW675" s="1454"/>
      <c r="KX675" s="1454"/>
      <c r="KY675" s="1454"/>
      <c r="KZ675" s="1454"/>
      <c r="LA675" s="1454"/>
      <c r="LB675" s="1454"/>
      <c r="LC675" s="1454"/>
      <c r="LD675" s="1454"/>
      <c r="LE675" s="1454"/>
      <c r="LF675" s="1454"/>
      <c r="LG675" s="1454"/>
      <c r="LN675" s="1317"/>
      <c r="MD675" s="1317"/>
      <c r="ME675" s="1317"/>
      <c r="NP675" s="253" t="s">
        <v>1311</v>
      </c>
    </row>
    <row r="676" spans="2:380" s="253" customFormat="1" ht="16.5" customHeight="1">
      <c r="B676" s="253" t="s">
        <v>1312</v>
      </c>
      <c r="D676" s="2303"/>
      <c r="F676" s="2312">
        <f>'Part V-Revenues &amp; Expenses'!F238</f>
        <v>5000</v>
      </c>
      <c r="G676" s="2312"/>
      <c r="I676" s="1317" t="s">
        <v>1313</v>
      </c>
      <c r="K676" s="1202" t="s">
        <v>1314</v>
      </c>
      <c r="O676" s="1317" t="s">
        <v>1315</v>
      </c>
      <c r="P676" s="1317"/>
      <c r="Q676" s="2337">
        <f>Q685</f>
        <v>17400</v>
      </c>
      <c r="S676" s="2273"/>
      <c r="T676" s="2273"/>
      <c r="U676" s="2273"/>
      <c r="V676" s="2273"/>
      <c r="W676" s="2273"/>
      <c r="X676" s="251"/>
      <c r="AC676" s="251"/>
      <c r="AH676" s="251"/>
      <c r="AM676" s="251"/>
      <c r="JW676" s="1454"/>
      <c r="KB676" s="1454"/>
      <c r="KG676" s="1454"/>
      <c r="KL676" s="1454"/>
      <c r="KM676" s="1454"/>
      <c r="KN676" s="1454"/>
      <c r="KO676" s="1454"/>
      <c r="KP676" s="1454"/>
      <c r="KQ676" s="1454"/>
      <c r="KR676" s="1454"/>
      <c r="KS676" s="1454"/>
      <c r="KT676" s="1454"/>
      <c r="KU676" s="1454"/>
      <c r="KV676" s="1454"/>
      <c r="KW676" s="1454"/>
      <c r="KX676" s="1454"/>
      <c r="KY676" s="1454"/>
      <c r="KZ676" s="1454"/>
      <c r="LA676" s="1454"/>
      <c r="LB676" s="1454"/>
      <c r="LC676" s="1454"/>
      <c r="LD676" s="1454"/>
      <c r="LE676" s="1454"/>
      <c r="LF676" s="1454"/>
      <c r="LG676" s="1454"/>
      <c r="LN676" s="1317"/>
      <c r="MD676" s="1317"/>
      <c r="ME676" s="1317"/>
    </row>
    <row r="677" spans="2:380" s="253" customFormat="1" ht="16.5" customHeight="1">
      <c r="B677" s="256" t="str">
        <f>'Part V-Revenues &amp; Expenses'!B239</f>
        <v>Other (describe here)</v>
      </c>
      <c r="C677" s="256"/>
      <c r="D677" s="256"/>
      <c r="E677" s="256"/>
      <c r="F677" s="2312">
        <f>'Part V-Revenues &amp; Expenses'!F239</f>
        <v>0</v>
      </c>
      <c r="G677" s="2312"/>
      <c r="I677" s="253" t="s">
        <v>1316</v>
      </c>
      <c r="K677" s="2197">
        <f>L677/12/P505</f>
        <v>5.7471264367816088</v>
      </c>
      <c r="L677" s="2312">
        <f>'Part V-Revenues &amp; Expenses'!L239</f>
        <v>4000</v>
      </c>
      <c r="M677" s="2312"/>
      <c r="N677" s="1213" t="str">
        <f>IF(Q676&lt;Q685, "WARNING! RR proposed is below the DCA required minimum.","")</f>
        <v/>
      </c>
      <c r="O677" s="256" t="s">
        <v>1317</v>
      </c>
      <c r="Q677" s="2338">
        <f>Q676/P685</f>
        <v>300</v>
      </c>
      <c r="R677" s="2317"/>
      <c r="S677" s="2273"/>
      <c r="T677" s="2273"/>
      <c r="U677" s="2273"/>
      <c r="V677" s="2273"/>
      <c r="W677" s="2273"/>
      <c r="X677" s="251"/>
      <c r="AC677" s="251"/>
      <c r="AH677" s="251"/>
      <c r="AM677" s="251"/>
      <c r="JW677" s="1454"/>
      <c r="KB677" s="1454"/>
      <c r="KG677" s="1454"/>
      <c r="KL677" s="1454"/>
      <c r="KM677" s="1454"/>
      <c r="KN677" s="1454"/>
      <c r="KO677" s="1454"/>
      <c r="KP677" s="1454"/>
      <c r="KQ677" s="1454"/>
      <c r="KR677" s="1454"/>
      <c r="KS677" s="1454"/>
      <c r="KT677" s="1454"/>
      <c r="KU677" s="1454"/>
      <c r="KV677" s="1454"/>
      <c r="KW677" s="1454"/>
      <c r="KX677" s="1454"/>
      <c r="KY677" s="1454"/>
      <c r="KZ677" s="1454"/>
      <c r="LA677" s="1454"/>
      <c r="LB677" s="1454"/>
      <c r="LC677" s="1454"/>
      <c r="LD677" s="1454"/>
      <c r="LE677" s="1454"/>
      <c r="LF677" s="1454"/>
      <c r="LG677" s="1454"/>
      <c r="LN677" s="1317"/>
      <c r="MD677" s="1317"/>
      <c r="ME677" s="1317"/>
    </row>
    <row r="678" spans="2:380" s="253" customFormat="1" ht="16.5" customHeight="1">
      <c r="E678" s="2333" t="s">
        <v>548</v>
      </c>
      <c r="F678" s="2312">
        <f>SUM(F672:G677)</f>
        <v>19200</v>
      </c>
      <c r="G678" s="2312"/>
      <c r="I678" s="253" t="s">
        <v>1318</v>
      </c>
      <c r="K678" s="2197">
        <f>L678/12/P505</f>
        <v>0</v>
      </c>
      <c r="L678" s="2312">
        <f>'Part V-Revenues &amp; Expenses'!L240</f>
        <v>0</v>
      </c>
      <c r="M678" s="2312"/>
      <c r="N678" s="1213"/>
      <c r="O678" s="2339" t="s">
        <v>1319</v>
      </c>
      <c r="P678" s="2339"/>
      <c r="Q678" s="2339"/>
      <c r="S678" s="2273"/>
      <c r="T678" s="2273"/>
      <c r="U678" s="2273"/>
      <c r="V678" s="2273"/>
      <c r="W678" s="2273"/>
      <c r="X678" s="251"/>
      <c r="AC678" s="251"/>
      <c r="AH678" s="251"/>
      <c r="AM678" s="251"/>
      <c r="JW678" s="1454"/>
      <c r="KB678" s="1454"/>
      <c r="KG678" s="1454"/>
      <c r="KL678" s="1454"/>
      <c r="KM678" s="1454"/>
      <c r="KN678" s="1454"/>
      <c r="KO678" s="1454"/>
      <c r="KP678" s="1454"/>
      <c r="KQ678" s="1454"/>
      <c r="KR678" s="1454"/>
      <c r="KS678" s="1454"/>
      <c r="KT678" s="1454"/>
      <c r="KU678" s="1454"/>
      <c r="KV678" s="1454"/>
      <c r="KW678" s="1454"/>
      <c r="KX678" s="1454"/>
      <c r="KY678" s="1454"/>
      <c r="KZ678" s="1454"/>
      <c r="LA678" s="1454"/>
      <c r="LB678" s="1454"/>
      <c r="LC678" s="1454"/>
      <c r="LD678" s="1454"/>
      <c r="LE678" s="1454"/>
      <c r="LF678" s="1454"/>
      <c r="LG678" s="1454"/>
      <c r="LN678" s="1317"/>
      <c r="MD678" s="1317"/>
      <c r="ME678" s="1317"/>
    </row>
    <row r="679" spans="2:380" s="253" customFormat="1" ht="16.5" customHeight="1">
      <c r="D679" s="2333"/>
      <c r="F679" s="2287"/>
      <c r="G679" s="2287"/>
      <c r="I679" s="253" t="s">
        <v>1320</v>
      </c>
      <c r="K679" s="2197">
        <f>L679/12/P505</f>
        <v>66.810344827586206</v>
      </c>
      <c r="L679" s="2312">
        <f>'Part V-Revenues &amp; Expenses'!L241</f>
        <v>46500</v>
      </c>
      <c r="M679" s="2312"/>
      <c r="N679" s="1213"/>
      <c r="O679" s="2340" t="s">
        <v>1321</v>
      </c>
      <c r="P679" s="2341" t="s">
        <v>1322</v>
      </c>
      <c r="Q679" s="2341" t="s">
        <v>1323</v>
      </c>
      <c r="S679" s="2273"/>
      <c r="T679" s="2273"/>
      <c r="U679" s="2273"/>
      <c r="V679" s="2273"/>
      <c r="W679" s="2273"/>
      <c r="JW679" s="1454"/>
      <c r="KB679" s="1454"/>
      <c r="KG679" s="1454"/>
      <c r="KL679" s="1454"/>
      <c r="KM679" s="1454"/>
      <c r="KN679" s="1454"/>
      <c r="KO679" s="1454"/>
      <c r="KP679" s="1454"/>
      <c r="KQ679" s="1454"/>
      <c r="KR679" s="1454"/>
      <c r="KS679" s="1454"/>
      <c r="KT679" s="1454"/>
      <c r="KU679" s="1454"/>
      <c r="KV679" s="1454"/>
      <c r="KW679" s="1454"/>
      <c r="KX679" s="1454"/>
      <c r="KY679" s="1454"/>
      <c r="KZ679" s="1454"/>
      <c r="LA679" s="1454"/>
      <c r="LB679" s="1454"/>
      <c r="LC679" s="1454"/>
      <c r="LD679" s="1454"/>
      <c r="LE679" s="1454"/>
      <c r="LF679" s="1454"/>
      <c r="LG679" s="1454"/>
      <c r="LN679" s="1317"/>
      <c r="MD679" s="1317"/>
      <c r="ME679" s="1317"/>
      <c r="NP679" s="253" t="s">
        <v>621</v>
      </c>
    </row>
    <row r="680" spans="2:380" s="253" customFormat="1" ht="16.5" customHeight="1">
      <c r="B680" s="1317" t="s">
        <v>1324</v>
      </c>
      <c r="D680" s="2303"/>
      <c r="I680" s="253" t="s">
        <v>1325</v>
      </c>
      <c r="K680" s="2197">
        <f>L680/12/P505</f>
        <v>8.9080459770114935</v>
      </c>
      <c r="L680" s="2312">
        <f>'Part V-Revenues &amp; Expenses'!L242</f>
        <v>6200</v>
      </c>
      <c r="M680" s="2312"/>
      <c r="N680" s="1213"/>
      <c r="O680" s="296" t="s">
        <v>667</v>
      </c>
      <c r="R680" s="2331"/>
      <c r="S680" s="2273"/>
      <c r="T680" s="2273"/>
      <c r="U680" s="2273"/>
      <c r="V680" s="2273"/>
      <c r="W680" s="2273"/>
      <c r="X680" s="251"/>
      <c r="AC680" s="251"/>
      <c r="AH680" s="251"/>
      <c r="AM680" s="251"/>
      <c r="JW680" s="1454"/>
      <c r="KB680" s="1454"/>
      <c r="KG680" s="1454"/>
      <c r="KL680" s="1454"/>
      <c r="KM680" s="1454"/>
      <c r="KN680" s="1454"/>
      <c r="KO680" s="1454"/>
      <c r="KP680" s="1454"/>
      <c r="KQ680" s="1454"/>
      <c r="KR680" s="1454"/>
      <c r="KS680" s="1454"/>
      <c r="KT680" s="1454"/>
      <c r="KU680" s="1454"/>
      <c r="KV680" s="1454"/>
      <c r="KW680" s="1454"/>
      <c r="KX680" s="1454"/>
      <c r="KY680" s="1454"/>
      <c r="KZ680" s="1454"/>
      <c r="LA680" s="1454"/>
      <c r="LB680" s="1454"/>
      <c r="LC680" s="1454"/>
      <c r="LD680" s="1454"/>
      <c r="LE680" s="1454"/>
      <c r="LF680" s="1454"/>
      <c r="LG680" s="1454"/>
      <c r="LN680" s="1317"/>
      <c r="MD680" s="1317"/>
      <c r="ME680" s="1317"/>
    </row>
    <row r="681" spans="2:380" s="253" customFormat="1" ht="16.5" customHeight="1">
      <c r="B681" s="253" t="s">
        <v>1326</v>
      </c>
      <c r="D681" s="2303"/>
      <c r="F681" s="2312">
        <f>'Part V-Revenues &amp; Expenses'!F243</f>
        <v>10000</v>
      </c>
      <c r="G681" s="2312"/>
      <c r="I681" s="253" t="s">
        <v>2269</v>
      </c>
      <c r="K681" s="2197">
        <f>L681/12/P505</f>
        <v>3.3908045977011492</v>
      </c>
      <c r="L681" s="2312">
        <f>'Part V-Revenues &amp; Expenses'!L243</f>
        <v>2360</v>
      </c>
      <c r="M681" s="2312"/>
      <c r="N681" s="1213"/>
      <c r="O681" s="2107" t="s">
        <v>1328</v>
      </c>
      <c r="P681" s="2342" t="str">
        <f>CONCATENATE(SUM(MF487:MJ487)," units x $",'DCA Underwriting Assumptions'!$Q$41," =")</f>
        <v>0 units x $400 =</v>
      </c>
      <c r="Q681" s="2342">
        <f>SUM(MF487:MJ487)*'DCA Underwriting Assumptions'!$Q$41</f>
        <v>0</v>
      </c>
      <c r="R681" s="2337"/>
      <c r="S681" s="2273"/>
      <c r="T681" s="2273"/>
      <c r="U681" s="2273"/>
      <c r="V681" s="2273"/>
      <c r="W681" s="2273"/>
      <c r="X681" s="251"/>
      <c r="AC681" s="251"/>
      <c r="AH681" s="251"/>
      <c r="AM681" s="251"/>
      <c r="JW681" s="1454"/>
      <c r="KB681" s="1454"/>
      <c r="KG681" s="1454"/>
      <c r="KL681" s="1454"/>
      <c r="KM681" s="1454"/>
      <c r="KN681" s="1454"/>
      <c r="KO681" s="1454"/>
      <c r="KP681" s="1454"/>
      <c r="KQ681" s="1454"/>
      <c r="KR681" s="1454"/>
      <c r="KS681" s="1454"/>
      <c r="KT681" s="1454"/>
      <c r="KU681" s="1454"/>
      <c r="KV681" s="1454"/>
      <c r="KW681" s="1454"/>
      <c r="KX681" s="1454"/>
      <c r="KY681" s="1454"/>
      <c r="KZ681" s="1454"/>
      <c r="LA681" s="1454"/>
      <c r="LB681" s="1454"/>
      <c r="LC681" s="1454"/>
      <c r="LD681" s="1454"/>
      <c r="LE681" s="1454"/>
      <c r="LF681" s="1454"/>
      <c r="LG681" s="1454"/>
      <c r="LN681" s="1317"/>
      <c r="MD681" s="1317"/>
      <c r="ME681" s="1317"/>
    </row>
    <row r="682" spans="2:380" s="253" customFormat="1" ht="16.5" customHeight="1">
      <c r="B682" s="253" t="s">
        <v>1329</v>
      </c>
      <c r="D682" s="2303"/>
      <c r="F682" s="2312">
        <f>'Part V-Revenues &amp; Expenses'!F244</f>
        <v>8000</v>
      </c>
      <c r="G682" s="2312"/>
      <c r="I682" s="2335" t="str">
        <f>'Part V-Revenues &amp; Expenses'!I244</f>
        <v>Other (describe here)</v>
      </c>
      <c r="J682" s="2335"/>
      <c r="K682" s="2197">
        <f>L682/12/P505</f>
        <v>0</v>
      </c>
      <c r="L682" s="2312">
        <f>'Part V-Revenues &amp; Expenses'!L244</f>
        <v>0</v>
      </c>
      <c r="M682" s="2312"/>
      <c r="N682" s="1213"/>
      <c r="O682" s="2107" t="s">
        <v>1330</v>
      </c>
      <c r="P682" s="2342" t="str">
        <f>CONCATENATE(SUM(MK487:MO487)," units x $",'DCA Underwriting Assumptions'!$Q$42," =")</f>
        <v>58 units x $300 =</v>
      </c>
      <c r="Q682" s="2342">
        <f>SUM(MK487:MO487)*'DCA Underwriting Assumptions'!$Q$42</f>
        <v>17400</v>
      </c>
      <c r="S682" s="2273"/>
      <c r="T682" s="2273"/>
      <c r="U682" s="2273"/>
      <c r="V682" s="2273"/>
      <c r="W682" s="2273"/>
      <c r="X682" s="251"/>
      <c r="AC682" s="251"/>
      <c r="AH682" s="251"/>
      <c r="AM682" s="251"/>
      <c r="JW682" s="1454"/>
      <c r="KB682" s="1454"/>
      <c r="KG682" s="1454"/>
      <c r="KL682" s="1454"/>
      <c r="KM682" s="1454"/>
      <c r="KN682" s="1454"/>
      <c r="KO682" s="1454"/>
      <c r="KP682" s="1454"/>
      <c r="KQ682" s="1454"/>
      <c r="KR682" s="1454"/>
      <c r="KS682" s="1454"/>
      <c r="KT682" s="1454"/>
      <c r="KU682" s="1454"/>
      <c r="KV682" s="1454"/>
      <c r="KW682" s="1454"/>
      <c r="KX682" s="1454"/>
      <c r="KY682" s="1454"/>
      <c r="KZ682" s="1454"/>
      <c r="LA682" s="1454"/>
      <c r="LB682" s="1454"/>
      <c r="LC682" s="1454"/>
      <c r="LD682" s="1454"/>
      <c r="LE682" s="1454"/>
      <c r="LF682" s="1454"/>
      <c r="LG682" s="1454"/>
      <c r="LN682" s="1317"/>
      <c r="MD682" s="1317"/>
      <c r="ME682" s="1317"/>
    </row>
    <row r="683" spans="2:380" s="253" customFormat="1" ht="16.5" customHeight="1">
      <c r="B683" s="253" t="s">
        <v>1331</v>
      </c>
      <c r="D683" s="2303"/>
      <c r="F683" s="2312">
        <f>'Part V-Revenues &amp; Expenses'!F245</f>
        <v>16000</v>
      </c>
      <c r="G683" s="2312"/>
      <c r="K683" s="2333" t="s">
        <v>548</v>
      </c>
      <c r="L683" s="2317">
        <f>SUM(L677:L682)</f>
        <v>59060</v>
      </c>
      <c r="M683" s="2317"/>
      <c r="N683" s="1213"/>
      <c r="O683" s="2162" t="s">
        <v>1332</v>
      </c>
      <c r="P683" s="2342" t="str">
        <f>CONCATENATE(SUM(MP487:MT487)," units x $",'DCA Underwriting Assumptions'!$Q$43," =")</f>
        <v>0 units x $470 =</v>
      </c>
      <c r="Q683" s="2342">
        <f>SUM(MP487:MT487)*'DCA Underwriting Assumptions'!$Q$43</f>
        <v>0</v>
      </c>
      <c r="R683" s="2341"/>
      <c r="S683" s="2273"/>
      <c r="T683" s="2273"/>
      <c r="U683" s="2273"/>
      <c r="V683" s="2273"/>
      <c r="W683" s="2273"/>
      <c r="X683" s="251"/>
      <c r="AC683" s="251"/>
      <c r="AH683" s="251"/>
      <c r="AM683" s="251"/>
      <c r="JW683" s="1454"/>
      <c r="KB683" s="1454"/>
      <c r="KG683" s="1454"/>
      <c r="KL683" s="1454"/>
      <c r="KM683" s="1454"/>
      <c r="KN683" s="1454"/>
      <c r="KO683" s="1454"/>
      <c r="KP683" s="1454"/>
      <c r="KQ683" s="1454"/>
      <c r="KR683" s="1454"/>
      <c r="KS683" s="1454"/>
      <c r="KT683" s="1454"/>
      <c r="KU683" s="1454"/>
      <c r="KV683" s="1454"/>
      <c r="KW683" s="1454"/>
      <c r="KX683" s="1454"/>
      <c r="KY683" s="1454"/>
      <c r="KZ683" s="1454"/>
      <c r="LA683" s="1454"/>
      <c r="LB683" s="1454"/>
      <c r="LC683" s="1454"/>
      <c r="LD683" s="1454"/>
      <c r="LE683" s="1454"/>
      <c r="LF683" s="1454"/>
      <c r="LG683" s="1454"/>
      <c r="LN683" s="1317"/>
      <c r="MD683" s="1317"/>
      <c r="ME683" s="1317"/>
    </row>
    <row r="684" spans="2:380" s="253" customFormat="1" ht="16.5" customHeight="1">
      <c r="B684" s="253" t="s">
        <v>1333</v>
      </c>
      <c r="D684" s="2303"/>
      <c r="F684" s="2312">
        <f>'Part V-Revenues &amp; Expenses'!F246</f>
        <v>10000</v>
      </c>
      <c r="G684" s="2312"/>
      <c r="O684" s="2162" t="s">
        <v>1334</v>
      </c>
      <c r="P684" s="2342" t="str">
        <f>CONCATENATE(P563," units x $",'DCA Underwriting Assumptions'!$Q$44," =")</f>
        <v>0 units x $420 =</v>
      </c>
      <c r="Q684" s="2342">
        <f>P563*'DCA Underwriting Assumptions'!$Q$44</f>
        <v>0</v>
      </c>
      <c r="S684" s="2273"/>
      <c r="T684" s="2273"/>
      <c r="U684" s="2273"/>
      <c r="V684" s="2273"/>
      <c r="W684" s="2273"/>
      <c r="X684" s="251"/>
      <c r="AC684" s="251"/>
      <c r="AH684" s="251"/>
      <c r="AM684" s="251"/>
      <c r="JW684" s="1454"/>
      <c r="KB684" s="1454"/>
      <c r="KG684" s="1454"/>
      <c r="KL684" s="1454"/>
      <c r="KM684" s="1454"/>
      <c r="KN684" s="1454"/>
      <c r="KO684" s="1454"/>
      <c r="KP684" s="1454"/>
      <c r="KQ684" s="1454"/>
      <c r="KR684" s="1454"/>
      <c r="KS684" s="1454"/>
      <c r="KT684" s="1454"/>
      <c r="KU684" s="1454"/>
      <c r="KV684" s="1454"/>
      <c r="KW684" s="1454"/>
      <c r="KX684" s="1454"/>
      <c r="KY684" s="1454"/>
      <c r="KZ684" s="1454"/>
      <c r="LA684" s="1454"/>
      <c r="LB684" s="1454"/>
      <c r="LC684" s="1454"/>
      <c r="LD684" s="1454"/>
      <c r="LE684" s="1454"/>
      <c r="LF684" s="1454"/>
      <c r="LG684" s="1454"/>
      <c r="LN684" s="1317"/>
      <c r="MD684" s="1317"/>
      <c r="ME684" s="1317"/>
      <c r="NP684" s="253" t="s">
        <v>1335</v>
      </c>
    </row>
    <row r="685" spans="2:380" s="253" customFormat="1" ht="16.5" customHeight="1">
      <c r="B685" s="253" t="s">
        <v>1336</v>
      </c>
      <c r="D685" s="2303"/>
      <c r="F685" s="2312">
        <f>'Part V-Revenues &amp; Expenses'!F247</f>
        <v>10000</v>
      </c>
      <c r="G685" s="2312"/>
      <c r="I685" s="1317" t="s">
        <v>1337</v>
      </c>
      <c r="O685" s="2281" t="s">
        <v>1338</v>
      </c>
      <c r="P685" s="2271">
        <f>SUM(MF487:MJ487)+SUM(MK487:MO487)+SUM(MP487:MT487)+P563</f>
        <v>58</v>
      </c>
      <c r="Q685" s="2343">
        <f>SUM(Q681:Q684)</f>
        <v>17400</v>
      </c>
      <c r="R685" s="2342"/>
      <c r="S685" s="2273"/>
      <c r="T685" s="2273"/>
      <c r="U685" s="2273"/>
      <c r="V685" s="2273"/>
      <c r="W685" s="2273"/>
      <c r="X685" s="251"/>
      <c r="AC685" s="251"/>
      <c r="AH685" s="251"/>
      <c r="AM685" s="251"/>
      <c r="JW685" s="1454"/>
      <c r="KB685" s="1454"/>
      <c r="KG685" s="1454"/>
      <c r="KL685" s="1454"/>
      <c r="KM685" s="1454"/>
      <c r="KN685" s="1454"/>
      <c r="KO685" s="1454"/>
      <c r="KP685" s="1454"/>
      <c r="KQ685" s="1454"/>
      <c r="KR685" s="1454"/>
      <c r="KS685" s="1454"/>
      <c r="KT685" s="1454"/>
      <c r="KU685" s="1454"/>
      <c r="KV685" s="1454"/>
      <c r="KW685" s="1454"/>
      <c r="KX685" s="1454"/>
      <c r="KY685" s="1454"/>
      <c r="KZ685" s="1454"/>
      <c r="LA685" s="1454"/>
      <c r="LB685" s="1454"/>
      <c r="LC685" s="1454"/>
      <c r="LD685" s="1454"/>
      <c r="LE685" s="1454"/>
      <c r="LF685" s="1454"/>
      <c r="LG685" s="1454"/>
      <c r="LN685" s="1317"/>
      <c r="MD685" s="1317"/>
      <c r="ME685" s="1317"/>
    </row>
    <row r="686" spans="2:380" s="253" customFormat="1" ht="16.5" customHeight="1">
      <c r="B686" s="253" t="s">
        <v>1339</v>
      </c>
      <c r="D686" s="2303"/>
      <c r="F686" s="2312">
        <f>'Part V-Revenues &amp; Expenses'!F248</f>
        <v>15000</v>
      </c>
      <c r="G686" s="2312"/>
      <c r="I686" s="253" t="s">
        <v>2270</v>
      </c>
      <c r="L686" s="2312">
        <f>'Part V-Revenues &amp; Expenses'!L248</f>
        <v>0</v>
      </c>
      <c r="M686" s="2312"/>
      <c r="R686" s="2342"/>
      <c r="S686" s="2273"/>
      <c r="T686" s="2273"/>
      <c r="U686" s="2273"/>
      <c r="V686" s="2273"/>
      <c r="W686" s="2273"/>
      <c r="X686" s="251"/>
      <c r="AC686" s="251"/>
      <c r="AH686" s="251"/>
      <c r="AM686" s="251"/>
      <c r="JW686" s="1454"/>
      <c r="KB686" s="1454"/>
      <c r="KG686" s="1454"/>
      <c r="KL686" s="1454"/>
      <c r="KM686" s="1454"/>
      <c r="KN686" s="1454"/>
      <c r="KO686" s="1454"/>
      <c r="KP686" s="1454"/>
      <c r="KQ686" s="1454"/>
      <c r="KR686" s="1454"/>
      <c r="KS686" s="1454"/>
      <c r="KT686" s="1454"/>
      <c r="KU686" s="1454"/>
      <c r="KV686" s="1454"/>
      <c r="KW686" s="1454"/>
      <c r="KX686" s="1454"/>
      <c r="KY686" s="1454"/>
      <c r="KZ686" s="1454"/>
      <c r="LA686" s="1454"/>
      <c r="LB686" s="1454"/>
      <c r="LC686" s="1454"/>
      <c r="LD686" s="1454"/>
      <c r="LE686" s="1454"/>
      <c r="LF686" s="1454"/>
      <c r="LG686" s="1454"/>
      <c r="LN686" s="1317"/>
      <c r="MD686" s="1317"/>
      <c r="ME686" s="1317"/>
    </row>
    <row r="687" spans="2:380" s="253" customFormat="1" ht="16.5" customHeight="1">
      <c r="B687" s="253" t="s">
        <v>1341</v>
      </c>
      <c r="D687" s="2303"/>
      <c r="F687" s="2312">
        <f>'Part V-Revenues &amp; Expenses'!F249</f>
        <v>6000</v>
      </c>
      <c r="G687" s="2312"/>
      <c r="I687" s="253" t="s">
        <v>1342</v>
      </c>
      <c r="L687" s="2312">
        <f>'Part V-Revenues &amp; Expenses'!L249</f>
        <v>48269</v>
      </c>
      <c r="M687" s="2312"/>
      <c r="R687" s="2342"/>
      <c r="S687" s="2273"/>
      <c r="T687" s="2273"/>
      <c r="U687" s="2273"/>
      <c r="V687" s="2273"/>
      <c r="W687" s="2273"/>
      <c r="X687" s="251"/>
      <c r="AC687" s="251"/>
      <c r="AH687" s="251"/>
      <c r="AM687" s="251"/>
      <c r="JW687" s="1454"/>
      <c r="KB687" s="1454"/>
      <c r="KG687" s="1454"/>
      <c r="KL687" s="1454"/>
      <c r="KM687" s="1454"/>
      <c r="KN687" s="1454"/>
      <c r="KO687" s="1454"/>
      <c r="KP687" s="1454"/>
      <c r="KQ687" s="1454"/>
      <c r="KR687" s="1454"/>
      <c r="KS687" s="1454"/>
      <c r="KT687" s="1454"/>
      <c r="KU687" s="1454"/>
      <c r="KV687" s="1454"/>
      <c r="KW687" s="1454"/>
      <c r="KX687" s="1454"/>
      <c r="KY687" s="1454"/>
      <c r="KZ687" s="1454"/>
      <c r="LA687" s="1454"/>
      <c r="LB687" s="1454"/>
      <c r="LC687" s="1454"/>
      <c r="LD687" s="1454"/>
      <c r="LE687" s="1454"/>
      <c r="LF687" s="1454"/>
      <c r="LG687" s="1454"/>
      <c r="LN687" s="1317"/>
      <c r="MD687" s="1317"/>
      <c r="ME687" s="1317"/>
    </row>
    <row r="688" spans="2:380" s="253" customFormat="1" ht="16.5" customHeight="1">
      <c r="B688" s="256" t="str">
        <f>'Part V-Revenues &amp; Expenses'!B250</f>
        <v>Other (describe here)</v>
      </c>
      <c r="C688" s="256"/>
      <c r="D688" s="256"/>
      <c r="E688" s="256"/>
      <c r="F688" s="2312">
        <f>'Part V-Revenues &amp; Expenses'!F250</f>
        <v>0</v>
      </c>
      <c r="G688" s="2312"/>
      <c r="I688" s="2335" t="str">
        <f>'Part V-Revenues &amp; Expenses'!I250</f>
        <v>Other (describe here)</v>
      </c>
      <c r="J688" s="2335"/>
      <c r="K688" s="2335"/>
      <c r="L688" s="2312">
        <f>'Part V-Revenues &amp; Expenses'!L250</f>
        <v>0</v>
      </c>
      <c r="M688" s="2312"/>
      <c r="R688" s="2342"/>
      <c r="S688" s="2273"/>
      <c r="T688" s="2273"/>
      <c r="U688" s="2273"/>
      <c r="V688" s="2273"/>
      <c r="W688" s="2273"/>
      <c r="X688" s="251"/>
      <c r="AC688" s="251"/>
      <c r="AH688" s="251"/>
      <c r="AM688" s="251"/>
      <c r="JW688" s="1454"/>
      <c r="KB688" s="1454"/>
      <c r="KG688" s="1454"/>
      <c r="KL688" s="1454"/>
      <c r="KM688" s="1454"/>
      <c r="KN688" s="1454"/>
      <c r="KO688" s="1454"/>
      <c r="KP688" s="1454"/>
      <c r="KQ688" s="1454"/>
      <c r="KR688" s="1454"/>
      <c r="KS688" s="1454"/>
      <c r="KT688" s="1454"/>
      <c r="KU688" s="1454"/>
      <c r="KV688" s="1454"/>
      <c r="KW688" s="1454"/>
      <c r="KX688" s="1454"/>
      <c r="KY688" s="1454"/>
      <c r="KZ688" s="1454"/>
      <c r="LA688" s="1454"/>
      <c r="LB688" s="1454"/>
      <c r="LC688" s="1454"/>
      <c r="LD688" s="1454"/>
      <c r="LE688" s="1454"/>
      <c r="LF688" s="1454"/>
      <c r="LG688" s="1454"/>
      <c r="LN688" s="1317"/>
      <c r="MD688" s="1317"/>
      <c r="ME688" s="1317"/>
      <c r="NP688" s="253" t="s">
        <v>1343</v>
      </c>
    </row>
    <row r="689" spans="1:380" s="253" customFormat="1" ht="16.5" customHeight="1">
      <c r="B689" s="1317"/>
      <c r="E689" s="2333" t="s">
        <v>548</v>
      </c>
      <c r="F689" s="2312">
        <f>SUM(F681:G688)</f>
        <v>75000</v>
      </c>
      <c r="G689" s="2312"/>
      <c r="K689" s="2333" t="s">
        <v>548</v>
      </c>
      <c r="L689" s="2317">
        <f>SUM(L685:L688)</f>
        <v>48269</v>
      </c>
      <c r="M689" s="2317"/>
      <c r="O689" s="1317" t="s">
        <v>1344</v>
      </c>
      <c r="Q689" s="2317">
        <f>Q670+Q676</f>
        <v>469787</v>
      </c>
      <c r="R689" s="2342"/>
      <c r="S689" s="2273"/>
      <c r="T689" s="2273"/>
      <c r="U689" s="2273"/>
      <c r="V689" s="2273"/>
      <c r="W689" s="2273"/>
      <c r="X689" s="251"/>
      <c r="AC689" s="251"/>
      <c r="AH689" s="251"/>
      <c r="AM689" s="251"/>
      <c r="JW689" s="1454"/>
      <c r="KB689" s="1454"/>
      <c r="KG689" s="1454"/>
      <c r="KL689" s="1454"/>
      <c r="KM689" s="1454"/>
      <c r="KN689" s="1454"/>
      <c r="KO689" s="1454"/>
      <c r="KP689" s="1454"/>
      <c r="KQ689" s="1454"/>
      <c r="KR689" s="1454"/>
      <c r="KS689" s="1454"/>
      <c r="KT689" s="1454"/>
      <c r="KU689" s="1454"/>
      <c r="KV689" s="1454"/>
      <c r="KW689" s="1454"/>
      <c r="KX689" s="1454"/>
      <c r="KY689" s="1454"/>
      <c r="KZ689" s="1454"/>
      <c r="LA689" s="1454"/>
      <c r="LB689" s="1454"/>
      <c r="LC689" s="1454"/>
      <c r="LD689" s="1454"/>
      <c r="LE689" s="1454"/>
      <c r="LF689" s="1454"/>
      <c r="LG689" s="1454"/>
      <c r="LN689" s="1317"/>
      <c r="MD689" s="1317"/>
      <c r="ME689" s="1317"/>
    </row>
    <row r="690" spans="1:380" s="253" customFormat="1" ht="6" customHeight="1">
      <c r="B690" s="1317"/>
      <c r="C690" s="2333"/>
      <c r="F690" s="2287"/>
      <c r="G690" s="2287"/>
      <c r="K690" s="2287"/>
      <c r="X690" s="251"/>
      <c r="AC690" s="251"/>
      <c r="AH690" s="251"/>
      <c r="AM690" s="251"/>
      <c r="JW690" s="1454"/>
      <c r="KB690" s="1454"/>
      <c r="KG690" s="1454"/>
      <c r="KL690" s="1454"/>
      <c r="KM690" s="1454"/>
      <c r="KN690" s="1454"/>
      <c r="KO690" s="1454"/>
      <c r="KP690" s="1454"/>
      <c r="KQ690" s="1454"/>
      <c r="KR690" s="1454"/>
      <c r="KS690" s="1454"/>
      <c r="KT690" s="1454"/>
      <c r="KU690" s="1454"/>
      <c r="KV690" s="1454"/>
      <c r="KW690" s="1454"/>
      <c r="KX690" s="1454"/>
      <c r="KY690" s="1454"/>
      <c r="KZ690" s="1454"/>
      <c r="LA690" s="1454"/>
      <c r="LB690" s="1454"/>
      <c r="LC690" s="1454"/>
      <c r="LD690" s="1454"/>
      <c r="LE690" s="1454"/>
      <c r="LF690" s="1454"/>
      <c r="LG690" s="1454"/>
      <c r="LN690" s="1317"/>
      <c r="MD690" s="1317"/>
      <c r="ME690" s="1317"/>
    </row>
    <row r="691" spans="1:380" s="253" customFormat="1" ht="15.6" customHeight="1">
      <c r="B691" s="1317"/>
      <c r="C691" s="2333"/>
      <c r="F691" s="2287"/>
      <c r="G691" s="2287"/>
      <c r="K691" s="2287"/>
      <c r="R691" s="2317"/>
      <c r="X691" s="251"/>
      <c r="AC691" s="251"/>
      <c r="AH691" s="251"/>
      <c r="AM691" s="251"/>
      <c r="JW691" s="1454"/>
      <c r="KB691" s="1454"/>
      <c r="KG691" s="1454"/>
      <c r="KL691" s="1454"/>
      <c r="KM691" s="1454"/>
      <c r="KN691" s="1454"/>
      <c r="KO691" s="1454"/>
      <c r="KP691" s="1454"/>
      <c r="KQ691" s="1454"/>
      <c r="KR691" s="1454"/>
      <c r="KS691" s="1454"/>
      <c r="KT691" s="1454"/>
      <c r="KU691" s="1454"/>
      <c r="KV691" s="1454"/>
      <c r="KW691" s="1454"/>
      <c r="KX691" s="1454"/>
      <c r="KY691" s="1454"/>
      <c r="KZ691" s="1454"/>
      <c r="LA691" s="1454"/>
      <c r="LB691" s="1454"/>
      <c r="LC691" s="1454"/>
      <c r="LD691" s="1454"/>
      <c r="LE691" s="1454"/>
      <c r="LF691" s="1454"/>
      <c r="LG691" s="1454"/>
      <c r="LN691" s="1317"/>
      <c r="MD691" s="1317"/>
      <c r="ME691" s="1317"/>
    </row>
    <row r="692" spans="1:380" s="253" customFormat="1" ht="15" customHeight="1">
      <c r="B692" s="1317"/>
      <c r="C692" s="2333"/>
      <c r="F692" s="2287"/>
      <c r="G692" s="2287"/>
      <c r="K692" s="2287"/>
      <c r="O692" s="1317"/>
      <c r="Q692" s="2317"/>
      <c r="R692" s="2317"/>
      <c r="X692" s="251"/>
      <c r="AC692" s="251"/>
      <c r="AH692" s="251"/>
      <c r="AM692" s="251"/>
      <c r="JW692" s="1454"/>
      <c r="KB692" s="1454"/>
      <c r="KG692" s="1454"/>
      <c r="KL692" s="1454"/>
      <c r="KM692" s="1454"/>
      <c r="KN692" s="1454"/>
      <c r="KO692" s="1454"/>
      <c r="KP692" s="1454"/>
      <c r="KQ692" s="1454"/>
      <c r="KR692" s="1454"/>
      <c r="KS692" s="1454"/>
      <c r="KT692" s="1454"/>
      <c r="KU692" s="1454"/>
      <c r="KV692" s="1454"/>
      <c r="KW692" s="1454"/>
      <c r="KX692" s="1454"/>
      <c r="KY692" s="1454"/>
      <c r="KZ692" s="1454"/>
      <c r="LA692" s="1454"/>
      <c r="LB692" s="1454"/>
      <c r="LC692" s="1454"/>
      <c r="LD692" s="1454"/>
      <c r="LE692" s="1454"/>
      <c r="LF692" s="1454"/>
      <c r="LG692" s="1454"/>
      <c r="LN692" s="1317"/>
      <c r="MD692" s="1317"/>
      <c r="ME692" s="1317"/>
    </row>
    <row r="693" spans="1:380" s="253" customFormat="1" ht="15" customHeight="1">
      <c r="A693" s="255" t="s">
        <v>1345</v>
      </c>
      <c r="B693" s="1317" t="s">
        <v>1346</v>
      </c>
      <c r="C693" s="2333"/>
      <c r="H693" s="2287"/>
      <c r="I693" s="2344" t="s">
        <v>1347</v>
      </c>
      <c r="K693" s="2317">
        <f>'Part V-Revenues &amp; Expenses'!K255</f>
        <v>0</v>
      </c>
      <c r="L693" s="2317"/>
      <c r="M693" s="2334" t="s">
        <v>1348</v>
      </c>
      <c r="N693" s="2297">
        <f>'Part V-Revenues &amp; Expenses'!N255</f>
        <v>0</v>
      </c>
      <c r="O693" s="1317" t="s">
        <v>1349</v>
      </c>
      <c r="Q693" s="2297">
        <f>K693*N693</f>
        <v>0</v>
      </c>
      <c r="R693" s="2317"/>
      <c r="S693" s="2273"/>
      <c r="T693" s="2273"/>
      <c r="U693" s="2273"/>
      <c r="V693" s="2273"/>
      <c r="W693" s="2273"/>
      <c r="X693" s="251"/>
      <c r="AC693" s="251"/>
      <c r="AH693" s="251"/>
      <c r="AM693" s="251"/>
      <c r="JW693" s="1454"/>
      <c r="KB693" s="1454"/>
      <c r="KG693" s="1454"/>
      <c r="KL693" s="1454"/>
      <c r="KM693" s="1454"/>
      <c r="KN693" s="1454"/>
      <c r="KO693" s="1454"/>
      <c r="KP693" s="1454"/>
      <c r="KQ693" s="1454"/>
      <c r="KR693" s="1454"/>
      <c r="KS693" s="1454"/>
      <c r="KT693" s="1454"/>
      <c r="KU693" s="1454"/>
      <c r="KV693" s="1454"/>
      <c r="KW693" s="1454"/>
      <c r="KX693" s="1454"/>
      <c r="KY693" s="1454"/>
      <c r="KZ693" s="1454"/>
      <c r="LA693" s="1454"/>
      <c r="LB693" s="1454"/>
      <c r="LC693" s="1454"/>
      <c r="LD693" s="1454"/>
      <c r="LE693" s="1454"/>
      <c r="LF693" s="1454"/>
      <c r="LG693" s="1454"/>
      <c r="LN693" s="1317"/>
      <c r="MD693" s="1317"/>
      <c r="ME693" s="1317"/>
    </row>
    <row r="694" spans="1:380" s="253" customFormat="1" ht="12" customHeight="1">
      <c r="B694" s="1317"/>
      <c r="C694" s="2333"/>
      <c r="F694" s="2287"/>
      <c r="G694" s="2287"/>
      <c r="K694" s="2287"/>
      <c r="O694" s="1317"/>
      <c r="Q694" s="2317"/>
      <c r="R694" s="2317"/>
      <c r="X694" s="251"/>
      <c r="AC694" s="251"/>
      <c r="AH694" s="251"/>
      <c r="AM694" s="251"/>
      <c r="JW694" s="1454"/>
      <c r="KB694" s="1454"/>
      <c r="KG694" s="1454"/>
      <c r="KL694" s="1454"/>
      <c r="KM694" s="1454"/>
      <c r="KN694" s="1454"/>
      <c r="KO694" s="1454"/>
      <c r="KP694" s="1454"/>
      <c r="KQ694" s="1454"/>
      <c r="KR694" s="1454"/>
      <c r="KS694" s="1454"/>
      <c r="KT694" s="1454"/>
      <c r="KU694" s="1454"/>
      <c r="KV694" s="1454"/>
      <c r="KW694" s="1454"/>
      <c r="KX694" s="1454"/>
      <c r="KY694" s="1454"/>
      <c r="KZ694" s="1454"/>
      <c r="LA694" s="1454"/>
      <c r="LB694" s="1454"/>
      <c r="LC694" s="1454"/>
      <c r="LD694" s="1454"/>
      <c r="LE694" s="1454"/>
      <c r="LF694" s="1454"/>
      <c r="LG694" s="1454"/>
      <c r="LN694" s="1317"/>
      <c r="MD694" s="1317"/>
      <c r="ME694" s="1317"/>
    </row>
    <row r="695" spans="1:380" s="253" customFormat="1" ht="15" customHeight="1">
      <c r="B695" s="253" t="s">
        <v>1350</v>
      </c>
      <c r="C695" s="2333"/>
      <c r="F695" s="2287"/>
      <c r="G695" s="2287"/>
      <c r="J695" s="1454" t="str">
        <f>'Part V-Revenues &amp; Expenses'!J257</f>
        <v>&lt;&lt;Select&gt;&gt;</v>
      </c>
      <c r="K695" s="2344" t="s">
        <v>1351</v>
      </c>
      <c r="L695" s="1454" t="str">
        <f>'Part V-Revenues &amp; Expenses'!L257</f>
        <v>&lt;&lt;Select&gt;&gt;</v>
      </c>
      <c r="M695" s="1454" t="s">
        <v>1352</v>
      </c>
      <c r="N695" s="2297">
        <f>'Part V-Revenues &amp; Expenses'!N257</f>
        <v>0</v>
      </c>
      <c r="O695" s="253" t="s">
        <v>1353</v>
      </c>
      <c r="Q695" s="2297">
        <f>'Part V-Revenues &amp; Expenses'!Q257</f>
        <v>0</v>
      </c>
      <c r="R695" s="2317"/>
      <c r="S695" s="2273"/>
      <c r="T695" s="2273"/>
      <c r="U695" s="2273"/>
      <c r="V695" s="2273"/>
      <c r="W695" s="2273"/>
      <c r="X695" s="251"/>
      <c r="AC695" s="251"/>
      <c r="AH695" s="251"/>
      <c r="AM695" s="251"/>
      <c r="JW695" s="1454"/>
      <c r="KB695" s="1454"/>
      <c r="KG695" s="1454"/>
      <c r="KL695" s="1454"/>
      <c r="KM695" s="1454"/>
      <c r="KN695" s="1454"/>
      <c r="KO695" s="1454"/>
      <c r="KP695" s="1454"/>
      <c r="KQ695" s="1454"/>
      <c r="KR695" s="1454"/>
      <c r="KS695" s="1454"/>
      <c r="KT695" s="1454"/>
      <c r="KU695" s="1454"/>
      <c r="KV695" s="1454"/>
      <c r="KW695" s="1454"/>
      <c r="KX695" s="1454"/>
      <c r="KY695" s="1454"/>
      <c r="KZ695" s="1454"/>
      <c r="LA695" s="1454"/>
      <c r="LB695" s="1454"/>
      <c r="LC695" s="1454"/>
      <c r="LD695" s="1454"/>
      <c r="LE695" s="1454"/>
      <c r="LF695" s="1454"/>
      <c r="LG695" s="1454"/>
      <c r="LN695" s="1317"/>
      <c r="MD695" s="1317"/>
      <c r="ME695" s="1317"/>
      <c r="NP695" s="253" t="s">
        <v>1354</v>
      </c>
    </row>
    <row r="696" spans="1:380" s="253" customFormat="1" ht="30.75" customHeight="1">
      <c r="B696" s="1317"/>
      <c r="C696" s="2333"/>
      <c r="F696" s="2287"/>
      <c r="G696" s="2287"/>
      <c r="K696" s="2287"/>
      <c r="O696" s="1317"/>
      <c r="Q696" s="2317"/>
      <c r="R696" s="2317"/>
      <c r="X696" s="251"/>
      <c r="AC696" s="251"/>
      <c r="AH696" s="251"/>
      <c r="AM696" s="251"/>
      <c r="JW696" s="1454"/>
      <c r="KB696" s="1454"/>
      <c r="KG696" s="1454"/>
      <c r="KL696" s="1454"/>
      <c r="KM696" s="1454"/>
      <c r="KN696" s="1454"/>
      <c r="KO696" s="1454"/>
      <c r="KP696" s="1454"/>
      <c r="KQ696" s="1454"/>
      <c r="KR696" s="1454"/>
      <c r="KS696" s="1454"/>
      <c r="KT696" s="1454"/>
      <c r="KU696" s="1454"/>
      <c r="KV696" s="1454"/>
      <c r="KW696" s="1454"/>
      <c r="KX696" s="1454"/>
      <c r="KY696" s="1454"/>
      <c r="KZ696" s="1454"/>
      <c r="LA696" s="1454"/>
      <c r="LB696" s="1454"/>
      <c r="LC696" s="1454"/>
      <c r="LD696" s="1454"/>
      <c r="LE696" s="1454"/>
      <c r="LF696" s="1454"/>
      <c r="LG696" s="1454"/>
      <c r="LN696" s="1317"/>
      <c r="MD696" s="1317"/>
      <c r="ME696" s="1317"/>
    </row>
    <row r="697" spans="1:380" ht="12" customHeight="1">
      <c r="A697" s="255" t="s">
        <v>1355</v>
      </c>
      <c r="B697" s="255" t="s">
        <v>78</v>
      </c>
      <c r="N697" s="255" t="s">
        <v>1356</v>
      </c>
      <c r="O697" s="255"/>
      <c r="JW697" s="1318"/>
      <c r="KB697" s="1318"/>
      <c r="KG697" s="1318"/>
      <c r="KL697" s="1318"/>
      <c r="KM697" s="1318"/>
      <c r="KN697" s="1318"/>
      <c r="KO697" s="1318"/>
      <c r="KP697" s="1318"/>
      <c r="KQ697" s="1318"/>
      <c r="KR697" s="1318"/>
      <c r="KS697" s="1318"/>
      <c r="KT697" s="1318"/>
      <c r="KU697" s="1318"/>
      <c r="KV697" s="1318"/>
      <c r="KW697" s="1318"/>
      <c r="KX697" s="1318"/>
      <c r="KY697" s="1318"/>
      <c r="KZ697" s="1318"/>
      <c r="LA697" s="1318"/>
      <c r="LB697" s="1318"/>
      <c r="LC697" s="1318"/>
      <c r="LD697" s="1318"/>
      <c r="LE697" s="1318"/>
      <c r="LF697" s="1318"/>
      <c r="LG697" s="1318"/>
      <c r="LN697" s="255"/>
      <c r="MD697" s="255"/>
      <c r="ME697" s="255"/>
      <c r="NP697" s="253"/>
    </row>
    <row r="698" spans="1:380" ht="409.5" customHeight="1">
      <c r="A698" s="2117" t="str">
        <f>'Part V-Revenues &amp; Expenses'!A260</f>
        <v>With our Private Enterpirse Agreement associated with Marietta Houisng Authority, the property will be exempt from Real Estate Taxes.  This tax expemtion differs from ongoing annual abatment, therefor no Real Estate Taxes are shown in our Operating Expenses.
Insurance estimates were provided by our insurance company.
The Other Income underwritten includes laundry fees, vending revenue, and other related fees.
PBRA Vouchers will target 2 AMI groups - 6 units at 30% AMI and 17 units at 50% AMI</v>
      </c>
      <c r="B698" s="2117"/>
      <c r="C698" s="2117"/>
      <c r="D698" s="2117"/>
      <c r="E698" s="2117"/>
      <c r="F698" s="2117"/>
      <c r="G698" s="2117"/>
      <c r="H698" s="2117"/>
      <c r="I698" s="2117"/>
      <c r="J698" s="2117"/>
      <c r="K698" s="2117"/>
      <c r="L698" s="2117"/>
      <c r="M698" s="2117"/>
      <c r="N698" s="2117"/>
      <c r="O698" s="2117"/>
      <c r="P698" s="2117"/>
      <c r="Q698" s="2117"/>
      <c r="R698" s="2345" t="s">
        <v>1358</v>
      </c>
      <c r="S698" s="2345"/>
      <c r="T698" s="2345"/>
      <c r="U698" s="2345"/>
      <c r="JW698" s="1318"/>
      <c r="KB698" s="1318"/>
      <c r="KG698" s="1318"/>
      <c r="KL698" s="1318"/>
      <c r="KM698" s="1318"/>
      <c r="KN698" s="1318"/>
      <c r="KO698" s="1318"/>
      <c r="KP698" s="1318"/>
      <c r="KQ698" s="1318"/>
      <c r="KR698" s="1318"/>
      <c r="KS698" s="1318"/>
      <c r="KT698" s="1318"/>
      <c r="KU698" s="1318"/>
      <c r="KV698" s="1318"/>
      <c r="KW698" s="1318"/>
      <c r="KX698" s="1318"/>
      <c r="KY698" s="1318"/>
      <c r="KZ698" s="1318"/>
      <c r="LA698" s="1318"/>
      <c r="LB698" s="1318"/>
      <c r="LC698" s="1318"/>
      <c r="LD698" s="1318"/>
      <c r="LE698" s="1318"/>
      <c r="LF698" s="1318"/>
      <c r="LG698" s="1318"/>
      <c r="LN698" s="255"/>
      <c r="MD698" s="255"/>
      <c r="ME698" s="255"/>
      <c r="NP698" s="253"/>
    </row>
    <row r="702" spans="1:380">
      <c r="A702" s="1317" t="str">
        <f>CONCATENATE("PART SIX - OPERATING PRO FORMA","  -  ",'Part I-Project Identification'!$O$7," ",'Part I-Project Identification'!$F$26,", ",'Part I-Project Identification'!F644,", ",'Part I-Project Identification'!J644," County")</f>
        <v>PART SIX - OPERATING PRO FORMA  -  2024-0 Finley Place, ,  County</v>
      </c>
    </row>
    <row r="703" spans="1:380">
      <c r="A703" s="255"/>
      <c r="B703" s="255"/>
      <c r="C703" s="255"/>
      <c r="D703" s="255"/>
      <c r="E703" s="255"/>
      <c r="F703" s="255"/>
      <c r="G703" s="255"/>
      <c r="H703" s="255"/>
      <c r="I703" s="255"/>
      <c r="J703" s="255"/>
      <c r="K703" s="255"/>
    </row>
    <row r="704" spans="1:380" ht="12.95" customHeight="1">
      <c r="A704" s="255" t="s">
        <v>1369</v>
      </c>
      <c r="C704" s="2346" t="str">
        <f>'Part I-Project Identification'!$A$6</f>
        <v>2024 May 7</v>
      </c>
      <c r="D704" s="255" t="s">
        <v>1370</v>
      </c>
      <c r="E704" s="2246"/>
      <c r="F704" s="2105" t="s">
        <v>2271</v>
      </c>
    </row>
    <row r="705" spans="1:11">
      <c r="C705" s="1213"/>
    </row>
    <row r="706" spans="1:11" ht="12.6" customHeight="1">
      <c r="A706" s="251" t="s">
        <v>1372</v>
      </c>
      <c r="B706" s="2347">
        <f>'DCA Underwriting Assumptions'!$Q$114</f>
        <v>0.02</v>
      </c>
      <c r="C706" s="1213"/>
      <c r="D706" s="2273" t="s">
        <v>2272</v>
      </c>
      <c r="E706" s="2273"/>
      <c r="F706" s="2273"/>
      <c r="G706" s="2348">
        <f>'Part VI-Pro Forma'!G6</f>
        <v>7500</v>
      </c>
      <c r="H706" s="2310" t="s">
        <v>1374</v>
      </c>
      <c r="K706" s="2349" t="e">
        <f>IF(($B$15+$B$16+$B$17+$B$18)=0,"",B731/($B$15+$B$16+$B$17+$B$18))</f>
        <v>#VALUE!</v>
      </c>
    </row>
    <row r="707" spans="1:11">
      <c r="A707" s="251" t="s">
        <v>1375</v>
      </c>
      <c r="B707" s="2347">
        <f>'DCA Underwriting Assumptions'!$Q$117</f>
        <v>0.03</v>
      </c>
      <c r="C707" s="1213"/>
      <c r="D707" s="2273"/>
      <c r="E707" s="2273"/>
      <c r="F707" s="2273"/>
      <c r="G707" s="2350">
        <f>IF(OR('Part II-Sources of Funds'!E623="Yes",'Part II-Sources of Funds'!I623&gt;0),'DCA Underwriting Assumptions'!$Q$79,0)</f>
        <v>0</v>
      </c>
    </row>
    <row r="708" spans="1:11">
      <c r="A708" s="251" t="s">
        <v>1376</v>
      </c>
      <c r="B708" s="2347">
        <f>'DCA Underwriting Assumptions'!$Q$118</f>
        <v>0.03</v>
      </c>
      <c r="C708" s="1213"/>
      <c r="D708" s="253" t="s">
        <v>1377</v>
      </c>
      <c r="G708" s="2351"/>
      <c r="H708" s="2310" t="s">
        <v>1378</v>
      </c>
      <c r="K708" s="2349" t="e">
        <f>IF(($B$15+$B$16+$B$17+$B$18)=0,"",-B722/($B$15+$B$16+$B$17+$B$18))</f>
        <v>#VALUE!</v>
      </c>
    </row>
    <row r="709" spans="1:11">
      <c r="A709" s="251" t="s">
        <v>1379</v>
      </c>
      <c r="B709" s="2347">
        <f>'Part VI-Pro Forma'!B9</f>
        <v>7.0000000000000007E-2</v>
      </c>
      <c r="C709" s="2102" t="str">
        <f>IF(B709&lt;0.07, "Must be &gt;= 7%!","")</f>
        <v/>
      </c>
      <c r="D709" s="253" t="s">
        <v>1380</v>
      </c>
      <c r="G709" s="2352" t="str">
        <f>'Part VI-Pro Forma'!G9</f>
        <v>Yes</v>
      </c>
      <c r="H709" s="2353" t="s">
        <v>1381</v>
      </c>
      <c r="K709" s="2354">
        <f>'Part VI-Pro Forma'!K9</f>
        <v>52058</v>
      </c>
    </row>
    <row r="710" spans="1:11">
      <c r="A710" s="251" t="s">
        <v>1382</v>
      </c>
      <c r="B710" s="2347">
        <v>0.02</v>
      </c>
      <c r="D710" s="253" t="s">
        <v>1383</v>
      </c>
      <c r="G710" s="2352" t="str">
        <f>'Part VI-Pro Forma'!G10</f>
        <v>No</v>
      </c>
      <c r="H710" s="2353" t="s">
        <v>1384</v>
      </c>
      <c r="K710" s="2355">
        <f>'Part VI-Pro Forma'!K10</f>
        <v>0</v>
      </c>
    </row>
    <row r="712" spans="1:11">
      <c r="A712" s="255" t="s">
        <v>1385</v>
      </c>
      <c r="D712" s="2329"/>
    </row>
    <row r="714" spans="1:11">
      <c r="A714" s="255" t="s">
        <v>495</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1387</v>
      </c>
      <c r="B715" s="2356">
        <f>'Part V-Revenues &amp; Expenses'!$M$50</f>
        <v>813024</v>
      </c>
      <c r="C715" s="2356" t="e">
        <f t="shared" ref="C715:K715" si="376">$B$15*(1+$B$6)^(C714-1)</f>
        <v>#VALUE!</v>
      </c>
      <c r="D715" s="2356" t="e">
        <f t="shared" si="376"/>
        <v>#VALUE!</v>
      </c>
      <c r="E715" s="2356" t="e">
        <f t="shared" si="376"/>
        <v>#VALUE!</v>
      </c>
      <c r="F715" s="2356" t="e">
        <f t="shared" si="376"/>
        <v>#VALUE!</v>
      </c>
      <c r="G715" s="2356" t="e">
        <f t="shared" si="376"/>
        <v>#VALUE!</v>
      </c>
      <c r="H715" s="2356" t="e">
        <f t="shared" si="376"/>
        <v>#VALUE!</v>
      </c>
      <c r="I715" s="2356" t="e">
        <f t="shared" si="376"/>
        <v>#VALUE!</v>
      </c>
      <c r="J715" s="2356" t="e">
        <f t="shared" si="376"/>
        <v>#VALUE!</v>
      </c>
      <c r="K715" s="2356" t="e">
        <f t="shared" si="376"/>
        <v>#VALUE!</v>
      </c>
    </row>
    <row r="716" spans="1:11">
      <c r="A716" s="251" t="s">
        <v>1272</v>
      </c>
      <c r="B716" s="2356">
        <f>MIN(B715*B710,'Part V-Revenues &amp; Expenses'!$H$183)</f>
        <v>16260.48</v>
      </c>
      <c r="C716" s="2356" t="e">
        <f t="shared" ref="C716:K716" si="377">$B$16*(1+$B$6)^(C714-1)</f>
        <v>#VALUE!</v>
      </c>
      <c r="D716" s="2356" t="e">
        <f t="shared" si="377"/>
        <v>#VALUE!</v>
      </c>
      <c r="E716" s="2356" t="e">
        <f t="shared" si="377"/>
        <v>#VALUE!</v>
      </c>
      <c r="F716" s="2356" t="e">
        <f t="shared" si="377"/>
        <v>#VALUE!</v>
      </c>
      <c r="G716" s="2356" t="e">
        <f t="shared" si="377"/>
        <v>#VALUE!</v>
      </c>
      <c r="H716" s="2356" t="e">
        <f t="shared" si="377"/>
        <v>#VALUE!</v>
      </c>
      <c r="I716" s="2356" t="e">
        <f t="shared" si="377"/>
        <v>#VALUE!</v>
      </c>
      <c r="J716" s="2356" t="e">
        <f t="shared" si="377"/>
        <v>#VALUE!</v>
      </c>
      <c r="K716" s="2356" t="e">
        <f t="shared" si="377"/>
        <v>#VALUE!</v>
      </c>
    </row>
    <row r="717" spans="1:11">
      <c r="A717" s="251" t="s">
        <v>1390</v>
      </c>
      <c r="B717" s="2356" t="e">
        <f t="shared" ref="B717:K717" si="378">-(B715+B716)*$B$9</f>
        <v>#VALUE!</v>
      </c>
      <c r="C717" s="2356" t="e">
        <f t="shared" si="378"/>
        <v>#VALUE!</v>
      </c>
      <c r="D717" s="2356" t="e">
        <f t="shared" si="378"/>
        <v>#VALUE!</v>
      </c>
      <c r="E717" s="2356" t="e">
        <f t="shared" si="378"/>
        <v>#VALUE!</v>
      </c>
      <c r="F717" s="2356" t="e">
        <f t="shared" si="378"/>
        <v>#VALUE!</v>
      </c>
      <c r="G717" s="2356" t="e">
        <f t="shared" si="378"/>
        <v>#VALUE!</v>
      </c>
      <c r="H717" s="2356" t="e">
        <f t="shared" si="378"/>
        <v>#VALUE!</v>
      </c>
      <c r="I717" s="2356" t="e">
        <f t="shared" si="378"/>
        <v>#VALUE!</v>
      </c>
      <c r="J717" s="2356" t="e">
        <f t="shared" si="378"/>
        <v>#VALUE!</v>
      </c>
      <c r="K717" s="2356" t="e">
        <f t="shared" si="378"/>
        <v>#VALUE!</v>
      </c>
    </row>
    <row r="718" spans="1:11">
      <c r="A718" s="251" t="s">
        <v>1393</v>
      </c>
      <c r="B718" s="2356">
        <f>+'Part V-Revenues &amp; Expenses'!H806</f>
        <v>0</v>
      </c>
      <c r="C718" s="2356">
        <f>+'Part V-Revenues &amp; Expenses'!I806</f>
        <v>0</v>
      </c>
      <c r="D718" s="2356">
        <f>+'Part V-Revenues &amp; Expenses'!J806</f>
        <v>0</v>
      </c>
      <c r="E718" s="2356">
        <f>+'Part V-Revenues &amp; Expenses'!K806</f>
        <v>0</v>
      </c>
      <c r="F718" s="2356">
        <f>+'Part V-Revenues &amp; Expenses'!L806</f>
        <v>0</v>
      </c>
      <c r="G718" s="2356">
        <f>+'Part V-Revenues &amp; Expenses'!M806</f>
        <v>0</v>
      </c>
      <c r="H718" s="2356">
        <f>+'Part V-Revenues &amp; Expenses'!N806</f>
        <v>0</v>
      </c>
      <c r="I718" s="2356">
        <f>+'Part V-Revenues &amp; Expenses'!O806</f>
        <v>0</v>
      </c>
      <c r="J718" s="2356">
        <f>+'Part V-Revenues &amp; Expenses'!P806</f>
        <v>0</v>
      </c>
      <c r="K718" s="2356">
        <f>+'Part V-Revenues &amp; Expenses'!Q806</f>
        <v>0</v>
      </c>
    </row>
    <row r="719" spans="1:11">
      <c r="A719" s="251" t="s">
        <v>1394</v>
      </c>
      <c r="B719" s="2356">
        <f>'Part V-Revenues &amp; Expenses'!H810</f>
        <v>0</v>
      </c>
      <c r="C719" s="2356">
        <f>'Part V-Revenues &amp; Expenses'!I810</f>
        <v>0</v>
      </c>
      <c r="D719" s="2356">
        <f>'Part V-Revenues &amp; Expenses'!J810</f>
        <v>0</v>
      </c>
      <c r="E719" s="2356">
        <f>'Part V-Revenues &amp; Expenses'!K810</f>
        <v>0</v>
      </c>
      <c r="F719" s="2356">
        <f>'Part V-Revenues &amp; Expenses'!L810</f>
        <v>0</v>
      </c>
      <c r="G719" s="2356">
        <f>'Part V-Revenues &amp; Expenses'!M810</f>
        <v>0</v>
      </c>
      <c r="H719" s="2356">
        <f>'Part V-Revenues &amp; Expenses'!N810</f>
        <v>0</v>
      </c>
      <c r="I719" s="2356">
        <f>'Part V-Revenues &amp; Expenses'!O810</f>
        <v>0</v>
      </c>
      <c r="J719" s="2356">
        <f>'Part V-Revenues &amp; Expenses'!P810</f>
        <v>0</v>
      </c>
      <c r="K719" s="2356">
        <f>'Part V-Revenues &amp; Expenses'!Q810</f>
        <v>0</v>
      </c>
    </row>
    <row r="720" spans="1:11">
      <c r="A720" s="251" t="s">
        <v>1395</v>
      </c>
      <c r="B720" s="2356" t="e">
        <f>SUM(B715:B719)</f>
        <v>#VALUE!</v>
      </c>
      <c r="C720" s="2356" t="e">
        <f t="shared" ref="C720:K720" si="379">SUM(C715:C719)</f>
        <v>#VALUE!</v>
      </c>
      <c r="D720" s="2356" t="e">
        <f t="shared" si="379"/>
        <v>#VALUE!</v>
      </c>
      <c r="E720" s="2356" t="e">
        <f t="shared" si="379"/>
        <v>#VALUE!</v>
      </c>
      <c r="F720" s="2356" t="e">
        <f t="shared" si="379"/>
        <v>#VALUE!</v>
      </c>
      <c r="G720" s="2356" t="e">
        <f t="shared" si="379"/>
        <v>#VALUE!</v>
      </c>
      <c r="H720" s="2356" t="e">
        <f t="shared" si="379"/>
        <v>#VALUE!</v>
      </c>
      <c r="I720" s="2356" t="e">
        <f t="shared" si="379"/>
        <v>#VALUE!</v>
      </c>
      <c r="J720" s="2356" t="e">
        <f t="shared" si="379"/>
        <v>#VALUE!</v>
      </c>
      <c r="K720" s="2356" t="e">
        <f t="shared" si="379"/>
        <v>#VALUE!</v>
      </c>
    </row>
    <row r="721" spans="1:11">
      <c r="A721" s="251" t="s">
        <v>1396</v>
      </c>
      <c r="B721" s="2356">
        <f>-('Part V-Revenues &amp; Expenses'!$Q$232-'Part V-Revenues &amp; Expenses'!$Q$224)</f>
        <v>-400329</v>
      </c>
      <c r="C721" s="2356" t="e">
        <f t="shared" ref="C721:K721" si="380">$B$21*(1+$B$7)^(C714-1)</f>
        <v>#VALUE!</v>
      </c>
      <c r="D721" s="2356" t="e">
        <f t="shared" si="380"/>
        <v>#VALUE!</v>
      </c>
      <c r="E721" s="2356" t="e">
        <f t="shared" si="380"/>
        <v>#VALUE!</v>
      </c>
      <c r="F721" s="2356" t="e">
        <f t="shared" si="380"/>
        <v>#VALUE!</v>
      </c>
      <c r="G721" s="2356" t="e">
        <f t="shared" si="380"/>
        <v>#VALUE!</v>
      </c>
      <c r="H721" s="2356" t="e">
        <f t="shared" si="380"/>
        <v>#VALUE!</v>
      </c>
      <c r="I721" s="2356" t="e">
        <f t="shared" si="380"/>
        <v>#VALUE!</v>
      </c>
      <c r="J721" s="2356" t="e">
        <f t="shared" si="380"/>
        <v>#VALUE!</v>
      </c>
      <c r="K721" s="2356" t="e">
        <f t="shared" si="380"/>
        <v>#VALUE!</v>
      </c>
    </row>
    <row r="722" spans="1:11">
      <c r="A722" s="251" t="s">
        <v>1397</v>
      </c>
      <c r="B722" s="2356">
        <f>IF(AND('Part VI-Pro Forma'!$G$9="Yes",'Part VI-Pro Forma'!$G$10="Yes"),"Choose One!",IF('Part VI-Pro Forma'!$G$9="Yes",ROUND((-$K$9*(1+'Part VI-Pro Forma'!$B$7)^('Part VI-Pro Forma'!B631-1)),),IF('Part VI-Pro Forma'!$G$10="Yes",ROUND((-(SUM(B715:B718)*'Part VI-Pro Forma'!$K$10)),),"Choose mgt fee")))</f>
        <v>0</v>
      </c>
      <c r="C722" s="2356">
        <f>IF(AND('Part VI-Pro Forma'!$G$9="Yes",'Part VI-Pro Forma'!$G$10="Yes"),"Choose One!",IF('Part VI-Pro Forma'!$G$9="Yes",ROUND((-$K$9*(1+'Part VI-Pro Forma'!$B$7)^('Part VI-Pro Forma'!C631-1)),),IF('Part VI-Pro Forma'!$G$10="Yes",ROUND((-(SUM(C715:C718)*'Part VI-Pro Forma'!$K$10)),),"Choose mgt fee")))</f>
        <v>0</v>
      </c>
      <c r="D722" s="2356">
        <f>IF(AND('Part VI-Pro Forma'!$G$9="Yes",'Part VI-Pro Forma'!$G$10="Yes"),"Choose One!",IF('Part VI-Pro Forma'!$G$9="Yes",ROUND((-$K$9*(1+'Part VI-Pro Forma'!$B$7)^('Part VI-Pro Forma'!D631-1)),),IF('Part VI-Pro Forma'!$G$10="Yes",ROUND((-(SUM(D715:D718)*'Part VI-Pro Forma'!$K$10)),),"Choose mgt fee")))</f>
        <v>0</v>
      </c>
      <c r="E722" s="2356">
        <f>IF(AND('Part VI-Pro Forma'!$G$9="Yes",'Part VI-Pro Forma'!$G$10="Yes"),"Choose One!",IF('Part VI-Pro Forma'!$G$9="Yes",ROUND((-$K$9*(1+'Part VI-Pro Forma'!$B$7)^('Part VI-Pro Forma'!E631-1)),),IF('Part VI-Pro Forma'!$G$10="Yes",ROUND((-(SUM(E715:E718)*'Part VI-Pro Forma'!$K$10)),),"Choose mgt fee")))</f>
        <v>0</v>
      </c>
      <c r="F722" s="2356">
        <f>IF(AND('Part VI-Pro Forma'!$G$9="Yes",'Part VI-Pro Forma'!$G$10="Yes"),"Choose One!",IF('Part VI-Pro Forma'!$G$9="Yes",ROUND((-$K$9*(1+'Part VI-Pro Forma'!$B$7)^('Part VI-Pro Forma'!F631-1)),),IF('Part VI-Pro Forma'!$G$10="Yes",ROUND((-(SUM(F715:F718)*'Part VI-Pro Forma'!$K$10)),),"Choose mgt fee")))</f>
        <v>0</v>
      </c>
      <c r="G722" s="2356">
        <f>IF(AND('Part VI-Pro Forma'!$G$9="Yes",'Part VI-Pro Forma'!$G$10="Yes"),"Choose One!",IF('Part VI-Pro Forma'!$G$9="Yes",ROUND((-$K$9*(1+'Part VI-Pro Forma'!$B$7)^('Part VI-Pro Forma'!G631-1)),),IF('Part VI-Pro Forma'!$G$10="Yes",ROUND((-(SUM(G715:G718)*'Part VI-Pro Forma'!$K$10)),),"Choose mgt fee")))</f>
        <v>0</v>
      </c>
      <c r="H722" s="2356">
        <f>IF(AND('Part VI-Pro Forma'!$G$9="Yes",'Part VI-Pro Forma'!$G$10="Yes"),"Choose One!",IF('Part VI-Pro Forma'!$G$9="Yes",ROUND((-$K$9*(1+'Part VI-Pro Forma'!$B$7)^('Part VI-Pro Forma'!H631-1)),),IF('Part VI-Pro Forma'!$G$10="Yes",ROUND((-(SUM(H715:H718)*'Part VI-Pro Forma'!$K$10)),),"Choose mgt fee")))</f>
        <v>0</v>
      </c>
      <c r="I722" s="2356">
        <f>IF(AND('Part VI-Pro Forma'!$G$9="Yes",'Part VI-Pro Forma'!$G$10="Yes"),"Choose One!",IF('Part VI-Pro Forma'!$G$9="Yes",ROUND((-$K$9*(1+'Part VI-Pro Forma'!$B$7)^('Part VI-Pro Forma'!I631-1)),),IF('Part VI-Pro Forma'!$G$10="Yes",ROUND((-(SUM(I715:I718)*'Part VI-Pro Forma'!$K$10)),),"Choose mgt fee")))</f>
        <v>0</v>
      </c>
      <c r="J722" s="2356">
        <f>IF(AND('Part VI-Pro Forma'!$G$9="Yes",'Part VI-Pro Forma'!$G$10="Yes"),"Choose One!",IF('Part VI-Pro Forma'!$G$9="Yes",ROUND((-$K$9*(1+'Part VI-Pro Forma'!$B$7)^('Part VI-Pro Forma'!J631-1)),),IF('Part VI-Pro Forma'!$G$10="Yes",ROUND((-(SUM(J715:J718)*'Part VI-Pro Forma'!$K$10)),),"Choose mgt fee")))</f>
        <v>0</v>
      </c>
      <c r="K722" s="2356">
        <f>IF(AND('Part VI-Pro Forma'!$G$9="Yes",'Part VI-Pro Forma'!$G$10="Yes"),"Choose One!",IF('Part VI-Pro Forma'!$G$9="Yes",ROUND((-$K$9*(1+'Part VI-Pro Forma'!$B$7)^('Part VI-Pro Forma'!K631-1)),),IF('Part VI-Pro Forma'!$G$10="Yes",ROUND((-(SUM(K715:K718)*'Part VI-Pro Forma'!$K$10)),),"Choose mgt fee")))</f>
        <v>0</v>
      </c>
    </row>
    <row r="723" spans="1:11">
      <c r="A723" s="251" t="s">
        <v>1398</v>
      </c>
      <c r="B723" s="2356">
        <f>-('Part V-Revenues &amp; Expenses'!$Q$238)</f>
        <v>-17400</v>
      </c>
      <c r="C723" s="2356" t="e">
        <f t="shared" ref="C723:K723" si="381">$B$23*(1+$B$8)^(C714-1)</f>
        <v>#VALUE!</v>
      </c>
      <c r="D723" s="2356" t="e">
        <f t="shared" si="381"/>
        <v>#VALUE!</v>
      </c>
      <c r="E723" s="2356" t="e">
        <f t="shared" si="381"/>
        <v>#VALUE!</v>
      </c>
      <c r="F723" s="2356" t="e">
        <f t="shared" si="381"/>
        <v>#VALUE!</v>
      </c>
      <c r="G723" s="2356" t="e">
        <f t="shared" si="381"/>
        <v>#VALUE!</v>
      </c>
      <c r="H723" s="2356" t="e">
        <f t="shared" si="381"/>
        <v>#VALUE!</v>
      </c>
      <c r="I723" s="2356" t="e">
        <f t="shared" si="381"/>
        <v>#VALUE!</v>
      </c>
      <c r="J723" s="2356" t="e">
        <f t="shared" si="381"/>
        <v>#VALUE!</v>
      </c>
      <c r="K723" s="2356" t="e">
        <f t="shared" si="381"/>
        <v>#VALUE!</v>
      </c>
    </row>
    <row r="724" spans="1:11">
      <c r="A724" s="251" t="s">
        <v>1399</v>
      </c>
      <c r="B724" s="2356">
        <f>'Part VI-Pro Forma'!B24</f>
        <v>0</v>
      </c>
      <c r="C724" s="2356">
        <f>'Part VI-Pro Forma'!C24</f>
        <v>0</v>
      </c>
      <c r="D724" s="2356">
        <f>'Part VI-Pro Forma'!D24</f>
        <v>0</v>
      </c>
      <c r="E724" s="2356">
        <f>'Part VI-Pro Forma'!E24</f>
        <v>0</v>
      </c>
      <c r="F724" s="2356">
        <f>'Part VI-Pro Forma'!F24</f>
        <v>0</v>
      </c>
      <c r="G724" s="2356">
        <f>'Part VI-Pro Forma'!G24</f>
        <v>0</v>
      </c>
      <c r="H724" s="2356">
        <f>'Part VI-Pro Forma'!H24</f>
        <v>0</v>
      </c>
      <c r="I724" s="2356">
        <f>'Part VI-Pro Forma'!I24</f>
        <v>0</v>
      </c>
      <c r="J724" s="2356">
        <f>'Part VI-Pro Forma'!J24</f>
        <v>0</v>
      </c>
      <c r="K724" s="2356">
        <f>'Part VI-Pro Forma'!K24</f>
        <v>0</v>
      </c>
    </row>
    <row r="725" spans="1:11">
      <c r="A725" s="251" t="s">
        <v>1400</v>
      </c>
      <c r="B725" s="2356" t="e">
        <f>SUM(B720:B724)</f>
        <v>#VALUE!</v>
      </c>
      <c r="C725" s="2356" t="e">
        <f t="shared" ref="C725:J725" si="382">SUM(C720:C724)</f>
        <v>#VALUE!</v>
      </c>
      <c r="D725" s="2356" t="e">
        <f t="shared" si="382"/>
        <v>#VALUE!</v>
      </c>
      <c r="E725" s="2356" t="e">
        <f t="shared" si="382"/>
        <v>#VALUE!</v>
      </c>
      <c r="F725" s="2356" t="e">
        <f t="shared" si="382"/>
        <v>#VALUE!</v>
      </c>
      <c r="G725" s="2356" t="e">
        <f t="shared" si="382"/>
        <v>#VALUE!</v>
      </c>
      <c r="H725" s="2356" t="e">
        <f t="shared" si="382"/>
        <v>#VALUE!</v>
      </c>
      <c r="I725" s="2356" t="e">
        <f t="shared" si="382"/>
        <v>#VALUE!</v>
      </c>
      <c r="J725" s="2356" t="e">
        <f t="shared" si="382"/>
        <v>#VALUE!</v>
      </c>
      <c r="K725" s="2356" t="e">
        <f>SUM(K720:K724)</f>
        <v>#VALUE!</v>
      </c>
    </row>
    <row r="726" spans="1:11">
      <c r="A726" s="251" t="s">
        <v>406</v>
      </c>
      <c r="B726" s="2356">
        <f>'Part VI-Pro Forma'!B26</f>
        <v>-231913.23633240676</v>
      </c>
      <c r="C726" s="2356">
        <f>'Part VI-Pro Forma'!C26</f>
        <v>-231913.23633240676</v>
      </c>
      <c r="D726" s="2356">
        <f>'Part VI-Pro Forma'!D26</f>
        <v>-231913.23633240676</v>
      </c>
      <c r="E726" s="2356">
        <f>'Part VI-Pro Forma'!E26</f>
        <v>-231913.23633240676</v>
      </c>
      <c r="F726" s="2356">
        <f>'Part VI-Pro Forma'!F26</f>
        <v>-231913.23633240676</v>
      </c>
      <c r="G726" s="2356">
        <f>'Part VI-Pro Forma'!G26</f>
        <v>-231913.23633240676</v>
      </c>
      <c r="H726" s="2356">
        <f>'Part VI-Pro Forma'!H26</f>
        <v>-231913.23633240676</v>
      </c>
      <c r="I726" s="2356">
        <f>'Part VI-Pro Forma'!I26</f>
        <v>-231913.23633240676</v>
      </c>
      <c r="J726" s="2356">
        <f>'Part VI-Pro Forma'!J26</f>
        <v>-231913.23633240676</v>
      </c>
      <c r="K726" s="2356">
        <f>'Part VI-Pro Forma'!K26</f>
        <v>-231913.23633240676</v>
      </c>
    </row>
    <row r="727" spans="1:11">
      <c r="A727" s="251" t="s">
        <v>409</v>
      </c>
      <c r="B727" s="2356">
        <f>'Part VI-Pro Forma'!B27</f>
        <v>0</v>
      </c>
      <c r="C727" s="2356">
        <f>'Part VI-Pro Forma'!C27</f>
        <v>0</v>
      </c>
      <c r="D727" s="2356">
        <f>'Part VI-Pro Forma'!D27</f>
        <v>0</v>
      </c>
      <c r="E727" s="2356">
        <f>'Part VI-Pro Forma'!E27</f>
        <v>0</v>
      </c>
      <c r="F727" s="2356">
        <f>'Part VI-Pro Forma'!F27</f>
        <v>0</v>
      </c>
      <c r="G727" s="2356">
        <f>'Part VI-Pro Forma'!G27</f>
        <v>0</v>
      </c>
      <c r="H727" s="2356">
        <f>'Part VI-Pro Forma'!H27</f>
        <v>0</v>
      </c>
      <c r="I727" s="2356">
        <f>'Part VI-Pro Forma'!I27</f>
        <v>0</v>
      </c>
      <c r="J727" s="2356">
        <f>'Part VI-Pro Forma'!J27</f>
        <v>0</v>
      </c>
      <c r="K727" s="2356">
        <f>'Part VI-Pro Forma'!K27</f>
        <v>0</v>
      </c>
    </row>
    <row r="728" spans="1:11">
      <c r="A728" s="251" t="s">
        <v>412</v>
      </c>
      <c r="B728" s="2356">
        <f>'Part VI-Pro Forma'!B28</f>
        <v>0</v>
      </c>
      <c r="C728" s="2356">
        <f>'Part VI-Pro Forma'!C28</f>
        <v>0</v>
      </c>
      <c r="D728" s="2356">
        <f>'Part VI-Pro Forma'!D28</f>
        <v>0</v>
      </c>
      <c r="E728" s="2356">
        <f>'Part VI-Pro Forma'!E28</f>
        <v>0</v>
      </c>
      <c r="F728" s="2356">
        <f>'Part VI-Pro Forma'!F28</f>
        <v>0</v>
      </c>
      <c r="G728" s="2356">
        <f>'Part VI-Pro Forma'!G28</f>
        <v>0</v>
      </c>
      <c r="H728" s="2356">
        <f>'Part VI-Pro Forma'!H28</f>
        <v>0</v>
      </c>
      <c r="I728" s="2356">
        <f>'Part VI-Pro Forma'!I28</f>
        <v>0</v>
      </c>
      <c r="J728" s="2356">
        <f>'Part VI-Pro Forma'!J28</f>
        <v>0</v>
      </c>
      <c r="K728" s="2356">
        <f>'Part VI-Pro Forma'!K28</f>
        <v>0</v>
      </c>
    </row>
    <row r="729" spans="1:11">
      <c r="A729" s="251" t="s">
        <v>1401</v>
      </c>
      <c r="B729" s="2356">
        <f>'Part VI-Pro Forma'!B30</f>
        <v>0</v>
      </c>
      <c r="C729" s="2356">
        <f>'Part VI-Pro Forma'!C29</f>
        <v>0</v>
      </c>
      <c r="D729" s="2356">
        <f>'Part VI-Pro Forma'!D29</f>
        <v>0</v>
      </c>
      <c r="E729" s="2356">
        <f>'Part VI-Pro Forma'!E29</f>
        <v>0</v>
      </c>
      <c r="F729" s="2356">
        <f>'Part VI-Pro Forma'!F29</f>
        <v>0</v>
      </c>
      <c r="G729" s="2356">
        <f>'Part VI-Pro Forma'!G29</f>
        <v>0</v>
      </c>
      <c r="H729" s="2356">
        <f>'Part VI-Pro Forma'!H29</f>
        <v>0</v>
      </c>
      <c r="I729" s="2356">
        <f>'Part VI-Pro Forma'!I29</f>
        <v>0</v>
      </c>
      <c r="J729" s="2356">
        <f>'Part VI-Pro Forma'!J29</f>
        <v>0</v>
      </c>
      <c r="K729" s="2356">
        <f>'Part VI-Pro Forma'!K29</f>
        <v>0</v>
      </c>
    </row>
    <row r="730" spans="1:11">
      <c r="A730" s="251" t="s">
        <v>1402</v>
      </c>
      <c r="B730" s="2356"/>
      <c r="C730" s="2356"/>
      <c r="D730" s="2356"/>
      <c r="E730" s="2356"/>
      <c r="F730" s="2356"/>
      <c r="G730" s="2356"/>
      <c r="H730" s="2356"/>
      <c r="I730" s="2356"/>
      <c r="J730" s="2356"/>
      <c r="K730" s="2356"/>
    </row>
    <row r="731" spans="1:11">
      <c r="A731" s="251" t="s">
        <v>1403</v>
      </c>
      <c r="B731" s="2356">
        <f>'Part VI-Pro Forma'!B31</f>
        <v>-7500</v>
      </c>
      <c r="C731" s="2356">
        <f>'Part VI-Pro Forma'!C31</f>
        <v>-7500</v>
      </c>
      <c r="D731" s="2356">
        <f>'Part VI-Pro Forma'!D31</f>
        <v>-7500</v>
      </c>
      <c r="E731" s="2356">
        <f>'Part VI-Pro Forma'!E31</f>
        <v>-7500</v>
      </c>
      <c r="F731" s="2356">
        <f>'Part VI-Pro Forma'!F31</f>
        <v>-7500</v>
      </c>
      <c r="G731" s="2356">
        <f>'Part VI-Pro Forma'!G31</f>
        <v>-7500</v>
      </c>
      <c r="H731" s="2356">
        <f>'Part VI-Pro Forma'!H31</f>
        <v>-7500</v>
      </c>
      <c r="I731" s="2356">
        <f>'Part VI-Pro Forma'!I31</f>
        <v>-7500</v>
      </c>
      <c r="J731" s="2356">
        <f>'Part VI-Pro Forma'!J31</f>
        <v>-7500</v>
      </c>
      <c r="K731" s="2356">
        <f>'Part VI-Pro Forma'!K31</f>
        <v>-7500</v>
      </c>
    </row>
    <row r="732" spans="1:11">
      <c r="A732" s="251" t="s">
        <v>1404</v>
      </c>
      <c r="B732" s="2356">
        <f>'Part VI-Pro Forma'!B32</f>
        <v>-6582</v>
      </c>
      <c r="C732" s="2356">
        <f>'Part VI-Pro Forma'!C32</f>
        <v>0</v>
      </c>
      <c r="D732" s="2356">
        <f>'Part VI-Pro Forma'!D32</f>
        <v>0</v>
      </c>
      <c r="E732" s="2356">
        <f>'Part VI-Pro Forma'!E32</f>
        <v>0</v>
      </c>
      <c r="F732" s="2356">
        <f>'Part VI-Pro Forma'!F32</f>
        <v>0</v>
      </c>
      <c r="G732" s="2356">
        <f>'Part VI-Pro Forma'!G32</f>
        <v>0</v>
      </c>
      <c r="H732" s="2356">
        <f>'Part VI-Pro Forma'!H32</f>
        <v>0</v>
      </c>
      <c r="I732" s="2356">
        <f>'Part VI-Pro Forma'!I32</f>
        <v>0</v>
      </c>
      <c r="J732" s="2356">
        <f>'Part VI-Pro Forma'!J32</f>
        <v>0</v>
      </c>
      <c r="K732" s="2356">
        <f>'Part VI-Pro Forma'!K32</f>
        <v>0</v>
      </c>
    </row>
    <row r="733" spans="1:11">
      <c r="A733" s="251" t="s">
        <v>446</v>
      </c>
      <c r="B733" s="2356" t="e">
        <f t="shared" ref="B733:K733" si="383">SUM(B725:B732)</f>
        <v>#VALUE!</v>
      </c>
      <c r="C733" s="2356" t="e">
        <f t="shared" si="383"/>
        <v>#VALUE!</v>
      </c>
      <c r="D733" s="2356" t="e">
        <f t="shared" si="383"/>
        <v>#VALUE!</v>
      </c>
      <c r="E733" s="2356" t="e">
        <f t="shared" si="383"/>
        <v>#VALUE!</v>
      </c>
      <c r="F733" s="2356" t="e">
        <f t="shared" si="383"/>
        <v>#VALUE!</v>
      </c>
      <c r="G733" s="2356" t="e">
        <f t="shared" si="383"/>
        <v>#VALUE!</v>
      </c>
      <c r="H733" s="2356" t="e">
        <f t="shared" si="383"/>
        <v>#VALUE!</v>
      </c>
      <c r="I733" s="2356" t="e">
        <f t="shared" si="383"/>
        <v>#VALUE!</v>
      </c>
      <c r="J733" s="2356" t="e">
        <f t="shared" si="383"/>
        <v>#VALUE!</v>
      </c>
      <c r="K733" s="2356" t="e">
        <f t="shared" si="383"/>
        <v>#VALUE!</v>
      </c>
    </row>
    <row r="734" spans="1:11">
      <c r="A734" s="251" t="str">
        <f>IF('Part II-Sources of Funds'!$E$40 = "Neither", "", "DCR Mortgage A")</f>
        <v>DCR Mortgage A</v>
      </c>
      <c r="B734" s="2357" t="e">
        <f t="shared" ref="B734:K734" si="384">IF(B726=0,"",-B725/B726)</f>
        <v>#VALUE!</v>
      </c>
      <c r="C734" s="2357" t="e">
        <f t="shared" si="384"/>
        <v>#VALUE!</v>
      </c>
      <c r="D734" s="2357" t="e">
        <f t="shared" si="384"/>
        <v>#VALUE!</v>
      </c>
      <c r="E734" s="2357" t="e">
        <f t="shared" si="384"/>
        <v>#VALUE!</v>
      </c>
      <c r="F734" s="2357" t="e">
        <f t="shared" si="384"/>
        <v>#VALUE!</v>
      </c>
      <c r="G734" s="2357" t="e">
        <f t="shared" si="384"/>
        <v>#VALUE!</v>
      </c>
      <c r="H734" s="2357" t="e">
        <f t="shared" si="384"/>
        <v>#VALUE!</v>
      </c>
      <c r="I734" s="2357" t="e">
        <f t="shared" si="384"/>
        <v>#VALUE!</v>
      </c>
      <c r="J734" s="2357" t="e">
        <f t="shared" si="384"/>
        <v>#VALUE!</v>
      </c>
      <c r="K734" s="2357" t="e">
        <f t="shared" si="384"/>
        <v>#VALUE!</v>
      </c>
    </row>
    <row r="735" spans="1:11">
      <c r="A735" s="251" t="str">
        <f>IF('Part II-Sources of Funds'!$E$40 = "Neither", "", "DCR Mortgage B")</f>
        <v>DCR Mortgage B</v>
      </c>
      <c r="B735" s="2357" t="str">
        <f t="shared" ref="B735:K735" si="385">IF(B727=0,"",-(B725+B726)/B727)</f>
        <v/>
      </c>
      <c r="C735" s="2357" t="str">
        <f t="shared" si="385"/>
        <v/>
      </c>
      <c r="D735" s="2357" t="str">
        <f t="shared" si="385"/>
        <v/>
      </c>
      <c r="E735" s="2357" t="str">
        <f t="shared" si="385"/>
        <v/>
      </c>
      <c r="F735" s="2357" t="str">
        <f t="shared" si="385"/>
        <v/>
      </c>
      <c r="G735" s="2357" t="str">
        <f t="shared" si="385"/>
        <v/>
      </c>
      <c r="H735" s="2357" t="str">
        <f t="shared" si="385"/>
        <v/>
      </c>
      <c r="I735" s="2357" t="str">
        <f t="shared" si="385"/>
        <v/>
      </c>
      <c r="J735" s="2357" t="str">
        <f t="shared" si="385"/>
        <v/>
      </c>
      <c r="K735" s="2357" t="str">
        <f t="shared" si="385"/>
        <v/>
      </c>
    </row>
    <row r="736" spans="1:11">
      <c r="A736" s="251" t="str">
        <f>IF('Part II-Sources of Funds'!$E$40 = "Neither", "DCR First Mortgage", "DCR Mortgage C")</f>
        <v>DCR Mortgage C</v>
      </c>
      <c r="B736" s="2357" t="str">
        <f t="shared" ref="B736:K736" si="386">IF(B728=0,"",-(B725+B726+B727)/B728)</f>
        <v/>
      </c>
      <c r="C736" s="2357" t="str">
        <f t="shared" si="386"/>
        <v/>
      </c>
      <c r="D736" s="2357" t="str">
        <f t="shared" si="386"/>
        <v/>
      </c>
      <c r="E736" s="2357" t="str">
        <f t="shared" si="386"/>
        <v/>
      </c>
      <c r="F736" s="2357" t="str">
        <f t="shared" si="386"/>
        <v/>
      </c>
      <c r="G736" s="2357" t="str">
        <f t="shared" si="386"/>
        <v/>
      </c>
      <c r="H736" s="2357" t="str">
        <f t="shared" si="386"/>
        <v/>
      </c>
      <c r="I736" s="2357" t="str">
        <f t="shared" si="386"/>
        <v/>
      </c>
      <c r="J736" s="2357" t="str">
        <f t="shared" si="386"/>
        <v/>
      </c>
      <c r="K736" s="2357" t="str">
        <f t="shared" si="386"/>
        <v/>
      </c>
    </row>
    <row r="737" spans="1:11">
      <c r="A737" s="251" t="s">
        <v>1405</v>
      </c>
      <c r="B737" s="2357" t="str">
        <f t="shared" ref="B737:K737" si="387">IF(B729=0,"",-(B725+B726+B727+B728)/B729)</f>
        <v/>
      </c>
      <c r="C737" s="2357" t="str">
        <f t="shared" si="387"/>
        <v/>
      </c>
      <c r="D737" s="2357" t="str">
        <f t="shared" si="387"/>
        <v/>
      </c>
      <c r="E737" s="2357" t="str">
        <f t="shared" si="387"/>
        <v/>
      </c>
      <c r="F737" s="2357" t="str">
        <f t="shared" si="387"/>
        <v/>
      </c>
      <c r="G737" s="2357" t="str">
        <f t="shared" si="387"/>
        <v/>
      </c>
      <c r="H737" s="2357" t="str">
        <f t="shared" si="387"/>
        <v/>
      </c>
      <c r="I737" s="2357" t="str">
        <f t="shared" si="387"/>
        <v/>
      </c>
      <c r="J737" s="2357" t="str">
        <f t="shared" si="387"/>
        <v/>
      </c>
      <c r="K737" s="2357" t="str">
        <f t="shared" si="387"/>
        <v/>
      </c>
    </row>
    <row r="738" spans="1:11">
      <c r="A738" s="251" t="s">
        <v>1406</v>
      </c>
      <c r="B738" s="2357" t="e">
        <f t="shared" ref="B738:K738" si="388">IF(AND(B726=0,B727=0,B728=0,B729=0),"",-B725/(B726+B727+B728+B729))</f>
        <v>#VALUE!</v>
      </c>
      <c r="C738" s="2357" t="e">
        <f t="shared" si="388"/>
        <v>#VALUE!</v>
      </c>
      <c r="D738" s="2357" t="e">
        <f t="shared" si="388"/>
        <v>#VALUE!</v>
      </c>
      <c r="E738" s="2357" t="e">
        <f t="shared" si="388"/>
        <v>#VALUE!</v>
      </c>
      <c r="F738" s="2357" t="e">
        <f t="shared" si="388"/>
        <v>#VALUE!</v>
      </c>
      <c r="G738" s="2357" t="e">
        <f t="shared" si="388"/>
        <v>#VALUE!</v>
      </c>
      <c r="H738" s="2357" t="e">
        <f t="shared" si="388"/>
        <v>#VALUE!</v>
      </c>
      <c r="I738" s="2357" t="e">
        <f t="shared" si="388"/>
        <v>#VALUE!</v>
      </c>
      <c r="J738" s="2357" t="e">
        <f t="shared" si="388"/>
        <v>#VALUE!</v>
      </c>
      <c r="K738" s="2357" t="e">
        <f t="shared" si="388"/>
        <v>#VALUE!</v>
      </c>
    </row>
    <row r="739" spans="1:11">
      <c r="A739" s="251" t="s">
        <v>1407</v>
      </c>
      <c r="B739" s="2358" t="e">
        <f t="shared" ref="B739:K739" si="389">IF(OR(B722="Choose mgt fee",B722="Choose One!"),"",(B715+B716+B717+B718+B719) / -(B721+B722+B723))</f>
        <v>#VALUE!</v>
      </c>
      <c r="C739" s="2358" t="e">
        <f t="shared" si="389"/>
        <v>#VALUE!</v>
      </c>
      <c r="D739" s="2358" t="e">
        <f t="shared" si="389"/>
        <v>#VALUE!</v>
      </c>
      <c r="E739" s="2358" t="e">
        <f t="shared" si="389"/>
        <v>#VALUE!</v>
      </c>
      <c r="F739" s="2358" t="e">
        <f t="shared" si="389"/>
        <v>#VALUE!</v>
      </c>
      <c r="G739" s="2358" t="e">
        <f t="shared" si="389"/>
        <v>#VALUE!</v>
      </c>
      <c r="H739" s="2358" t="e">
        <f t="shared" si="389"/>
        <v>#VALUE!</v>
      </c>
      <c r="I739" s="2358" t="e">
        <f t="shared" si="389"/>
        <v>#VALUE!</v>
      </c>
      <c r="J739" s="2358" t="e">
        <f t="shared" si="389"/>
        <v>#VALUE!</v>
      </c>
      <c r="K739" s="2358" t="e">
        <f t="shared" si="389"/>
        <v>#VALUE!</v>
      </c>
    </row>
    <row r="740" spans="1:11">
      <c r="A740" s="251" t="s">
        <v>1408</v>
      </c>
      <c r="B740" s="2356">
        <f>'Part VI-Pro Forma'!B40</f>
        <v>3087327.141843067</v>
      </c>
      <c r="C740" s="2356">
        <f>'Part VI-Pro Forma'!C40</f>
        <v>3063067.0623329887</v>
      </c>
      <c r="D740" s="2356">
        <f>'Part VI-Pro Forma'!D40</f>
        <v>3037117.8035455556</v>
      </c>
      <c r="E740" s="2356">
        <f>'Part VI-Pro Forma'!E40</f>
        <v>3009361.7514131856</v>
      </c>
      <c r="F740" s="2356">
        <f>'Part VI-Pro Forma'!F40</f>
        <v>2979673.1026434591</v>
      </c>
      <c r="G740" s="2356">
        <f>'Part VI-Pro Forma'!G40</f>
        <v>2947917.2945202915</v>
      </c>
      <c r="H740" s="2356">
        <f>'Part VI-Pro Forma'!H40</f>
        <v>2913950.3950033374</v>
      </c>
      <c r="I740" s="2356">
        <f>'Part VI-Pro Forma'!I40</f>
        <v>2877618.450361276</v>
      </c>
      <c r="J740" s="2356">
        <f>'Part VI-Pro Forma'!J40</f>
        <v>2838756.7873821468</v>
      </c>
      <c r="K740" s="2356">
        <f>'Part VI-Pro Forma'!K40</f>
        <v>2797189.2669980316</v>
      </c>
    </row>
    <row r="741" spans="1:11">
      <c r="A741" s="251" t="s">
        <v>1409</v>
      </c>
      <c r="B741" s="2356">
        <f>'Part VI-Pro Forma'!B41</f>
        <v>2302819.9469620571</v>
      </c>
      <c r="C741" s="2356">
        <f>'Part VI-Pro Forma'!C41</f>
        <v>2325953.9860794572</v>
      </c>
      <c r="D741" s="2356">
        <f>'Part VI-Pro Forma'!D41</f>
        <v>2349320.428848993</v>
      </c>
      <c r="E741" s="2356">
        <f>'Part VI-Pro Forma'!E41</f>
        <v>2372921.6099886643</v>
      </c>
      <c r="F741" s="2356">
        <f>'Part VI-Pro Forma'!F41</f>
        <v>2396759.8876709561</v>
      </c>
      <c r="G741" s="2356">
        <f>'Part VI-Pro Forma'!G41</f>
        <v>2420837.6437584618</v>
      </c>
      <c r="H741" s="2356">
        <f>'Part VI-Pro Forma'!H41</f>
        <v>2445157.2840418736</v>
      </c>
      <c r="I741" s="2356">
        <f>'Part VI-Pro Forma'!I41</f>
        <v>2469721.238480363</v>
      </c>
      <c r="J741" s="2356">
        <f>'Part VI-Pro Forma'!J41</f>
        <v>2494531.961444376</v>
      </c>
      <c r="K741" s="2356">
        <f>'Part VI-Pro Forma'!K41</f>
        <v>2519591.9319608682</v>
      </c>
    </row>
    <row r="742" spans="1:11">
      <c r="A742" s="251" t="s">
        <v>1410</v>
      </c>
      <c r="B742" s="2356" t="str">
        <f>'Part VI-Pro Forma'!B42</f>
        <v/>
      </c>
      <c r="C742" s="2356" t="str">
        <f>'Part VI-Pro Forma'!C42</f>
        <v/>
      </c>
      <c r="D742" s="2356" t="str">
        <f>'Part VI-Pro Forma'!D42</f>
        <v/>
      </c>
      <c r="E742" s="2356" t="str">
        <f>'Part VI-Pro Forma'!E42</f>
        <v/>
      </c>
      <c r="F742" s="2356" t="str">
        <f>'Part VI-Pro Forma'!F42</f>
        <v/>
      </c>
      <c r="G742" s="2356" t="str">
        <f>'Part VI-Pro Forma'!G42</f>
        <v/>
      </c>
      <c r="H742" s="2356" t="str">
        <f>'Part VI-Pro Forma'!H42</f>
        <v/>
      </c>
      <c r="I742" s="2356" t="str">
        <f>'Part VI-Pro Forma'!I42</f>
        <v/>
      </c>
      <c r="J742" s="2356" t="str">
        <f>'Part VI-Pro Forma'!J42</f>
        <v/>
      </c>
      <c r="K742" s="2356" t="str">
        <f>'Part VI-Pro Forma'!K42</f>
        <v/>
      </c>
    </row>
    <row r="743" spans="1:11">
      <c r="A743" s="251" t="s">
        <v>1411</v>
      </c>
      <c r="B743" s="2356" t="str">
        <f>'Part VI-Pro Forma'!B43</f>
        <v/>
      </c>
      <c r="C743" s="2356" t="str">
        <f>'Part VI-Pro Forma'!C43</f>
        <v/>
      </c>
      <c r="D743" s="2356" t="str">
        <f>'Part VI-Pro Forma'!D43</f>
        <v/>
      </c>
      <c r="E743" s="2356" t="str">
        <f>'Part VI-Pro Forma'!E43</f>
        <v/>
      </c>
      <c r="F743" s="2356" t="str">
        <f>'Part VI-Pro Forma'!F43</f>
        <v/>
      </c>
      <c r="G743" s="2356" t="str">
        <f>'Part VI-Pro Forma'!G43</f>
        <v/>
      </c>
      <c r="H743" s="2356" t="str">
        <f>'Part VI-Pro Forma'!H43</f>
        <v/>
      </c>
      <c r="I743" s="2356" t="str">
        <f>'Part VI-Pro Forma'!I43</f>
        <v/>
      </c>
      <c r="J743" s="2356" t="str">
        <f>'Part VI-Pro Forma'!J43</f>
        <v/>
      </c>
      <c r="K743" s="2356" t="str">
        <f>'Part VI-Pro Forma'!K43</f>
        <v/>
      </c>
    </row>
    <row r="744" spans="1:11">
      <c r="A744" s="251" t="s">
        <v>1412</v>
      </c>
      <c r="B744" s="2356">
        <f>'Part VI-Pro Forma'!B44</f>
        <v>0</v>
      </c>
      <c r="C744" s="2356">
        <f>'Part VI-Pro Forma'!C44</f>
        <v>0</v>
      </c>
      <c r="D744" s="2356">
        <f>'Part VI-Pro Forma'!D44</f>
        <v>0</v>
      </c>
      <c r="E744" s="2356">
        <f>'Part VI-Pro Forma'!E44</f>
        <v>0</v>
      </c>
      <c r="F744" s="2356">
        <f>'Part VI-Pro Forma'!F44</f>
        <v>0</v>
      </c>
      <c r="G744" s="2356">
        <f>'Part VI-Pro Forma'!G44</f>
        <v>0</v>
      </c>
      <c r="H744" s="2356">
        <f>'Part VI-Pro Forma'!H44</f>
        <v>0</v>
      </c>
      <c r="I744" s="2356">
        <f>'Part VI-Pro Forma'!I44</f>
        <v>0</v>
      </c>
      <c r="J744" s="2356">
        <f>'Part VI-Pro Forma'!J44</f>
        <v>0</v>
      </c>
      <c r="K744" s="2356">
        <f>'Part VI-Pro Forma'!K44</f>
        <v>0</v>
      </c>
    </row>
    <row r="745" spans="1:11">
      <c r="B745" s="2356"/>
      <c r="C745" s="2356"/>
      <c r="D745" s="2356"/>
      <c r="E745" s="2356"/>
      <c r="F745" s="2356"/>
      <c r="G745" s="2356"/>
      <c r="H745" s="2356"/>
      <c r="I745" s="2356"/>
      <c r="J745" s="2356"/>
      <c r="K745" s="2356"/>
    </row>
    <row r="746" spans="1:11">
      <c r="A746" s="255" t="s">
        <v>495</v>
      </c>
      <c r="B746" s="2359">
        <f>K714+1</f>
        <v>11</v>
      </c>
      <c r="C746" s="2359">
        <f t="shared" ref="C746:K746" si="390">B746+1</f>
        <v>12</v>
      </c>
      <c r="D746" s="2359">
        <f t="shared" si="390"/>
        <v>13</v>
      </c>
      <c r="E746" s="2359">
        <f t="shared" si="390"/>
        <v>14</v>
      </c>
      <c r="F746" s="2359">
        <f t="shared" si="390"/>
        <v>15</v>
      </c>
      <c r="G746" s="2359">
        <f t="shared" si="390"/>
        <v>16</v>
      </c>
      <c r="H746" s="2359">
        <f t="shared" si="390"/>
        <v>17</v>
      </c>
      <c r="I746" s="2359">
        <f t="shared" si="390"/>
        <v>18</v>
      </c>
      <c r="J746" s="2359">
        <f t="shared" si="390"/>
        <v>19</v>
      </c>
      <c r="K746" s="2359">
        <f t="shared" si="390"/>
        <v>20</v>
      </c>
    </row>
    <row r="747" spans="1:11">
      <c r="A747" s="251" t="s">
        <v>1387</v>
      </c>
      <c r="B747" s="2356" t="e">
        <f t="shared" ref="B747:K747" si="391">$B$15*(1+$B$6)^(B746-1)</f>
        <v>#VALUE!</v>
      </c>
      <c r="C747" s="2356" t="e">
        <f t="shared" si="391"/>
        <v>#VALUE!</v>
      </c>
      <c r="D747" s="2356" t="e">
        <f t="shared" si="391"/>
        <v>#VALUE!</v>
      </c>
      <c r="E747" s="2356" t="e">
        <f t="shared" si="391"/>
        <v>#VALUE!</v>
      </c>
      <c r="F747" s="2356" t="e">
        <f t="shared" si="391"/>
        <v>#VALUE!</v>
      </c>
      <c r="G747" s="2356" t="e">
        <f t="shared" si="391"/>
        <v>#VALUE!</v>
      </c>
      <c r="H747" s="2356" t="e">
        <f t="shared" si="391"/>
        <v>#VALUE!</v>
      </c>
      <c r="I747" s="2356" t="e">
        <f t="shared" si="391"/>
        <v>#VALUE!</v>
      </c>
      <c r="J747" s="2356" t="e">
        <f t="shared" si="391"/>
        <v>#VALUE!</v>
      </c>
      <c r="K747" s="2356" t="e">
        <f t="shared" si="391"/>
        <v>#VALUE!</v>
      </c>
    </row>
    <row r="748" spans="1:11">
      <c r="A748" s="251" t="s">
        <v>1272</v>
      </c>
      <c r="B748" s="2356" t="e">
        <f t="shared" ref="B748:K748" si="392">$B$16*(1+$B$6)^(B746-1)</f>
        <v>#VALUE!</v>
      </c>
      <c r="C748" s="2356" t="e">
        <f t="shared" si="392"/>
        <v>#VALUE!</v>
      </c>
      <c r="D748" s="2356" t="e">
        <f t="shared" si="392"/>
        <v>#VALUE!</v>
      </c>
      <c r="E748" s="2356" t="e">
        <f t="shared" si="392"/>
        <v>#VALUE!</v>
      </c>
      <c r="F748" s="2356" t="e">
        <f t="shared" si="392"/>
        <v>#VALUE!</v>
      </c>
      <c r="G748" s="2356" t="e">
        <f t="shared" si="392"/>
        <v>#VALUE!</v>
      </c>
      <c r="H748" s="2356" t="e">
        <f t="shared" si="392"/>
        <v>#VALUE!</v>
      </c>
      <c r="I748" s="2356" t="e">
        <f t="shared" si="392"/>
        <v>#VALUE!</v>
      </c>
      <c r="J748" s="2356" t="e">
        <f t="shared" si="392"/>
        <v>#VALUE!</v>
      </c>
      <c r="K748" s="2356" t="e">
        <f t="shared" si="392"/>
        <v>#VALUE!</v>
      </c>
    </row>
    <row r="749" spans="1:11">
      <c r="A749" s="251" t="s">
        <v>1390</v>
      </c>
      <c r="B749" s="2356" t="e">
        <f t="shared" ref="B749:K749" si="393">-(B747+B748)*$B$9</f>
        <v>#VALUE!</v>
      </c>
      <c r="C749" s="2356" t="e">
        <f t="shared" si="393"/>
        <v>#VALUE!</v>
      </c>
      <c r="D749" s="2356" t="e">
        <f t="shared" si="393"/>
        <v>#VALUE!</v>
      </c>
      <c r="E749" s="2356" t="e">
        <f t="shared" si="393"/>
        <v>#VALUE!</v>
      </c>
      <c r="F749" s="2356" t="e">
        <f t="shared" si="393"/>
        <v>#VALUE!</v>
      </c>
      <c r="G749" s="2356" t="e">
        <f t="shared" si="393"/>
        <v>#VALUE!</v>
      </c>
      <c r="H749" s="2356" t="e">
        <f t="shared" si="393"/>
        <v>#VALUE!</v>
      </c>
      <c r="I749" s="2356" t="e">
        <f t="shared" si="393"/>
        <v>#VALUE!</v>
      </c>
      <c r="J749" s="2356" t="e">
        <f t="shared" si="393"/>
        <v>#VALUE!</v>
      </c>
      <c r="K749" s="2356" t="e">
        <f t="shared" si="393"/>
        <v>#VALUE!</v>
      </c>
    </row>
    <row r="750" spans="1:11">
      <c r="A750" s="251" t="s">
        <v>1393</v>
      </c>
      <c r="B750" s="2356">
        <f>'Part V-Revenues &amp; Expenses'!H815</f>
        <v>0</v>
      </c>
      <c r="C750" s="2356">
        <f>'Part V-Revenues &amp; Expenses'!I815</f>
        <v>0</v>
      </c>
      <c r="D750" s="2356">
        <f>'Part V-Revenues &amp; Expenses'!J815</f>
        <v>0</v>
      </c>
      <c r="E750" s="2356">
        <f>'Part V-Revenues &amp; Expenses'!K815</f>
        <v>0</v>
      </c>
      <c r="F750" s="2356">
        <f>'Part V-Revenues &amp; Expenses'!L815</f>
        <v>0</v>
      </c>
      <c r="G750" s="2356">
        <f>'Part V-Revenues &amp; Expenses'!M815</f>
        <v>0</v>
      </c>
      <c r="H750" s="2356">
        <f>'Part V-Revenues &amp; Expenses'!N815</f>
        <v>0</v>
      </c>
      <c r="I750" s="2356">
        <f>'Part V-Revenues &amp; Expenses'!O815</f>
        <v>0</v>
      </c>
      <c r="J750" s="2356">
        <f>'Part V-Revenues &amp; Expenses'!P815</f>
        <v>0</v>
      </c>
      <c r="K750" s="2356">
        <f>'Part V-Revenues &amp; Expenses'!Q815</f>
        <v>0</v>
      </c>
    </row>
    <row r="751" spans="1:11">
      <c r="A751" s="251" t="s">
        <v>1394</v>
      </c>
      <c r="B751" s="2356">
        <f>'Part V-Revenues &amp; Expenses'!H819</f>
        <v>0</v>
      </c>
      <c r="C751" s="2356">
        <f>'Part V-Revenues &amp; Expenses'!I819</f>
        <v>0</v>
      </c>
      <c r="D751" s="2356">
        <f>'Part V-Revenues &amp; Expenses'!J819</f>
        <v>0</v>
      </c>
      <c r="E751" s="2356">
        <f>'Part V-Revenues &amp; Expenses'!K819</f>
        <v>0</v>
      </c>
      <c r="F751" s="2356">
        <f>'Part V-Revenues &amp; Expenses'!L819</f>
        <v>0</v>
      </c>
      <c r="G751" s="2356">
        <f>'Part V-Revenues &amp; Expenses'!M819</f>
        <v>0</v>
      </c>
      <c r="H751" s="2356">
        <f>'Part V-Revenues &amp; Expenses'!N819</f>
        <v>0</v>
      </c>
      <c r="I751" s="2356">
        <f>'Part V-Revenues &amp; Expenses'!O819</f>
        <v>0</v>
      </c>
      <c r="J751" s="2356">
        <f>'Part V-Revenues &amp; Expenses'!P819</f>
        <v>0</v>
      </c>
      <c r="K751" s="2356">
        <f>'Part V-Revenues &amp; Expenses'!Q819</f>
        <v>0</v>
      </c>
    </row>
    <row r="752" spans="1:11">
      <c r="A752" s="251" t="s">
        <v>1395</v>
      </c>
      <c r="B752" s="2356" t="e">
        <f t="shared" ref="B752:K752" si="394">SUM(B747:B751)</f>
        <v>#VALUE!</v>
      </c>
      <c r="C752" s="2356" t="e">
        <f t="shared" si="394"/>
        <v>#VALUE!</v>
      </c>
      <c r="D752" s="2356" t="e">
        <f t="shared" si="394"/>
        <v>#VALUE!</v>
      </c>
      <c r="E752" s="2356" t="e">
        <f t="shared" si="394"/>
        <v>#VALUE!</v>
      </c>
      <c r="F752" s="2356" t="e">
        <f t="shared" si="394"/>
        <v>#VALUE!</v>
      </c>
      <c r="G752" s="2356" t="e">
        <f t="shared" si="394"/>
        <v>#VALUE!</v>
      </c>
      <c r="H752" s="2356" t="e">
        <f t="shared" si="394"/>
        <v>#VALUE!</v>
      </c>
      <c r="I752" s="2356" t="e">
        <f t="shared" si="394"/>
        <v>#VALUE!</v>
      </c>
      <c r="J752" s="2356" t="e">
        <f t="shared" si="394"/>
        <v>#VALUE!</v>
      </c>
      <c r="K752" s="2356" t="e">
        <f t="shared" si="394"/>
        <v>#VALUE!</v>
      </c>
    </row>
    <row r="753" spans="1:11">
      <c r="A753" s="251" t="s">
        <v>1396</v>
      </c>
      <c r="B753" s="2356" t="e">
        <f t="shared" ref="B753:K753" si="395">$B$21*(1+$B$7)^(B746-1)</f>
        <v>#VALUE!</v>
      </c>
      <c r="C753" s="2356" t="e">
        <f t="shared" si="395"/>
        <v>#VALUE!</v>
      </c>
      <c r="D753" s="2356" t="e">
        <f t="shared" si="395"/>
        <v>#VALUE!</v>
      </c>
      <c r="E753" s="2356" t="e">
        <f t="shared" si="395"/>
        <v>#VALUE!</v>
      </c>
      <c r="F753" s="2356" t="e">
        <f t="shared" si="395"/>
        <v>#VALUE!</v>
      </c>
      <c r="G753" s="2356" t="e">
        <f t="shared" si="395"/>
        <v>#VALUE!</v>
      </c>
      <c r="H753" s="2356" t="e">
        <f t="shared" si="395"/>
        <v>#VALUE!</v>
      </c>
      <c r="I753" s="2356" t="e">
        <f t="shared" si="395"/>
        <v>#VALUE!</v>
      </c>
      <c r="J753" s="2356" t="e">
        <f t="shared" si="395"/>
        <v>#VALUE!</v>
      </c>
      <c r="K753" s="2356" t="e">
        <f t="shared" si="395"/>
        <v>#VALUE!</v>
      </c>
    </row>
    <row r="754" spans="1:11">
      <c r="A754" s="251" t="s">
        <v>1397</v>
      </c>
      <c r="B754" s="2356">
        <f>IF(AND('Part VI-Pro Forma'!$G$9="Yes",'Part VI-Pro Forma'!$G$10="Yes"),"Choose One!",IF('Part VI-Pro Forma'!$G$9="Yes",ROUND((-$K$9*(1+'Part VI-Pro Forma'!$B$7)^('Part VI-Pro Forma'!B663-1)),),IF('Part VI-Pro Forma'!$G$10="Yes",ROUND((-(SUM(B747:B750)*'Part VI-Pro Forma'!$K$10)),),"Choose mgt fee")))</f>
        <v>0</v>
      </c>
      <c r="C754" s="2356">
        <f>IF(AND('Part VI-Pro Forma'!$G$9="Yes",'Part VI-Pro Forma'!$G$10="Yes"),"Choose One!",IF('Part VI-Pro Forma'!$G$9="Yes",ROUND((-$K$9*(1+'Part VI-Pro Forma'!$B$7)^('Part VI-Pro Forma'!C663-1)),),IF('Part VI-Pro Forma'!$G$10="Yes",ROUND((-(SUM(C747:C750)*'Part VI-Pro Forma'!$K$10)),),"Choose mgt fee")))</f>
        <v>0</v>
      </c>
      <c r="D754" s="2356">
        <f>IF(AND('Part VI-Pro Forma'!$G$9="Yes",'Part VI-Pro Forma'!$G$10="Yes"),"Choose One!",IF('Part VI-Pro Forma'!$G$9="Yes",ROUND((-$K$9*(1+'Part VI-Pro Forma'!$B$7)^('Part VI-Pro Forma'!D663-1)),),IF('Part VI-Pro Forma'!$G$10="Yes",ROUND((-(SUM(D747:D750)*'Part VI-Pro Forma'!$K$10)),),"Choose mgt fee")))</f>
        <v>0</v>
      </c>
      <c r="E754" s="2356">
        <f>IF(AND('Part VI-Pro Forma'!$G$9="Yes",'Part VI-Pro Forma'!$G$10="Yes"),"Choose One!",IF('Part VI-Pro Forma'!$G$9="Yes",ROUND((-$K$9*(1+'Part VI-Pro Forma'!$B$7)^('Part VI-Pro Forma'!E663-1)),),IF('Part VI-Pro Forma'!$G$10="Yes",ROUND((-(SUM(E747:E750)*'Part VI-Pro Forma'!$K$10)),),"Choose mgt fee")))</f>
        <v>0</v>
      </c>
      <c r="F754" s="2356">
        <f>IF(AND('Part VI-Pro Forma'!$G$9="Yes",'Part VI-Pro Forma'!$G$10="Yes"),"Choose One!",IF('Part VI-Pro Forma'!$G$9="Yes",ROUND((-$K$9*(1+'Part VI-Pro Forma'!$B$7)^('Part VI-Pro Forma'!F663-1)),),IF('Part VI-Pro Forma'!$G$10="Yes",ROUND((-(SUM(F747:F750)*'Part VI-Pro Forma'!$K$10)),),"Choose mgt fee")))</f>
        <v>0</v>
      </c>
      <c r="G754" s="2356">
        <f>IF(AND('Part VI-Pro Forma'!$G$9="Yes",'Part VI-Pro Forma'!$G$10="Yes"),"Choose One!",IF('Part VI-Pro Forma'!$G$9="Yes",ROUND((-$K$9*(1+'Part VI-Pro Forma'!$B$7)^('Part VI-Pro Forma'!G663-1)),),IF('Part VI-Pro Forma'!$G$10="Yes",ROUND((-(SUM(G747:G750)*'Part VI-Pro Forma'!$K$10)),),"Choose mgt fee")))</f>
        <v>0</v>
      </c>
      <c r="H754" s="2356">
        <f>IF(AND('Part VI-Pro Forma'!$G$9="Yes",'Part VI-Pro Forma'!$G$10="Yes"),"Choose One!",IF('Part VI-Pro Forma'!$G$9="Yes",ROUND((-$K$9*(1+'Part VI-Pro Forma'!$B$7)^('Part VI-Pro Forma'!H663-1)),),IF('Part VI-Pro Forma'!$G$10="Yes",ROUND((-(SUM(H747:H750)*'Part VI-Pro Forma'!$K$10)),),"Choose mgt fee")))</f>
        <v>0</v>
      </c>
      <c r="I754" s="2356">
        <f>IF(AND('Part VI-Pro Forma'!$G$9="Yes",'Part VI-Pro Forma'!$G$10="Yes"),"Choose One!",IF('Part VI-Pro Forma'!$G$9="Yes",ROUND((-$K$9*(1+'Part VI-Pro Forma'!$B$7)^('Part VI-Pro Forma'!I663-1)),),IF('Part VI-Pro Forma'!$G$10="Yes",ROUND((-(SUM(I747:I750)*'Part VI-Pro Forma'!$K$10)),),"Choose mgt fee")))</f>
        <v>0</v>
      </c>
      <c r="J754" s="2356">
        <f>IF(AND('Part VI-Pro Forma'!$G$9="Yes",'Part VI-Pro Forma'!$G$10="Yes"),"Choose One!",IF('Part VI-Pro Forma'!$G$9="Yes",ROUND((-$K$9*(1+'Part VI-Pro Forma'!$B$7)^('Part VI-Pro Forma'!J663-1)),),IF('Part VI-Pro Forma'!$G$10="Yes",ROUND((-(SUM(J747:J750)*'Part VI-Pro Forma'!$K$10)),),"Choose mgt fee")))</f>
        <v>0</v>
      </c>
      <c r="K754" s="2356">
        <f>IF(AND('Part VI-Pro Forma'!$G$9="Yes",'Part VI-Pro Forma'!$G$10="Yes"),"Choose One!",IF('Part VI-Pro Forma'!$G$9="Yes",ROUND((-$K$9*(1+'Part VI-Pro Forma'!$B$7)^('Part VI-Pro Forma'!K663-1)),),IF('Part VI-Pro Forma'!$G$10="Yes",ROUND((-(SUM(K747:K750)*'Part VI-Pro Forma'!$K$10)),),"Choose mgt fee")))</f>
        <v>0</v>
      </c>
    </row>
    <row r="755" spans="1:11">
      <c r="A755" s="251" t="s">
        <v>1398</v>
      </c>
      <c r="B755" s="2356" t="e">
        <f t="shared" ref="B755:K755" si="396">$B$23*(1+$B$8)^(B746-1)</f>
        <v>#VALUE!</v>
      </c>
      <c r="C755" s="2356" t="e">
        <f t="shared" si="396"/>
        <v>#VALUE!</v>
      </c>
      <c r="D755" s="2356" t="e">
        <f t="shared" si="396"/>
        <v>#VALUE!</v>
      </c>
      <c r="E755" s="2356" t="e">
        <f t="shared" si="396"/>
        <v>#VALUE!</v>
      </c>
      <c r="F755" s="2356" t="e">
        <f t="shared" si="396"/>
        <v>#VALUE!</v>
      </c>
      <c r="G755" s="2356" t="e">
        <f t="shared" si="396"/>
        <v>#VALUE!</v>
      </c>
      <c r="H755" s="2356" t="e">
        <f t="shared" si="396"/>
        <v>#VALUE!</v>
      </c>
      <c r="I755" s="2356" t="e">
        <f t="shared" si="396"/>
        <v>#VALUE!</v>
      </c>
      <c r="J755" s="2356" t="e">
        <f t="shared" si="396"/>
        <v>#VALUE!</v>
      </c>
      <c r="K755" s="2356" t="e">
        <f t="shared" si="396"/>
        <v>#VALUE!</v>
      </c>
    </row>
    <row r="756" spans="1:11">
      <c r="A756" s="251" t="s">
        <v>1399</v>
      </c>
      <c r="B756" s="2356">
        <f>'Part VI-Pro Forma'!B56</f>
        <v>0</v>
      </c>
      <c r="C756" s="2356">
        <f>'Part VI-Pro Forma'!C56</f>
        <v>0</v>
      </c>
      <c r="D756" s="2356">
        <f>'Part VI-Pro Forma'!D56</f>
        <v>0</v>
      </c>
      <c r="E756" s="2356">
        <f>'Part VI-Pro Forma'!E56</f>
        <v>0</v>
      </c>
      <c r="F756" s="2356">
        <f>'Part VI-Pro Forma'!F56</f>
        <v>0</v>
      </c>
      <c r="G756" s="2356">
        <f>'Part VI-Pro Forma'!G56</f>
        <v>0</v>
      </c>
      <c r="H756" s="2356">
        <f>'Part VI-Pro Forma'!H56</f>
        <v>0</v>
      </c>
      <c r="I756" s="2356">
        <f>'Part VI-Pro Forma'!I56</f>
        <v>0</v>
      </c>
      <c r="J756" s="2356">
        <f>'Part VI-Pro Forma'!J56</f>
        <v>0</v>
      </c>
      <c r="K756" s="2356">
        <f>'Part VI-Pro Forma'!K56</f>
        <v>0</v>
      </c>
    </row>
    <row r="757" spans="1:11">
      <c r="A757" s="251" t="s">
        <v>1400</v>
      </c>
      <c r="B757" s="2356" t="e">
        <f t="shared" ref="B757:K757" si="397">SUM(B752:B756)</f>
        <v>#VALUE!</v>
      </c>
      <c r="C757" s="2356" t="e">
        <f t="shared" si="397"/>
        <v>#VALUE!</v>
      </c>
      <c r="D757" s="2356" t="e">
        <f t="shared" si="397"/>
        <v>#VALUE!</v>
      </c>
      <c r="E757" s="2356" t="e">
        <f t="shared" si="397"/>
        <v>#VALUE!</v>
      </c>
      <c r="F757" s="2356" t="e">
        <f t="shared" si="397"/>
        <v>#VALUE!</v>
      </c>
      <c r="G757" s="2356" t="e">
        <f t="shared" si="397"/>
        <v>#VALUE!</v>
      </c>
      <c r="H757" s="2356" t="e">
        <f t="shared" si="397"/>
        <v>#VALUE!</v>
      </c>
      <c r="I757" s="2356" t="e">
        <f t="shared" si="397"/>
        <v>#VALUE!</v>
      </c>
      <c r="J757" s="2356" t="e">
        <f t="shared" si="397"/>
        <v>#VALUE!</v>
      </c>
      <c r="K757" s="2356" t="e">
        <f t="shared" si="397"/>
        <v>#VALUE!</v>
      </c>
    </row>
    <row r="758" spans="1:11">
      <c r="A758" s="251" t="str">
        <f>$A726</f>
        <v>Mortgage A</v>
      </c>
      <c r="B758" s="2356">
        <f>'Part VI-Pro Forma'!B58</f>
        <v>-231913.23633240676</v>
      </c>
      <c r="C758" s="2356">
        <f>'Part VI-Pro Forma'!C58</f>
        <v>-231913.23633240676</v>
      </c>
      <c r="D758" s="2356">
        <f>'Part VI-Pro Forma'!D58</f>
        <v>-231913.23633240676</v>
      </c>
      <c r="E758" s="2356">
        <f>'Part VI-Pro Forma'!E58</f>
        <v>-231913.23633240676</v>
      </c>
      <c r="F758" s="2356">
        <f>'Part VI-Pro Forma'!F58</f>
        <v>-231913.23633240676</v>
      </c>
      <c r="G758" s="2356">
        <f>'Part VI-Pro Forma'!G58</f>
        <v>-231913.23633240676</v>
      </c>
      <c r="H758" s="2356">
        <f>'Part VI-Pro Forma'!H58</f>
        <v>-231913.23633240676</v>
      </c>
      <c r="I758" s="2356">
        <f>'Part VI-Pro Forma'!I58</f>
        <v>-231913.23633240676</v>
      </c>
      <c r="J758" s="2356">
        <f>'Part VI-Pro Forma'!J58</f>
        <v>-231913.23633240676</v>
      </c>
      <c r="K758" s="2356">
        <f>'Part VI-Pro Forma'!K58</f>
        <v>-231913.23633240676</v>
      </c>
    </row>
    <row r="759" spans="1:11">
      <c r="A759" s="251" t="str">
        <f>$A727</f>
        <v>Mortgage B</v>
      </c>
      <c r="B759" s="2356">
        <f>'Part VI-Pro Forma'!B59</f>
        <v>0</v>
      </c>
      <c r="C759" s="2356">
        <f>'Part VI-Pro Forma'!C59</f>
        <v>0</v>
      </c>
      <c r="D759" s="2356">
        <f>'Part VI-Pro Forma'!D59</f>
        <v>0</v>
      </c>
      <c r="E759" s="2356">
        <f>'Part VI-Pro Forma'!E59</f>
        <v>0</v>
      </c>
      <c r="F759" s="2356">
        <f>'Part VI-Pro Forma'!F59</f>
        <v>0</v>
      </c>
      <c r="G759" s="2356">
        <f>'Part VI-Pro Forma'!G59</f>
        <v>0</v>
      </c>
      <c r="H759" s="2356">
        <f>'Part VI-Pro Forma'!H59</f>
        <v>0</v>
      </c>
      <c r="I759" s="2356">
        <f>'Part VI-Pro Forma'!I59</f>
        <v>0</v>
      </c>
      <c r="J759" s="2356">
        <f>'Part VI-Pro Forma'!J59</f>
        <v>0</v>
      </c>
      <c r="K759" s="2356">
        <f>'Part VI-Pro Forma'!K59</f>
        <v>0</v>
      </c>
    </row>
    <row r="760" spans="1:11">
      <c r="A760" s="251" t="str">
        <f>$A728</f>
        <v>Mortgage C</v>
      </c>
      <c r="B760" s="2356">
        <f>'Part VI-Pro Forma'!B60</f>
        <v>0</v>
      </c>
      <c r="C760" s="2356">
        <f>'Part VI-Pro Forma'!C60</f>
        <v>0</v>
      </c>
      <c r="D760" s="2356">
        <f>'Part VI-Pro Forma'!D60</f>
        <v>0</v>
      </c>
      <c r="E760" s="2356">
        <f>'Part VI-Pro Forma'!E60</f>
        <v>0</v>
      </c>
      <c r="F760" s="2356">
        <f>'Part VI-Pro Forma'!F60</f>
        <v>0</v>
      </c>
      <c r="G760" s="2356">
        <f>'Part VI-Pro Forma'!G60</f>
        <v>0</v>
      </c>
      <c r="H760" s="2356">
        <f>'Part VI-Pro Forma'!H60</f>
        <v>0</v>
      </c>
      <c r="I760" s="2356">
        <f>'Part VI-Pro Forma'!I60</f>
        <v>0</v>
      </c>
      <c r="J760" s="2356">
        <f>'Part VI-Pro Forma'!J60</f>
        <v>0</v>
      </c>
      <c r="K760" s="2356">
        <f>'Part VI-Pro Forma'!K60</f>
        <v>0</v>
      </c>
    </row>
    <row r="761" spans="1:11">
      <c r="A761" s="251" t="str">
        <f>$A729</f>
        <v>D/S Other Source,not DDF</v>
      </c>
      <c r="B761" s="2356">
        <f>'Part VI-Pro Forma'!B62</f>
        <v>0</v>
      </c>
      <c r="C761" s="2356">
        <f>'Part VI-Pro Forma'!C61</f>
        <v>0</v>
      </c>
      <c r="D761" s="2356">
        <f>'Part VI-Pro Forma'!D61</f>
        <v>0</v>
      </c>
      <c r="E761" s="2356">
        <f>'Part VI-Pro Forma'!E61</f>
        <v>0</v>
      </c>
      <c r="F761" s="2356">
        <f>'Part VI-Pro Forma'!F61</f>
        <v>0</v>
      </c>
      <c r="G761" s="2356">
        <f>'Part VI-Pro Forma'!G61</f>
        <v>0</v>
      </c>
      <c r="H761" s="2356">
        <f>'Part VI-Pro Forma'!H61</f>
        <v>0</v>
      </c>
      <c r="I761" s="2356">
        <f>'Part VI-Pro Forma'!I61</f>
        <v>0</v>
      </c>
      <c r="J761" s="2356">
        <f>'Part VI-Pro Forma'!J61</f>
        <v>0</v>
      </c>
      <c r="K761" s="2356">
        <f>'Part VI-Pro Forma'!K61</f>
        <v>0</v>
      </c>
    </row>
    <row r="762" spans="1:11">
      <c r="A762" s="251" t="s">
        <v>1402</v>
      </c>
      <c r="B762" s="2356"/>
      <c r="C762" s="2356"/>
      <c r="D762" s="2356"/>
      <c r="E762" s="2356"/>
      <c r="F762" s="2356"/>
      <c r="G762" s="2356"/>
      <c r="H762" s="2356"/>
      <c r="I762" s="2356"/>
      <c r="J762" s="2356"/>
      <c r="K762" s="2356"/>
    </row>
    <row r="763" spans="1:11">
      <c r="A763" s="251" t="s">
        <v>1403</v>
      </c>
      <c r="B763" s="2356">
        <f>'Part VI-Pro Forma'!B63</f>
        <v>-7500</v>
      </c>
      <c r="C763" s="2356">
        <f>'Part VI-Pro Forma'!C63</f>
        <v>-7500</v>
      </c>
      <c r="D763" s="2356">
        <f>'Part VI-Pro Forma'!D63</f>
        <v>-7500</v>
      </c>
      <c r="E763" s="2356">
        <f>'Part VI-Pro Forma'!E63</f>
        <v>-7500</v>
      </c>
      <c r="F763" s="2356">
        <f>'Part VI-Pro Forma'!F63</f>
        <v>-7500</v>
      </c>
      <c r="G763" s="2356">
        <f>'Part VI-Pro Forma'!G63</f>
        <v>-7500</v>
      </c>
      <c r="H763" s="2356">
        <f>'Part VI-Pro Forma'!H63</f>
        <v>-7500</v>
      </c>
      <c r="I763" s="2356">
        <f>'Part VI-Pro Forma'!I63</f>
        <v>-7500</v>
      </c>
      <c r="J763" s="2356">
        <f>'Part VI-Pro Forma'!J63</f>
        <v>-7500</v>
      </c>
      <c r="K763" s="2356">
        <f>'Part VI-Pro Forma'!K63</f>
        <v>-7500</v>
      </c>
    </row>
    <row r="764" spans="1:11">
      <c r="A764" s="251" t="s">
        <v>1404</v>
      </c>
      <c r="B764" s="2356">
        <f>'Part VI-Pro Forma'!B64</f>
        <v>0</v>
      </c>
      <c r="C764" s="2356">
        <f>'Part VI-Pro Forma'!C64</f>
        <v>0</v>
      </c>
      <c r="D764" s="2356">
        <f>'Part VI-Pro Forma'!D64</f>
        <v>0</v>
      </c>
      <c r="E764" s="2356">
        <f>'Part VI-Pro Forma'!E64</f>
        <v>0</v>
      </c>
      <c r="F764" s="2356">
        <f>'Part VI-Pro Forma'!F64</f>
        <v>0</v>
      </c>
      <c r="G764" s="2356">
        <f>'Part VI-Pro Forma'!G64</f>
        <v>0</v>
      </c>
      <c r="H764" s="2356">
        <f>'Part VI-Pro Forma'!H64</f>
        <v>0</v>
      </c>
      <c r="I764" s="2356">
        <f>'Part VI-Pro Forma'!I64</f>
        <v>0</v>
      </c>
      <c r="J764" s="2356">
        <f>'Part VI-Pro Forma'!J64</f>
        <v>0</v>
      </c>
      <c r="K764" s="2356">
        <f>'Part VI-Pro Forma'!K64</f>
        <v>0</v>
      </c>
    </row>
    <row r="765" spans="1:11">
      <c r="A765" s="251" t="s">
        <v>446</v>
      </c>
      <c r="B765" s="2356" t="e">
        <f t="shared" ref="B765:K765" si="398">SUM(B757:B764)</f>
        <v>#VALUE!</v>
      </c>
      <c r="C765" s="2356" t="e">
        <f t="shared" si="398"/>
        <v>#VALUE!</v>
      </c>
      <c r="D765" s="2356" t="e">
        <f t="shared" si="398"/>
        <v>#VALUE!</v>
      </c>
      <c r="E765" s="2356" t="e">
        <f t="shared" si="398"/>
        <v>#VALUE!</v>
      </c>
      <c r="F765" s="2356" t="e">
        <f t="shared" si="398"/>
        <v>#VALUE!</v>
      </c>
      <c r="G765" s="2356" t="e">
        <f t="shared" si="398"/>
        <v>#VALUE!</v>
      </c>
      <c r="H765" s="2356" t="e">
        <f t="shared" si="398"/>
        <v>#VALUE!</v>
      </c>
      <c r="I765" s="2356" t="e">
        <f t="shared" si="398"/>
        <v>#VALUE!</v>
      </c>
      <c r="J765" s="2356" t="e">
        <f t="shared" si="398"/>
        <v>#VALUE!</v>
      </c>
      <c r="K765" s="2356" t="e">
        <f t="shared" si="398"/>
        <v>#VALUE!</v>
      </c>
    </row>
    <row r="766" spans="1:11">
      <c r="A766" s="251" t="str">
        <f>$A734</f>
        <v>DCR Mortgage A</v>
      </c>
      <c r="B766" s="2357" t="e">
        <f t="shared" ref="B766:K766" si="399">IF(B758=0,"",-B757/B758)</f>
        <v>#VALUE!</v>
      </c>
      <c r="C766" s="2357" t="e">
        <f t="shared" si="399"/>
        <v>#VALUE!</v>
      </c>
      <c r="D766" s="2357" t="e">
        <f t="shared" si="399"/>
        <v>#VALUE!</v>
      </c>
      <c r="E766" s="2357" t="e">
        <f t="shared" si="399"/>
        <v>#VALUE!</v>
      </c>
      <c r="F766" s="2357" t="e">
        <f t="shared" si="399"/>
        <v>#VALUE!</v>
      </c>
      <c r="G766" s="2357" t="e">
        <f t="shared" si="399"/>
        <v>#VALUE!</v>
      </c>
      <c r="H766" s="2357" t="e">
        <f t="shared" si="399"/>
        <v>#VALUE!</v>
      </c>
      <c r="I766" s="2357" t="e">
        <f t="shared" si="399"/>
        <v>#VALUE!</v>
      </c>
      <c r="J766" s="2357" t="e">
        <f t="shared" si="399"/>
        <v>#VALUE!</v>
      </c>
      <c r="K766" s="2357" t="e">
        <f t="shared" si="399"/>
        <v>#VALUE!</v>
      </c>
    </row>
    <row r="767" spans="1:11">
      <c r="A767" s="251" t="str">
        <f>$A735</f>
        <v>DCR Mortgage B</v>
      </c>
      <c r="B767" s="2357" t="str">
        <f t="shared" ref="B767:K767" si="400">IF(B759=0,"",-(B757+B758)/B759)</f>
        <v/>
      </c>
      <c r="C767" s="2357" t="str">
        <f t="shared" si="400"/>
        <v/>
      </c>
      <c r="D767" s="2357" t="str">
        <f t="shared" si="400"/>
        <v/>
      </c>
      <c r="E767" s="2357" t="str">
        <f t="shared" si="400"/>
        <v/>
      </c>
      <c r="F767" s="2357" t="str">
        <f t="shared" si="400"/>
        <v/>
      </c>
      <c r="G767" s="2357" t="str">
        <f t="shared" si="400"/>
        <v/>
      </c>
      <c r="H767" s="2357" t="str">
        <f t="shared" si="400"/>
        <v/>
      </c>
      <c r="I767" s="2357" t="str">
        <f t="shared" si="400"/>
        <v/>
      </c>
      <c r="J767" s="2357" t="str">
        <f t="shared" si="400"/>
        <v/>
      </c>
      <c r="K767" s="2357" t="str">
        <f t="shared" si="400"/>
        <v/>
      </c>
    </row>
    <row r="768" spans="1:11">
      <c r="A768" s="251" t="str">
        <f>$A736</f>
        <v>DCR Mortgage C</v>
      </c>
      <c r="B768" s="2357" t="str">
        <f t="shared" ref="B768:K768" si="401">IF(B760=0,"",-(B757+B758+B759)/B760)</f>
        <v/>
      </c>
      <c r="C768" s="2357" t="str">
        <f t="shared" si="401"/>
        <v/>
      </c>
      <c r="D768" s="2357" t="str">
        <f t="shared" si="401"/>
        <v/>
      </c>
      <c r="E768" s="2357" t="str">
        <f t="shared" si="401"/>
        <v/>
      </c>
      <c r="F768" s="2357" t="str">
        <f t="shared" si="401"/>
        <v/>
      </c>
      <c r="G768" s="2357" t="str">
        <f t="shared" si="401"/>
        <v/>
      </c>
      <c r="H768" s="2357" t="str">
        <f t="shared" si="401"/>
        <v/>
      </c>
      <c r="I768" s="2357" t="str">
        <f t="shared" si="401"/>
        <v/>
      </c>
      <c r="J768" s="2357" t="str">
        <f t="shared" si="401"/>
        <v/>
      </c>
      <c r="K768" s="2357" t="str">
        <f t="shared" si="401"/>
        <v/>
      </c>
    </row>
    <row r="769" spans="1:11">
      <c r="A769" s="251" t="str">
        <f>$A737</f>
        <v>DCR Other Source</v>
      </c>
      <c r="B769" s="2357" t="str">
        <f t="shared" ref="B769:K769" si="402">IF(B761=0,"",-(B757+B758+B759+B760)/B761)</f>
        <v/>
      </c>
      <c r="C769" s="2357" t="str">
        <f t="shared" si="402"/>
        <v/>
      </c>
      <c r="D769" s="2357" t="str">
        <f t="shared" si="402"/>
        <v/>
      </c>
      <c r="E769" s="2357" t="str">
        <f t="shared" si="402"/>
        <v/>
      </c>
      <c r="F769" s="2357" t="str">
        <f t="shared" si="402"/>
        <v/>
      </c>
      <c r="G769" s="2357" t="str">
        <f t="shared" si="402"/>
        <v/>
      </c>
      <c r="H769" s="2357" t="str">
        <f t="shared" si="402"/>
        <v/>
      </c>
      <c r="I769" s="2357" t="str">
        <f t="shared" si="402"/>
        <v/>
      </c>
      <c r="J769" s="2357" t="str">
        <f t="shared" si="402"/>
        <v/>
      </c>
      <c r="K769" s="2357" t="str">
        <f t="shared" si="402"/>
        <v/>
      </c>
    </row>
    <row r="770" spans="1:11">
      <c r="A770" s="251" t="s">
        <v>1406</v>
      </c>
      <c r="B770" s="2357" t="e">
        <f t="shared" ref="B770:K770" si="403">IF(AND(B758=0,B759=0,B760=0,B761=0),"",-B757/(B758+B759+B760+B761))</f>
        <v>#VALUE!</v>
      </c>
      <c r="C770" s="2357" t="e">
        <f t="shared" si="403"/>
        <v>#VALUE!</v>
      </c>
      <c r="D770" s="2357" t="e">
        <f t="shared" si="403"/>
        <v>#VALUE!</v>
      </c>
      <c r="E770" s="2357" t="e">
        <f t="shared" si="403"/>
        <v>#VALUE!</v>
      </c>
      <c r="F770" s="2357" t="e">
        <f t="shared" si="403"/>
        <v>#VALUE!</v>
      </c>
      <c r="G770" s="2357" t="e">
        <f t="shared" si="403"/>
        <v>#VALUE!</v>
      </c>
      <c r="H770" s="2357" t="e">
        <f t="shared" si="403"/>
        <v>#VALUE!</v>
      </c>
      <c r="I770" s="2357" t="e">
        <f t="shared" si="403"/>
        <v>#VALUE!</v>
      </c>
      <c r="J770" s="2357" t="e">
        <f t="shared" si="403"/>
        <v>#VALUE!</v>
      </c>
      <c r="K770" s="2357" t="e">
        <f t="shared" si="403"/>
        <v>#VALUE!</v>
      </c>
    </row>
    <row r="771" spans="1:11">
      <c r="A771" s="251" t="s">
        <v>1407</v>
      </c>
      <c r="B771" s="2358" t="e">
        <f t="shared" ref="B771:K771" si="404">IF(OR(B754="Choose mgt fee",B754="Choose One!"),"",(B747+B748+B749+B750+B751) / -(B753+B754+B755))</f>
        <v>#VALUE!</v>
      </c>
      <c r="C771" s="2358" t="e">
        <f t="shared" si="404"/>
        <v>#VALUE!</v>
      </c>
      <c r="D771" s="2358" t="e">
        <f t="shared" si="404"/>
        <v>#VALUE!</v>
      </c>
      <c r="E771" s="2358" t="e">
        <f t="shared" si="404"/>
        <v>#VALUE!</v>
      </c>
      <c r="F771" s="2358" t="e">
        <f t="shared" si="404"/>
        <v>#VALUE!</v>
      </c>
      <c r="G771" s="2358" t="e">
        <f t="shared" si="404"/>
        <v>#VALUE!</v>
      </c>
      <c r="H771" s="2358" t="e">
        <f t="shared" si="404"/>
        <v>#VALUE!</v>
      </c>
      <c r="I771" s="2358" t="e">
        <f t="shared" si="404"/>
        <v>#VALUE!</v>
      </c>
      <c r="J771" s="2358" t="e">
        <f t="shared" si="404"/>
        <v>#VALUE!</v>
      </c>
      <c r="K771" s="2358" t="e">
        <f t="shared" si="404"/>
        <v>#VALUE!</v>
      </c>
    </row>
    <row r="772" spans="1:11">
      <c r="A772" s="251" t="s">
        <v>1408</v>
      </c>
      <c r="B772" s="2356">
        <f>'Part VI-Pro Forma'!B72</f>
        <v>2752727.4859411637</v>
      </c>
      <c r="C772" s="2356">
        <f>'Part VI-Pro Forma'!C72</f>
        <v>2705169.9228129988</v>
      </c>
      <c r="D772" s="2356">
        <f>'Part VI-Pro Forma'!D72</f>
        <v>2654301.024695836</v>
      </c>
      <c r="E772" s="2356">
        <f>'Part VI-Pro Forma'!E72</f>
        <v>2599890.2301670937</v>
      </c>
      <c r="F772" s="2356">
        <f>'Part VI-Pro Forma'!F72</f>
        <v>2541690.9242880824</v>
      </c>
      <c r="G772" s="2356">
        <f>'Part VI-Pro Forma'!G72</f>
        <v>2479439.3208308043</v>
      </c>
      <c r="H772" s="2356">
        <f>'Part VI-Pro Forma'!H72</f>
        <v>2412853.2666765093</v>
      </c>
      <c r="I772" s="2356">
        <f>'Part VI-Pro Forma'!I72</f>
        <v>2341630.9629669921</v>
      </c>
      <c r="J772" s="2356">
        <f>'Part VI-Pro Forma'!J72</f>
        <v>2265449.5972122904</v>
      </c>
      <c r="K772" s="2356">
        <f>'Part VI-Pro Forma'!K72</f>
        <v>2183963.8801548667</v>
      </c>
    </row>
    <row r="773" spans="1:11">
      <c r="A773" s="251" t="s">
        <v>1409</v>
      </c>
      <c r="B773" s="2356">
        <f>'Part VI-Pro Forma'!B73</f>
        <v>2544903.6539610028</v>
      </c>
      <c r="C773" s="2356">
        <f>'Part VI-Pro Forma'!C73</f>
        <v>2570469.6565303379</v>
      </c>
      <c r="D773" s="2356">
        <f>'Part VI-Pro Forma'!D73</f>
        <v>2596292.4941615262</v>
      </c>
      <c r="E773" s="2356">
        <f>'Part VI-Pro Forma'!E73</f>
        <v>2622374.7470095535</v>
      </c>
      <c r="F773" s="2356">
        <f>'Part VI-Pro Forma'!F73</f>
        <v>2648719.0211495417</v>
      </c>
      <c r="G773" s="2356">
        <f>'Part VI-Pro Forma'!G73</f>
        <v>2675327.948837141</v>
      </c>
      <c r="H773" s="2356">
        <f>'Part VI-Pro Forma'!H73</f>
        <v>2702204.1887715398</v>
      </c>
      <c r="I773" s="2356">
        <f>'Part VI-Pro Forma'!I73</f>
        <v>2729350.4263611143</v>
      </c>
      <c r="J773" s="2356">
        <f>'Part VI-Pro Forma'!J73</f>
        <v>2756769.3739917479</v>
      </c>
      <c r="K773" s="2356">
        <f>'Part VI-Pro Forma'!K73</f>
        <v>2784463.771297846</v>
      </c>
    </row>
    <row r="774" spans="1:11">
      <c r="A774" s="251" t="s">
        <v>1410</v>
      </c>
      <c r="B774" s="2356" t="str">
        <f>'Part VI-Pro Forma'!B74</f>
        <v/>
      </c>
      <c r="C774" s="2356" t="str">
        <f>'Part VI-Pro Forma'!C74</f>
        <v/>
      </c>
      <c r="D774" s="2356" t="str">
        <f>'Part VI-Pro Forma'!D74</f>
        <v/>
      </c>
      <c r="E774" s="2356" t="str">
        <f>'Part VI-Pro Forma'!E74</f>
        <v/>
      </c>
      <c r="F774" s="2356" t="str">
        <f>'Part VI-Pro Forma'!F74</f>
        <v/>
      </c>
      <c r="G774" s="2356" t="str">
        <f>'Part VI-Pro Forma'!G74</f>
        <v/>
      </c>
      <c r="H774" s="2356" t="str">
        <f>'Part VI-Pro Forma'!H74</f>
        <v/>
      </c>
      <c r="I774" s="2356" t="str">
        <f>'Part VI-Pro Forma'!I74</f>
        <v/>
      </c>
      <c r="J774" s="2356" t="str">
        <f>'Part VI-Pro Forma'!J74</f>
        <v/>
      </c>
      <c r="K774" s="2356" t="str">
        <f>'Part VI-Pro Forma'!K74</f>
        <v/>
      </c>
    </row>
    <row r="775" spans="1:11">
      <c r="A775" s="251" t="s">
        <v>1411</v>
      </c>
      <c r="B775" s="2356" t="str">
        <f>'Part VI-Pro Forma'!B75</f>
        <v/>
      </c>
      <c r="C775" s="2356" t="str">
        <f>'Part VI-Pro Forma'!C75</f>
        <v/>
      </c>
      <c r="D775" s="2356" t="str">
        <f>'Part VI-Pro Forma'!D75</f>
        <v/>
      </c>
      <c r="E775" s="2356" t="str">
        <f>'Part VI-Pro Forma'!E75</f>
        <v/>
      </c>
      <c r="F775" s="2356" t="str">
        <f>'Part VI-Pro Forma'!F75</f>
        <v/>
      </c>
      <c r="G775" s="2356" t="str">
        <f>'Part VI-Pro Forma'!G75</f>
        <v/>
      </c>
      <c r="H775" s="2356" t="str">
        <f>'Part VI-Pro Forma'!H75</f>
        <v/>
      </c>
      <c r="I775" s="2356" t="str">
        <f>'Part VI-Pro Forma'!I75</f>
        <v/>
      </c>
      <c r="J775" s="2356" t="str">
        <f>'Part VI-Pro Forma'!J75</f>
        <v/>
      </c>
      <c r="K775" s="2356" t="str">
        <f>'Part VI-Pro Forma'!K75</f>
        <v/>
      </c>
    </row>
    <row r="776" spans="1:11">
      <c r="A776" s="251" t="s">
        <v>1412</v>
      </c>
      <c r="B776" s="2356">
        <f>'Part VI-Pro Forma'!B76</f>
        <v>0</v>
      </c>
      <c r="C776" s="2356">
        <f>'Part VI-Pro Forma'!C76</f>
        <v>0</v>
      </c>
      <c r="D776" s="2356">
        <f>'Part VI-Pro Forma'!D76</f>
        <v>0</v>
      </c>
      <c r="E776" s="2356">
        <f>'Part VI-Pro Forma'!E76</f>
        <v>0</v>
      </c>
      <c r="F776" s="2356">
        <f>'Part VI-Pro Forma'!F76</f>
        <v>0</v>
      </c>
      <c r="G776" s="2356">
        <f>'Part VI-Pro Forma'!G76</f>
        <v>0</v>
      </c>
      <c r="H776" s="2356" t="str">
        <f>'Part VI-Pro Forma'!H76</f>
        <v/>
      </c>
      <c r="I776" s="2356" t="str">
        <f>'Part VI-Pro Forma'!I76</f>
        <v/>
      </c>
      <c r="J776" s="2356" t="str">
        <f>'Part VI-Pro Forma'!J76</f>
        <v/>
      </c>
      <c r="K776" s="2356" t="str">
        <f>'Part VI-Pro Forma'!K76</f>
        <v/>
      </c>
    </row>
    <row r="777" spans="1:11">
      <c r="B777" s="2356"/>
      <c r="C777" s="2356"/>
      <c r="D777" s="2356"/>
      <c r="E777" s="2356"/>
      <c r="F777" s="2356"/>
      <c r="G777" s="2356"/>
      <c r="H777" s="2356"/>
      <c r="I777" s="2356"/>
      <c r="J777" s="2356"/>
      <c r="K777" s="2356"/>
    </row>
    <row r="778" spans="1:11">
      <c r="A778" s="255" t="s">
        <v>495</v>
      </c>
      <c r="B778" s="2359">
        <f>K746+1</f>
        <v>21</v>
      </c>
      <c r="C778" s="2359">
        <f t="shared" ref="C778:K778" si="405">B778+1</f>
        <v>22</v>
      </c>
      <c r="D778" s="2359">
        <f t="shared" si="405"/>
        <v>23</v>
      </c>
      <c r="E778" s="2359">
        <f t="shared" si="405"/>
        <v>24</v>
      </c>
      <c r="F778" s="2359">
        <f t="shared" si="405"/>
        <v>25</v>
      </c>
      <c r="G778" s="2359">
        <f t="shared" si="405"/>
        <v>26</v>
      </c>
      <c r="H778" s="2359">
        <f t="shared" si="405"/>
        <v>27</v>
      </c>
      <c r="I778" s="2359">
        <f t="shared" si="405"/>
        <v>28</v>
      </c>
      <c r="J778" s="2359">
        <f t="shared" si="405"/>
        <v>29</v>
      </c>
      <c r="K778" s="2359">
        <f t="shared" si="405"/>
        <v>30</v>
      </c>
    </row>
    <row r="779" spans="1:11">
      <c r="A779" s="251" t="s">
        <v>1387</v>
      </c>
      <c r="B779" s="2356" t="e">
        <f t="shared" ref="B779:K779" si="406">$B$15*(1+$B$6)^(B778-1)</f>
        <v>#VALUE!</v>
      </c>
      <c r="C779" s="2356" t="e">
        <f t="shared" si="406"/>
        <v>#VALUE!</v>
      </c>
      <c r="D779" s="2356" t="e">
        <f t="shared" si="406"/>
        <v>#VALUE!</v>
      </c>
      <c r="E779" s="2356" t="e">
        <f t="shared" si="406"/>
        <v>#VALUE!</v>
      </c>
      <c r="F779" s="2356" t="e">
        <f t="shared" si="406"/>
        <v>#VALUE!</v>
      </c>
      <c r="G779" s="2356" t="e">
        <f t="shared" si="406"/>
        <v>#VALUE!</v>
      </c>
      <c r="H779" s="2356" t="e">
        <f t="shared" si="406"/>
        <v>#VALUE!</v>
      </c>
      <c r="I779" s="2356" t="e">
        <f t="shared" si="406"/>
        <v>#VALUE!</v>
      </c>
      <c r="J779" s="2356" t="e">
        <f t="shared" si="406"/>
        <v>#VALUE!</v>
      </c>
      <c r="K779" s="2356" t="e">
        <f t="shared" si="406"/>
        <v>#VALUE!</v>
      </c>
    </row>
    <row r="780" spans="1:11">
      <c r="A780" s="251" t="s">
        <v>1272</v>
      </c>
      <c r="B780" s="2356" t="e">
        <f t="shared" ref="B780:K780" si="407">$B$16*(1+$B$6)^(B778-1)</f>
        <v>#VALUE!</v>
      </c>
      <c r="C780" s="2356" t="e">
        <f t="shared" si="407"/>
        <v>#VALUE!</v>
      </c>
      <c r="D780" s="2356" t="e">
        <f t="shared" si="407"/>
        <v>#VALUE!</v>
      </c>
      <c r="E780" s="2356" t="e">
        <f t="shared" si="407"/>
        <v>#VALUE!</v>
      </c>
      <c r="F780" s="2356" t="e">
        <f t="shared" si="407"/>
        <v>#VALUE!</v>
      </c>
      <c r="G780" s="2356" t="e">
        <f t="shared" si="407"/>
        <v>#VALUE!</v>
      </c>
      <c r="H780" s="2356" t="e">
        <f t="shared" si="407"/>
        <v>#VALUE!</v>
      </c>
      <c r="I780" s="2356" t="e">
        <f t="shared" si="407"/>
        <v>#VALUE!</v>
      </c>
      <c r="J780" s="2356" t="e">
        <f t="shared" si="407"/>
        <v>#VALUE!</v>
      </c>
      <c r="K780" s="2356" t="e">
        <f t="shared" si="407"/>
        <v>#VALUE!</v>
      </c>
    </row>
    <row r="781" spans="1:11">
      <c r="A781" s="251" t="s">
        <v>1390</v>
      </c>
      <c r="B781" s="2356" t="e">
        <f t="shared" ref="B781:K781" si="408">-(B779+B780)*$B$9</f>
        <v>#VALUE!</v>
      </c>
      <c r="C781" s="2356" t="e">
        <f t="shared" si="408"/>
        <v>#VALUE!</v>
      </c>
      <c r="D781" s="2356" t="e">
        <f t="shared" si="408"/>
        <v>#VALUE!</v>
      </c>
      <c r="E781" s="2356" t="e">
        <f t="shared" si="408"/>
        <v>#VALUE!</v>
      </c>
      <c r="F781" s="2356" t="e">
        <f t="shared" si="408"/>
        <v>#VALUE!</v>
      </c>
      <c r="G781" s="2356" t="e">
        <f t="shared" si="408"/>
        <v>#VALUE!</v>
      </c>
      <c r="H781" s="2356" t="e">
        <f t="shared" si="408"/>
        <v>#VALUE!</v>
      </c>
      <c r="I781" s="2356" t="e">
        <f t="shared" si="408"/>
        <v>#VALUE!</v>
      </c>
      <c r="J781" s="2356" t="e">
        <f t="shared" si="408"/>
        <v>#VALUE!</v>
      </c>
      <c r="K781" s="2356" t="e">
        <f t="shared" si="408"/>
        <v>#VALUE!</v>
      </c>
    </row>
    <row r="782" spans="1:11">
      <c r="A782" s="251" t="s">
        <v>1393</v>
      </c>
      <c r="B782" s="2356">
        <f>'Part V-Revenues &amp; Expenses'!H824</f>
        <v>0</v>
      </c>
      <c r="C782" s="2356">
        <f>'Part V-Revenues &amp; Expenses'!I824</f>
        <v>0</v>
      </c>
      <c r="D782" s="2356">
        <f>'Part V-Revenues &amp; Expenses'!J824</f>
        <v>0</v>
      </c>
      <c r="E782" s="2356">
        <f>'Part V-Revenues &amp; Expenses'!K824</f>
        <v>0</v>
      </c>
      <c r="F782" s="2356">
        <f>'Part V-Revenues &amp; Expenses'!L824</f>
        <v>0</v>
      </c>
      <c r="G782" s="2356">
        <f>'Part V-Revenues &amp; Expenses'!M824</f>
        <v>0</v>
      </c>
      <c r="H782" s="2356">
        <f>'Part V-Revenues &amp; Expenses'!N824</f>
        <v>0</v>
      </c>
      <c r="I782" s="2356">
        <f>'Part V-Revenues &amp; Expenses'!O824</f>
        <v>0</v>
      </c>
      <c r="J782" s="2356">
        <f>'Part V-Revenues &amp; Expenses'!P824</f>
        <v>0</v>
      </c>
      <c r="K782" s="2356">
        <f>'Part V-Revenues &amp; Expenses'!Q824</f>
        <v>0</v>
      </c>
    </row>
    <row r="783" spans="1:11">
      <c r="A783" s="251" t="s">
        <v>1394</v>
      </c>
      <c r="B783" s="2356">
        <f>'Part V-Revenues &amp; Expenses'!H828</f>
        <v>0</v>
      </c>
      <c r="C783" s="2356">
        <f>'Part V-Revenues &amp; Expenses'!I828</f>
        <v>0</v>
      </c>
      <c r="D783" s="2356">
        <f>'Part V-Revenues &amp; Expenses'!J828</f>
        <v>0</v>
      </c>
      <c r="E783" s="2356">
        <f>'Part V-Revenues &amp; Expenses'!K828</f>
        <v>0</v>
      </c>
      <c r="F783" s="2356">
        <f>'Part V-Revenues &amp; Expenses'!L828</f>
        <v>0</v>
      </c>
      <c r="G783" s="2356">
        <f>'Part V-Revenues &amp; Expenses'!M828</f>
        <v>0</v>
      </c>
      <c r="H783" s="2356">
        <f>'Part V-Revenues &amp; Expenses'!N828</f>
        <v>0</v>
      </c>
      <c r="I783" s="2356">
        <f>'Part V-Revenues &amp; Expenses'!O828</f>
        <v>0</v>
      </c>
      <c r="J783" s="2356">
        <f>'Part V-Revenues &amp; Expenses'!P828</f>
        <v>0</v>
      </c>
      <c r="K783" s="2356">
        <f>'Part V-Revenues &amp; Expenses'!Q828</f>
        <v>0</v>
      </c>
    </row>
    <row r="784" spans="1:11">
      <c r="A784" s="251" t="s">
        <v>1395</v>
      </c>
      <c r="B784" s="2356" t="e">
        <f t="shared" ref="B784:K784" si="409">SUM(B779:B783)</f>
        <v>#VALUE!</v>
      </c>
      <c r="C784" s="2356" t="e">
        <f t="shared" si="409"/>
        <v>#VALUE!</v>
      </c>
      <c r="D784" s="2356" t="e">
        <f t="shared" si="409"/>
        <v>#VALUE!</v>
      </c>
      <c r="E784" s="2356" t="e">
        <f t="shared" si="409"/>
        <v>#VALUE!</v>
      </c>
      <c r="F784" s="2356" t="e">
        <f t="shared" si="409"/>
        <v>#VALUE!</v>
      </c>
      <c r="G784" s="2356" t="e">
        <f t="shared" si="409"/>
        <v>#VALUE!</v>
      </c>
      <c r="H784" s="2356" t="e">
        <f t="shared" si="409"/>
        <v>#VALUE!</v>
      </c>
      <c r="I784" s="2356" t="e">
        <f t="shared" si="409"/>
        <v>#VALUE!</v>
      </c>
      <c r="J784" s="2356" t="e">
        <f t="shared" si="409"/>
        <v>#VALUE!</v>
      </c>
      <c r="K784" s="2356" t="e">
        <f t="shared" si="409"/>
        <v>#VALUE!</v>
      </c>
    </row>
    <row r="785" spans="1:11">
      <c r="A785" s="251" t="s">
        <v>1396</v>
      </c>
      <c r="B785" s="2356" t="e">
        <f t="shared" ref="B785:K785" si="410">$B$21*(1+$B$7)^(B778-1)</f>
        <v>#VALUE!</v>
      </c>
      <c r="C785" s="2356" t="e">
        <f t="shared" si="410"/>
        <v>#VALUE!</v>
      </c>
      <c r="D785" s="2356" t="e">
        <f t="shared" si="410"/>
        <v>#VALUE!</v>
      </c>
      <c r="E785" s="2356" t="e">
        <f t="shared" si="410"/>
        <v>#VALUE!</v>
      </c>
      <c r="F785" s="2356" t="e">
        <f t="shared" si="410"/>
        <v>#VALUE!</v>
      </c>
      <c r="G785" s="2356" t="e">
        <f t="shared" si="410"/>
        <v>#VALUE!</v>
      </c>
      <c r="H785" s="2356" t="e">
        <f t="shared" si="410"/>
        <v>#VALUE!</v>
      </c>
      <c r="I785" s="2356" t="e">
        <f t="shared" si="410"/>
        <v>#VALUE!</v>
      </c>
      <c r="J785" s="2356" t="e">
        <f t="shared" si="410"/>
        <v>#VALUE!</v>
      </c>
      <c r="K785" s="2356" t="e">
        <f t="shared" si="410"/>
        <v>#VALUE!</v>
      </c>
    </row>
    <row r="786" spans="1:11">
      <c r="A786" s="251" t="s">
        <v>1397</v>
      </c>
      <c r="B786" s="2356">
        <f>IF(AND('Part VI-Pro Forma'!$G$9="Yes",'Part VI-Pro Forma'!$G$10="Yes"),"Choose One!",IF('Part VI-Pro Forma'!$G$9="Yes",ROUND((-$K$9*(1+'Part VI-Pro Forma'!$B$7)^('Part VI-Pro Forma'!B695-1)),),IF('Part VI-Pro Forma'!$G$10="Yes",ROUND((-(SUM(B779:B782)*'Part VI-Pro Forma'!$K$10)),),"Choose mgt fee")))</f>
        <v>0</v>
      </c>
      <c r="C786" s="2356">
        <f>IF(AND('Part VI-Pro Forma'!$G$9="Yes",'Part VI-Pro Forma'!$G$10="Yes"),"Choose One!",IF('Part VI-Pro Forma'!$G$9="Yes",ROUND((-$K$9*(1+'Part VI-Pro Forma'!$B$7)^('Part VI-Pro Forma'!C695-1)),),IF('Part VI-Pro Forma'!$G$10="Yes",ROUND((-(SUM(C779:C782)*'Part VI-Pro Forma'!$K$10)),),"Choose mgt fee")))</f>
        <v>0</v>
      </c>
      <c r="D786" s="2356">
        <f>IF(AND('Part VI-Pro Forma'!$G$9="Yes",'Part VI-Pro Forma'!$G$10="Yes"),"Choose One!",IF('Part VI-Pro Forma'!$G$9="Yes",ROUND((-$K$9*(1+'Part VI-Pro Forma'!$B$7)^('Part VI-Pro Forma'!D695-1)),),IF('Part VI-Pro Forma'!$G$10="Yes",ROUND((-(SUM(D779:D782)*'Part VI-Pro Forma'!$K$10)),),"Choose mgt fee")))</f>
        <v>0</v>
      </c>
      <c r="E786" s="2356">
        <f>IF(AND('Part VI-Pro Forma'!$G$9="Yes",'Part VI-Pro Forma'!$G$10="Yes"),"Choose One!",IF('Part VI-Pro Forma'!$G$9="Yes",ROUND((-$K$9*(1+'Part VI-Pro Forma'!$B$7)^('Part VI-Pro Forma'!E695-1)),),IF('Part VI-Pro Forma'!$G$10="Yes",ROUND((-(SUM(E779:E782)*'Part VI-Pro Forma'!$K$10)),),"Choose mgt fee")))</f>
        <v>0</v>
      </c>
      <c r="F786" s="2356">
        <f>IF(AND('Part VI-Pro Forma'!$G$9="Yes",'Part VI-Pro Forma'!$G$10="Yes"),"Choose One!",IF('Part VI-Pro Forma'!$G$9="Yes",ROUND((-$K$9*(1+'Part VI-Pro Forma'!$B$7)^('Part VI-Pro Forma'!F695-1)),),IF('Part VI-Pro Forma'!$G$10="Yes",ROUND((-(SUM(F779:F782)*'Part VI-Pro Forma'!$K$10)),),"Choose mgt fee")))</f>
        <v>0</v>
      </c>
      <c r="G786" s="2356">
        <f>IF(AND('Part VI-Pro Forma'!$G$9="Yes",'Part VI-Pro Forma'!$G$10="Yes"),"Choose One!",IF('Part VI-Pro Forma'!$G$9="Yes",ROUND((-$K$9*(1+'Part VI-Pro Forma'!$B$7)^('Part VI-Pro Forma'!G695-1)),),IF('Part VI-Pro Forma'!$G$10="Yes",ROUND((-(SUM(G779:G782)*'Part VI-Pro Forma'!$K$10)),),"Choose mgt fee")))</f>
        <v>0</v>
      </c>
      <c r="H786" s="2356">
        <f>IF(AND('Part VI-Pro Forma'!$G$9="Yes",'Part VI-Pro Forma'!$G$10="Yes"),"Choose One!",IF('Part VI-Pro Forma'!$G$9="Yes",ROUND((-$K$9*(1+'Part VI-Pro Forma'!$B$7)^('Part VI-Pro Forma'!H695-1)),),IF('Part VI-Pro Forma'!$G$10="Yes",ROUND((-(SUM(H779:H782)*'Part VI-Pro Forma'!$K$10)),),"Choose mgt fee")))</f>
        <v>0</v>
      </c>
      <c r="I786" s="2356">
        <f>IF(AND('Part VI-Pro Forma'!$G$9="Yes",'Part VI-Pro Forma'!$G$10="Yes"),"Choose One!",IF('Part VI-Pro Forma'!$G$9="Yes",ROUND((-$K$9*(1+'Part VI-Pro Forma'!$B$7)^('Part VI-Pro Forma'!I695-1)),),IF('Part VI-Pro Forma'!$G$10="Yes",ROUND((-(SUM(I779:I782)*'Part VI-Pro Forma'!$K$10)),),"Choose mgt fee")))</f>
        <v>0</v>
      </c>
      <c r="J786" s="2356">
        <f>IF(AND('Part VI-Pro Forma'!$G$9="Yes",'Part VI-Pro Forma'!$G$10="Yes"),"Choose One!",IF('Part VI-Pro Forma'!$G$9="Yes",ROUND((-$K$9*(1+'Part VI-Pro Forma'!$B$7)^('Part VI-Pro Forma'!J695-1)),),IF('Part VI-Pro Forma'!$G$10="Yes",ROUND((-(SUM(J779:J782)*'Part VI-Pro Forma'!$K$10)),),"Choose mgt fee")))</f>
        <v>0</v>
      </c>
      <c r="K786" s="2356">
        <f>IF(AND('Part VI-Pro Forma'!$G$9="Yes",'Part VI-Pro Forma'!$G$10="Yes"),"Choose One!",IF('Part VI-Pro Forma'!$G$9="Yes",ROUND((-$K$9*(1+'Part VI-Pro Forma'!$B$7)^('Part VI-Pro Forma'!K695-1)),),IF('Part VI-Pro Forma'!$G$10="Yes",ROUND((-(SUM(K779:K782)*'Part VI-Pro Forma'!$K$10)),),"Choose mgt fee")))</f>
        <v>0</v>
      </c>
    </row>
    <row r="787" spans="1:11">
      <c r="A787" s="251" t="s">
        <v>1398</v>
      </c>
      <c r="B787" s="2356" t="e">
        <f t="shared" ref="B787:K787" si="411">$B$23*(1+$B$8)^(B778-1)</f>
        <v>#VALUE!</v>
      </c>
      <c r="C787" s="2356" t="e">
        <f t="shared" si="411"/>
        <v>#VALUE!</v>
      </c>
      <c r="D787" s="2356" t="e">
        <f t="shared" si="411"/>
        <v>#VALUE!</v>
      </c>
      <c r="E787" s="2356" t="e">
        <f t="shared" si="411"/>
        <v>#VALUE!</v>
      </c>
      <c r="F787" s="2356" t="e">
        <f t="shared" si="411"/>
        <v>#VALUE!</v>
      </c>
      <c r="G787" s="2356" t="e">
        <f t="shared" si="411"/>
        <v>#VALUE!</v>
      </c>
      <c r="H787" s="2356" t="e">
        <f t="shared" si="411"/>
        <v>#VALUE!</v>
      </c>
      <c r="I787" s="2356" t="e">
        <f t="shared" si="411"/>
        <v>#VALUE!</v>
      </c>
      <c r="J787" s="2356" t="e">
        <f t="shared" si="411"/>
        <v>#VALUE!</v>
      </c>
      <c r="K787" s="2356" t="e">
        <f t="shared" si="411"/>
        <v>#VALUE!</v>
      </c>
    </row>
    <row r="788" spans="1:11">
      <c r="A788" s="251" t="s">
        <v>1399</v>
      </c>
      <c r="B788" s="2356">
        <f>'Part VI-Pro Forma'!B88</f>
        <v>0</v>
      </c>
      <c r="C788" s="2356">
        <f>'Part VI-Pro Forma'!C88</f>
        <v>0</v>
      </c>
      <c r="D788" s="2356">
        <f>'Part VI-Pro Forma'!D88</f>
        <v>0</v>
      </c>
      <c r="E788" s="2356">
        <f>'Part VI-Pro Forma'!E88</f>
        <v>0</v>
      </c>
      <c r="F788" s="2356">
        <f>'Part VI-Pro Forma'!F88</f>
        <v>0</v>
      </c>
      <c r="G788" s="2356">
        <f>'Part VI-Pro Forma'!G88</f>
        <v>0</v>
      </c>
      <c r="H788" s="2356">
        <f>'Part VI-Pro Forma'!H88</f>
        <v>0</v>
      </c>
      <c r="I788" s="2356">
        <f>'Part VI-Pro Forma'!I88</f>
        <v>0</v>
      </c>
      <c r="J788" s="2356">
        <f>'Part VI-Pro Forma'!J88</f>
        <v>0</v>
      </c>
      <c r="K788" s="2356">
        <f>'Part VI-Pro Forma'!K88</f>
        <v>0</v>
      </c>
    </row>
    <row r="789" spans="1:11">
      <c r="A789" s="251" t="s">
        <v>1400</v>
      </c>
      <c r="B789" s="2356" t="e">
        <f t="shared" ref="B789:K789" si="412">SUM(B784:B788)</f>
        <v>#VALUE!</v>
      </c>
      <c r="C789" s="2356" t="e">
        <f t="shared" si="412"/>
        <v>#VALUE!</v>
      </c>
      <c r="D789" s="2356" t="e">
        <f t="shared" si="412"/>
        <v>#VALUE!</v>
      </c>
      <c r="E789" s="2356" t="e">
        <f t="shared" si="412"/>
        <v>#VALUE!</v>
      </c>
      <c r="F789" s="2356" t="e">
        <f t="shared" si="412"/>
        <v>#VALUE!</v>
      </c>
      <c r="G789" s="2356" t="e">
        <f t="shared" si="412"/>
        <v>#VALUE!</v>
      </c>
      <c r="H789" s="2356" t="e">
        <f t="shared" si="412"/>
        <v>#VALUE!</v>
      </c>
      <c r="I789" s="2356" t="e">
        <f t="shared" si="412"/>
        <v>#VALUE!</v>
      </c>
      <c r="J789" s="2356" t="e">
        <f t="shared" si="412"/>
        <v>#VALUE!</v>
      </c>
      <c r="K789" s="2356" t="e">
        <f t="shared" si="412"/>
        <v>#VALUE!</v>
      </c>
    </row>
    <row r="790" spans="1:11">
      <c r="A790" s="251" t="str">
        <f>$A758</f>
        <v>Mortgage A</v>
      </c>
      <c r="B790" s="2356">
        <f>'Part VI-Pro Forma'!B90</f>
        <v>-231913.23633240676</v>
      </c>
      <c r="C790" s="2356">
        <f>'Part VI-Pro Forma'!C90</f>
        <v>-231913.23633240676</v>
      </c>
      <c r="D790" s="2356">
        <f>'Part VI-Pro Forma'!D90</f>
        <v>-231913.23633240676</v>
      </c>
      <c r="E790" s="2356">
        <f>'Part VI-Pro Forma'!E90</f>
        <v>-231913.23633240676</v>
      </c>
      <c r="F790" s="2356">
        <f>'Part VI-Pro Forma'!F90</f>
        <v>-231913.23633240676</v>
      </c>
      <c r="G790" s="2356">
        <f>'Part VI-Pro Forma'!G90</f>
        <v>-231913.23633240676</v>
      </c>
      <c r="H790" s="2356">
        <f>'Part VI-Pro Forma'!H90</f>
        <v>-231913.23633240676</v>
      </c>
      <c r="I790" s="2356">
        <f>'Part VI-Pro Forma'!I90</f>
        <v>-231913.23633240676</v>
      </c>
      <c r="J790" s="2356">
        <f>'Part VI-Pro Forma'!J90</f>
        <v>-231913.23633240676</v>
      </c>
      <c r="K790" s="2356">
        <f>'Part VI-Pro Forma'!K90</f>
        <v>-231913.23633240676</v>
      </c>
    </row>
    <row r="791" spans="1:11">
      <c r="A791" s="251" t="str">
        <f>$A759</f>
        <v>Mortgage B</v>
      </c>
      <c r="B791" s="2356">
        <f>'Part VI-Pro Forma'!B91</f>
        <v>0</v>
      </c>
      <c r="C791" s="2356">
        <f>'Part VI-Pro Forma'!C91</f>
        <v>0</v>
      </c>
      <c r="D791" s="2356">
        <f>'Part VI-Pro Forma'!D91</f>
        <v>0</v>
      </c>
      <c r="E791" s="2356">
        <f>'Part VI-Pro Forma'!E91</f>
        <v>0</v>
      </c>
      <c r="F791" s="2356">
        <f>'Part VI-Pro Forma'!F91</f>
        <v>0</v>
      </c>
      <c r="G791" s="2356">
        <f>'Part VI-Pro Forma'!G91</f>
        <v>0</v>
      </c>
      <c r="H791" s="2356">
        <f>'Part VI-Pro Forma'!H91</f>
        <v>0</v>
      </c>
      <c r="I791" s="2356">
        <f>'Part VI-Pro Forma'!I91</f>
        <v>0</v>
      </c>
      <c r="J791" s="2356">
        <f>'Part VI-Pro Forma'!J91</f>
        <v>0</v>
      </c>
      <c r="K791" s="2356">
        <f>'Part VI-Pro Forma'!K91</f>
        <v>0</v>
      </c>
    </row>
    <row r="792" spans="1:11">
      <c r="A792" s="251" t="str">
        <f>$A760</f>
        <v>Mortgage C</v>
      </c>
      <c r="B792" s="2356">
        <f>'Part VI-Pro Forma'!B92</f>
        <v>0</v>
      </c>
      <c r="C792" s="2356">
        <f>'Part VI-Pro Forma'!C92</f>
        <v>0</v>
      </c>
      <c r="D792" s="2356">
        <f>'Part VI-Pro Forma'!D92</f>
        <v>0</v>
      </c>
      <c r="E792" s="2356">
        <f>'Part VI-Pro Forma'!E92</f>
        <v>0</v>
      </c>
      <c r="F792" s="2356">
        <f>'Part VI-Pro Forma'!F92</f>
        <v>0</v>
      </c>
      <c r="G792" s="2356">
        <f>'Part VI-Pro Forma'!G92</f>
        <v>0</v>
      </c>
      <c r="H792" s="2356">
        <f>'Part VI-Pro Forma'!H92</f>
        <v>0</v>
      </c>
      <c r="I792" s="2356">
        <f>'Part VI-Pro Forma'!I92</f>
        <v>0</v>
      </c>
      <c r="J792" s="2356">
        <f>'Part VI-Pro Forma'!J92</f>
        <v>0</v>
      </c>
      <c r="K792" s="2356">
        <f>'Part VI-Pro Forma'!K92</f>
        <v>0</v>
      </c>
    </row>
    <row r="793" spans="1:11">
      <c r="A793" s="251" t="str">
        <f>$A761</f>
        <v>D/S Other Source,not DDF</v>
      </c>
      <c r="B793" s="2356">
        <f>'Part VI-Pro Forma'!B94</f>
        <v>0</v>
      </c>
      <c r="C793" s="2356">
        <f>'Part VI-Pro Forma'!C93</f>
        <v>0</v>
      </c>
      <c r="D793" s="2356">
        <f>'Part VI-Pro Forma'!D93</f>
        <v>0</v>
      </c>
      <c r="E793" s="2356">
        <f>'Part VI-Pro Forma'!E93</f>
        <v>0</v>
      </c>
      <c r="F793" s="2356">
        <f>'Part VI-Pro Forma'!F93</f>
        <v>0</v>
      </c>
      <c r="G793" s="2356">
        <f>'Part VI-Pro Forma'!G93</f>
        <v>0</v>
      </c>
      <c r="H793" s="2356">
        <f>'Part VI-Pro Forma'!H93</f>
        <v>0</v>
      </c>
      <c r="I793" s="2356">
        <f>'Part VI-Pro Forma'!I93</f>
        <v>0</v>
      </c>
      <c r="J793" s="2356">
        <f>'Part VI-Pro Forma'!J93</f>
        <v>0</v>
      </c>
      <c r="K793" s="2356">
        <f>'Part VI-Pro Forma'!K93</f>
        <v>0</v>
      </c>
    </row>
    <row r="794" spans="1:11">
      <c r="A794" s="251" t="s">
        <v>1402</v>
      </c>
      <c r="B794" s="2356"/>
      <c r="C794" s="2356"/>
      <c r="D794" s="2356"/>
      <c r="E794" s="2356"/>
      <c r="F794" s="2356"/>
      <c r="G794" s="2356"/>
      <c r="H794" s="2356"/>
      <c r="I794" s="2356"/>
      <c r="J794" s="2356"/>
      <c r="K794" s="2356"/>
    </row>
    <row r="795" spans="1:11">
      <c r="A795" s="251" t="s">
        <v>1403</v>
      </c>
      <c r="B795" s="2356">
        <f>'Part VI-Pro Forma'!B95</f>
        <v>-7500</v>
      </c>
      <c r="C795" s="2356">
        <f>'Part VI-Pro Forma'!C95</f>
        <v>-7500</v>
      </c>
      <c r="D795" s="2356">
        <f>'Part VI-Pro Forma'!D95</f>
        <v>-7500</v>
      </c>
      <c r="E795" s="2356">
        <f>'Part VI-Pro Forma'!E95</f>
        <v>-7500</v>
      </c>
      <c r="F795" s="2356">
        <f>'Part VI-Pro Forma'!F95</f>
        <v>-7500</v>
      </c>
      <c r="G795" s="2356">
        <f>'Part VI-Pro Forma'!G95</f>
        <v>-7500</v>
      </c>
      <c r="H795" s="2356">
        <f>'Part VI-Pro Forma'!H95</f>
        <v>-7500</v>
      </c>
      <c r="I795" s="2356">
        <f>'Part VI-Pro Forma'!I95</f>
        <v>-7500</v>
      </c>
      <c r="J795" s="2356">
        <f>'Part VI-Pro Forma'!J95</f>
        <v>-7500</v>
      </c>
      <c r="K795" s="2356">
        <f>'Part VI-Pro Forma'!K95</f>
        <v>-7500</v>
      </c>
    </row>
    <row r="796" spans="1:11">
      <c r="A796" s="251" t="s">
        <v>446</v>
      </c>
      <c r="B796" s="2356">
        <f>'Part VI-Pro Forma'!B96</f>
        <v>58112.719350949046</v>
      </c>
      <c r="C796" s="2356">
        <f>'Part VI-Pro Forma'!C96</f>
        <v>55579.048065143812</v>
      </c>
      <c r="D796" s="2356">
        <f>'Part VI-Pro Forma'!D96</f>
        <v>52738.763841638633</v>
      </c>
      <c r="E796" s="2356">
        <f>'Part VI-Pro Forma'!E96</f>
        <v>49580.664236319193</v>
      </c>
      <c r="F796" s="2356">
        <f>'Part VI-Pro Forma'!F96</f>
        <v>46089.119050629786</v>
      </c>
      <c r="G796" s="2356">
        <f>'Part VI-Pro Forma'!G96</f>
        <v>42249.055665314663</v>
      </c>
      <c r="H796" s="2356">
        <f>'Part VI-Pro Forma'!H96</f>
        <v>38045.943897503719</v>
      </c>
      <c r="I796" s="2356">
        <f>'Part VI-Pro Forma'!I96</f>
        <v>33463.780366103805</v>
      </c>
      <c r="J796" s="2356">
        <f>'Part VI-Pro Forma'!J96</f>
        <v>28486.07234999584</v>
      </c>
      <c r="K796" s="2356">
        <f>'Part VI-Pro Forma'!K96</f>
        <v>23095.82112306339</v>
      </c>
    </row>
    <row r="797" spans="1:11">
      <c r="A797" s="251" t="str">
        <f>$A766</f>
        <v>DCR Mortgage A</v>
      </c>
      <c r="B797" s="2357" t="e">
        <f t="shared" ref="B797:K797" si="413">IF(B790=0,"",-B789/B790)</f>
        <v>#VALUE!</v>
      </c>
      <c r="C797" s="2357" t="e">
        <f t="shared" si="413"/>
        <v>#VALUE!</v>
      </c>
      <c r="D797" s="2357" t="e">
        <f t="shared" si="413"/>
        <v>#VALUE!</v>
      </c>
      <c r="E797" s="2357" t="e">
        <f t="shared" si="413"/>
        <v>#VALUE!</v>
      </c>
      <c r="F797" s="2357" t="e">
        <f t="shared" si="413"/>
        <v>#VALUE!</v>
      </c>
      <c r="G797" s="2357" t="e">
        <f t="shared" si="413"/>
        <v>#VALUE!</v>
      </c>
      <c r="H797" s="2357" t="e">
        <f t="shared" si="413"/>
        <v>#VALUE!</v>
      </c>
      <c r="I797" s="2357" t="e">
        <f t="shared" si="413"/>
        <v>#VALUE!</v>
      </c>
      <c r="J797" s="2357" t="e">
        <f t="shared" si="413"/>
        <v>#VALUE!</v>
      </c>
      <c r="K797" s="2357" t="e">
        <f t="shared" si="413"/>
        <v>#VALUE!</v>
      </c>
    </row>
    <row r="798" spans="1:11">
      <c r="A798" s="251" t="str">
        <f>$A767</f>
        <v>DCR Mortgage B</v>
      </c>
      <c r="B798" s="2357" t="str">
        <f t="shared" ref="B798:K798" si="414">IF(B791=0,"",-(B789+B790)/B791)</f>
        <v/>
      </c>
      <c r="C798" s="2357" t="str">
        <f t="shared" si="414"/>
        <v/>
      </c>
      <c r="D798" s="2357" t="str">
        <f t="shared" si="414"/>
        <v/>
      </c>
      <c r="E798" s="2357" t="str">
        <f t="shared" si="414"/>
        <v/>
      </c>
      <c r="F798" s="2357" t="str">
        <f t="shared" si="414"/>
        <v/>
      </c>
      <c r="G798" s="2357" t="str">
        <f t="shared" si="414"/>
        <v/>
      </c>
      <c r="H798" s="2357" t="str">
        <f t="shared" si="414"/>
        <v/>
      </c>
      <c r="I798" s="2357" t="str">
        <f t="shared" si="414"/>
        <v/>
      </c>
      <c r="J798" s="2357" t="str">
        <f t="shared" si="414"/>
        <v/>
      </c>
      <c r="K798" s="2357" t="str">
        <f t="shared" si="414"/>
        <v/>
      </c>
    </row>
    <row r="799" spans="1:11">
      <c r="A799" s="251" t="str">
        <f>$A768</f>
        <v>DCR Mortgage C</v>
      </c>
      <c r="B799" s="2357" t="str">
        <f t="shared" ref="B799:K799" si="415">IF(B792=0,"",-(B789+B790+B791)/B792)</f>
        <v/>
      </c>
      <c r="C799" s="2357" t="str">
        <f t="shared" si="415"/>
        <v/>
      </c>
      <c r="D799" s="2357" t="str">
        <f t="shared" si="415"/>
        <v/>
      </c>
      <c r="E799" s="2357" t="str">
        <f t="shared" si="415"/>
        <v/>
      </c>
      <c r="F799" s="2357" t="str">
        <f t="shared" si="415"/>
        <v/>
      </c>
      <c r="G799" s="2357" t="str">
        <f t="shared" si="415"/>
        <v/>
      </c>
      <c r="H799" s="2357" t="str">
        <f t="shared" si="415"/>
        <v/>
      </c>
      <c r="I799" s="2357" t="str">
        <f t="shared" si="415"/>
        <v/>
      </c>
      <c r="J799" s="2357" t="str">
        <f t="shared" si="415"/>
        <v/>
      </c>
      <c r="K799" s="2357" t="str">
        <f t="shared" si="415"/>
        <v/>
      </c>
    </row>
    <row r="800" spans="1:11">
      <c r="A800" s="251" t="str">
        <f>$A769</f>
        <v>DCR Other Source</v>
      </c>
      <c r="B800" s="2357" t="str">
        <f t="shared" ref="B800:K800" si="416">IF(B793=0,"",-(B789+B790+B791+B792)/B793)</f>
        <v/>
      </c>
      <c r="C800" s="2357" t="str">
        <f t="shared" si="416"/>
        <v/>
      </c>
      <c r="D800" s="2357" t="str">
        <f t="shared" si="416"/>
        <v/>
      </c>
      <c r="E800" s="2357" t="str">
        <f t="shared" si="416"/>
        <v/>
      </c>
      <c r="F800" s="2357" t="str">
        <f t="shared" si="416"/>
        <v/>
      </c>
      <c r="G800" s="2357" t="str">
        <f t="shared" si="416"/>
        <v/>
      </c>
      <c r="H800" s="2357" t="str">
        <f t="shared" si="416"/>
        <v/>
      </c>
      <c r="I800" s="2357" t="str">
        <f t="shared" si="416"/>
        <v/>
      </c>
      <c r="J800" s="2357" t="str">
        <f t="shared" si="416"/>
        <v/>
      </c>
      <c r="K800" s="2357" t="str">
        <f t="shared" si="416"/>
        <v/>
      </c>
    </row>
    <row r="801" spans="1:11">
      <c r="A801" s="251" t="s">
        <v>1406</v>
      </c>
      <c r="B801" s="2357" t="e">
        <f t="shared" ref="B801:K801" si="417">IF(AND(B790=0,B791=0,B792=0,B793=0),"",-B789/(B790+B791+B792+B793))</f>
        <v>#VALUE!</v>
      </c>
      <c r="C801" s="2357" t="e">
        <f t="shared" si="417"/>
        <v>#VALUE!</v>
      </c>
      <c r="D801" s="2357" t="e">
        <f t="shared" si="417"/>
        <v>#VALUE!</v>
      </c>
      <c r="E801" s="2357" t="e">
        <f t="shared" si="417"/>
        <v>#VALUE!</v>
      </c>
      <c r="F801" s="2357" t="e">
        <f t="shared" si="417"/>
        <v>#VALUE!</v>
      </c>
      <c r="G801" s="2357" t="e">
        <f t="shared" si="417"/>
        <v>#VALUE!</v>
      </c>
      <c r="H801" s="2357" t="e">
        <f t="shared" si="417"/>
        <v>#VALUE!</v>
      </c>
      <c r="I801" s="2357" t="e">
        <f t="shared" si="417"/>
        <v>#VALUE!</v>
      </c>
      <c r="J801" s="2357" t="e">
        <f t="shared" si="417"/>
        <v>#VALUE!</v>
      </c>
      <c r="K801" s="2357" t="e">
        <f t="shared" si="417"/>
        <v>#VALUE!</v>
      </c>
    </row>
    <row r="802" spans="1:11">
      <c r="A802" s="251" t="s">
        <v>1407</v>
      </c>
      <c r="B802" s="2358" t="e">
        <f>IF(OR(B786="Choose mgt fee",B786="Choose One!"),"",(B779+B780+B781+B782+B783) / -(B785+B786+B787))</f>
        <v>#VALUE!</v>
      </c>
      <c r="C802" s="2358" t="e">
        <f t="shared" ref="C802:K802" si="418">IF(OR(C786="Choose mgt fee",C786="Choose One!"),"",(C779+C780+C781+C782+C783) / -(C785+C786+C787))</f>
        <v>#VALUE!</v>
      </c>
      <c r="D802" s="2358" t="e">
        <f t="shared" si="418"/>
        <v>#VALUE!</v>
      </c>
      <c r="E802" s="2358" t="e">
        <f t="shared" si="418"/>
        <v>#VALUE!</v>
      </c>
      <c r="F802" s="2358" t="e">
        <f t="shared" si="418"/>
        <v>#VALUE!</v>
      </c>
      <c r="G802" s="2358" t="e">
        <f t="shared" si="418"/>
        <v>#VALUE!</v>
      </c>
      <c r="H802" s="2358" t="e">
        <f t="shared" si="418"/>
        <v>#VALUE!</v>
      </c>
      <c r="I802" s="2358" t="e">
        <f t="shared" si="418"/>
        <v>#VALUE!</v>
      </c>
      <c r="J802" s="2358" t="e">
        <f t="shared" si="418"/>
        <v>#VALUE!</v>
      </c>
      <c r="K802" s="2358" t="e">
        <f t="shared" si="418"/>
        <v>#VALUE!</v>
      </c>
    </row>
    <row r="803" spans="1:11">
      <c r="A803" s="251" t="s">
        <v>1408</v>
      </c>
      <c r="B803" s="2356">
        <f>'Part VI-Pro Forma'!B103</f>
        <v>2096804.4807586602</v>
      </c>
      <c r="C803" s="2356">
        <f>'Part VI-Pro Forma'!C103</f>
        <v>2003576.3522296578</v>
      </c>
      <c r="D803" s="2356">
        <f>'Part VI-Pro Forma'!D103</f>
        <v>1903856.9414807295</v>
      </c>
      <c r="E803" s="2356">
        <f>'Part VI-Pro Forma'!E103</f>
        <v>1797194.2739251966</v>
      </c>
      <c r="F803" s="2356">
        <f>'Part VI-Pro Forma'!F103</f>
        <v>1683104.9049185272</v>
      </c>
      <c r="G803" s="2356">
        <f>'Part VI-Pro Forma'!G103</f>
        <v>1561071.7285631439</v>
      </c>
      <c r="H803" s="2356">
        <f>'Part VI-Pro Forma'!H103</f>
        <v>1430541.6339448316</v>
      </c>
      <c r="I803" s="2356">
        <f>'Part VI-Pro Forma'!I103</f>
        <v>1290922.9981777233</v>
      </c>
      <c r="J803" s="2356">
        <f>'Part VI-Pro Forma'!J103</f>
        <v>1141583.0048951802</v>
      </c>
      <c r="K803" s="2356">
        <f>'Part VI-Pro Forma'!K103</f>
        <v>981844.77603272605</v>
      </c>
    </row>
    <row r="804" spans="1:11">
      <c r="A804" s="251" t="s">
        <v>1409</v>
      </c>
      <c r="B804" s="2356">
        <f>'Part VI-Pro Forma'!B104</f>
        <v>2812436.3854360753</v>
      </c>
      <c r="C804" s="2356">
        <f>'Part VI-Pro Forma'!C104</f>
        <v>2840690.0113618495</v>
      </c>
      <c r="D804" s="2356">
        <f>'Part VI-Pro Forma'!D104</f>
        <v>2869227.4721085951</v>
      </c>
      <c r="E804" s="2356">
        <f>'Part VI-Pro Forma'!E104</f>
        <v>2898051.6190698221</v>
      </c>
      <c r="F804" s="2356">
        <f>'Part VI-Pro Forma'!F104</f>
        <v>2927165.3322840277</v>
      </c>
      <c r="G804" s="2356">
        <f>'Part VI-Pro Forma'!G104</f>
        <v>2956571.5207224642</v>
      </c>
      <c r="H804" s="2356">
        <f>'Part VI-Pro Forma'!H104</f>
        <v>2986273.1225797939</v>
      </c>
      <c r="I804" s="2356">
        <f>'Part VI-Pro Forma'!I104</f>
        <v>3016273.105567669</v>
      </c>
      <c r="J804" s="2356">
        <f>'Part VI-Pro Forma'!J104</f>
        <v>3046574.4672112567</v>
      </c>
      <c r="K804" s="2356">
        <f>'Part VI-Pro Forma'!K104</f>
        <v>3077180.2351487442</v>
      </c>
    </row>
    <row r="805" spans="1:11">
      <c r="A805" s="251" t="s">
        <v>1410</v>
      </c>
      <c r="B805" s="2356" t="str">
        <f>'Part VI-Pro Forma'!B105</f>
        <v/>
      </c>
      <c r="C805" s="2356" t="str">
        <f>'Part VI-Pro Forma'!C105</f>
        <v/>
      </c>
      <c r="D805" s="2356" t="str">
        <f>'Part VI-Pro Forma'!D105</f>
        <v/>
      </c>
      <c r="E805" s="2356" t="str">
        <f>'Part VI-Pro Forma'!E105</f>
        <v/>
      </c>
      <c r="F805" s="2356" t="str">
        <f>'Part VI-Pro Forma'!F105</f>
        <v/>
      </c>
      <c r="G805" s="2356" t="str">
        <f>'Part VI-Pro Forma'!G105</f>
        <v/>
      </c>
      <c r="H805" s="2356" t="str">
        <f>'Part VI-Pro Forma'!H105</f>
        <v/>
      </c>
      <c r="I805" s="2356" t="str">
        <f>'Part VI-Pro Forma'!I105</f>
        <v/>
      </c>
      <c r="J805" s="2356" t="str">
        <f>'Part VI-Pro Forma'!J105</f>
        <v/>
      </c>
      <c r="K805" s="2356" t="str">
        <f>'Part VI-Pro Forma'!K105</f>
        <v/>
      </c>
    </row>
    <row r="806" spans="1:11">
      <c r="A806" s="251" t="s">
        <v>1411</v>
      </c>
      <c r="B806" s="2356" t="str">
        <f>'Part VI-Pro Forma'!B106</f>
        <v/>
      </c>
      <c r="C806" s="2356" t="str">
        <f>'Part VI-Pro Forma'!C106</f>
        <v/>
      </c>
      <c r="D806" s="2356" t="str">
        <f>'Part VI-Pro Forma'!D106</f>
        <v/>
      </c>
      <c r="E806" s="2356" t="str">
        <f>'Part VI-Pro Forma'!E106</f>
        <v/>
      </c>
      <c r="F806" s="2356" t="str">
        <f>'Part VI-Pro Forma'!F106</f>
        <v/>
      </c>
      <c r="G806" s="2356" t="str">
        <f>'Part VI-Pro Forma'!G106</f>
        <v/>
      </c>
      <c r="H806" s="2356" t="str">
        <f>'Part VI-Pro Forma'!H106</f>
        <v/>
      </c>
      <c r="I806" s="2356" t="str">
        <f>'Part VI-Pro Forma'!I106</f>
        <v/>
      </c>
      <c r="J806" s="2356" t="str">
        <f>'Part VI-Pro Forma'!J106</f>
        <v/>
      </c>
      <c r="K806" s="2356" t="str">
        <f>'Part VI-Pro Forma'!K106</f>
        <v/>
      </c>
    </row>
    <row r="807" spans="1:11">
      <c r="B807" s="2356"/>
      <c r="C807" s="2356"/>
      <c r="D807" s="2356"/>
      <c r="E807" s="2356"/>
      <c r="F807" s="2356"/>
      <c r="G807" s="2356"/>
      <c r="H807" s="2356"/>
      <c r="I807" s="2356"/>
      <c r="J807" s="2356"/>
      <c r="K807" s="2356"/>
    </row>
    <row r="808" spans="1:11">
      <c r="A808" s="255" t="s">
        <v>495</v>
      </c>
      <c r="B808" s="2359">
        <f>K778+1</f>
        <v>31</v>
      </c>
      <c r="C808" s="2359">
        <f>B808+1</f>
        <v>32</v>
      </c>
      <c r="D808" s="2359">
        <f>C808+1</f>
        <v>33</v>
      </c>
      <c r="E808" s="2359">
        <f>D808+1</f>
        <v>34</v>
      </c>
      <c r="F808" s="2359">
        <f>E808+1</f>
        <v>35</v>
      </c>
      <c r="G808" s="2356"/>
      <c r="H808" s="2356"/>
      <c r="I808" s="2356"/>
      <c r="J808" s="2356"/>
      <c r="K808" s="2356"/>
    </row>
    <row r="809" spans="1:11">
      <c r="A809" s="251" t="s">
        <v>1387</v>
      </c>
      <c r="B809" s="2356" t="e">
        <f>$B$15*(1+$B$6)^(B808-1)</f>
        <v>#VALUE!</v>
      </c>
      <c r="C809" s="2356" t="e">
        <f>$B$15*(1+$B$6)^(C808-1)</f>
        <v>#VALUE!</v>
      </c>
      <c r="D809" s="2356" t="e">
        <f>$B$15*(1+$B$6)^(D808-1)</f>
        <v>#VALUE!</v>
      </c>
      <c r="E809" s="2356" t="e">
        <f>$B$15*(1+$B$6)^(E808-1)</f>
        <v>#VALUE!</v>
      </c>
      <c r="F809" s="2356" t="e">
        <f>$B$15*(1+$B$6)^(F808-1)</f>
        <v>#VALUE!</v>
      </c>
      <c r="G809" s="2356"/>
      <c r="H809" s="2356"/>
      <c r="I809" s="2356"/>
      <c r="J809" s="2356"/>
      <c r="K809" s="2356"/>
    </row>
    <row r="810" spans="1:11">
      <c r="A810" s="251" t="s">
        <v>1272</v>
      </c>
      <c r="B810" s="2356" t="e">
        <f>$B$16*(1+$B$6)^(B808-1)</f>
        <v>#VALUE!</v>
      </c>
      <c r="C810" s="2356" t="e">
        <f>$B$16*(1+$B$6)^(C808-1)</f>
        <v>#VALUE!</v>
      </c>
      <c r="D810" s="2356" t="e">
        <f>$B$16*(1+$B$6)^(D808-1)</f>
        <v>#VALUE!</v>
      </c>
      <c r="E810" s="2356" t="e">
        <f>$B$16*(1+$B$6)^(E808-1)</f>
        <v>#VALUE!</v>
      </c>
      <c r="F810" s="2356" t="e">
        <f>$B$16*(1+$B$6)^(F808-1)</f>
        <v>#VALUE!</v>
      </c>
      <c r="G810" s="2356"/>
      <c r="H810" s="2356"/>
      <c r="I810" s="2356"/>
      <c r="J810" s="2356"/>
      <c r="K810" s="2356"/>
    </row>
    <row r="811" spans="1:11">
      <c r="A811" s="251" t="s">
        <v>1390</v>
      </c>
      <c r="B811" s="2356" t="e">
        <f>-(B809+B810)*$B$9</f>
        <v>#VALUE!</v>
      </c>
      <c r="C811" s="2356" t="e">
        <f>-(C809+C810)*$B$9</f>
        <v>#VALUE!</v>
      </c>
      <c r="D811" s="2356" t="e">
        <f>-(D809+D810)*$B$9</f>
        <v>#VALUE!</v>
      </c>
      <c r="E811" s="2356" t="e">
        <f>-(E809+E810)*$B$9</f>
        <v>#VALUE!</v>
      </c>
      <c r="F811" s="2356" t="e">
        <f>-(F809+F810)*$B$9</f>
        <v>#VALUE!</v>
      </c>
      <c r="G811" s="2356"/>
      <c r="H811" s="2356"/>
      <c r="I811" s="2356"/>
      <c r="J811" s="2356"/>
      <c r="K811" s="2356"/>
    </row>
    <row r="812" spans="1:11">
      <c r="A812" s="251" t="s">
        <v>1393</v>
      </c>
      <c r="B812" s="2356">
        <f>'Part V-Revenues &amp; Expenses'!H833</f>
        <v>0</v>
      </c>
      <c r="C812" s="2356">
        <f>'Part V-Revenues &amp; Expenses'!I833</f>
        <v>0</v>
      </c>
      <c r="D812" s="2356">
        <f>'Part V-Revenues &amp; Expenses'!J833</f>
        <v>0</v>
      </c>
      <c r="E812" s="2356">
        <f>'Part V-Revenues &amp; Expenses'!K833</f>
        <v>0</v>
      </c>
      <c r="F812" s="2356">
        <f>'Part V-Revenues &amp; Expenses'!L833</f>
        <v>0</v>
      </c>
      <c r="G812" s="2356"/>
      <c r="H812" s="2356"/>
      <c r="I812" s="2356"/>
      <c r="J812" s="2356"/>
      <c r="K812" s="2356"/>
    </row>
    <row r="813" spans="1:11">
      <c r="A813" s="251" t="s">
        <v>1394</v>
      </c>
      <c r="B813" s="2356">
        <f>'Part V-Revenues &amp; Expenses'!H837</f>
        <v>0</v>
      </c>
      <c r="C813" s="2356">
        <f>'Part V-Revenues &amp; Expenses'!I837</f>
        <v>0</v>
      </c>
      <c r="D813" s="2356">
        <f>'Part V-Revenues &amp; Expenses'!J837</f>
        <v>0</v>
      </c>
      <c r="E813" s="2356">
        <f>'Part V-Revenues &amp; Expenses'!K837</f>
        <v>0</v>
      </c>
      <c r="F813" s="2356">
        <f>'Part V-Revenues &amp; Expenses'!L837</f>
        <v>0</v>
      </c>
      <c r="G813" s="2356"/>
      <c r="H813" s="2356"/>
      <c r="I813" s="2356"/>
      <c r="J813" s="2356"/>
      <c r="K813" s="2356"/>
    </row>
    <row r="814" spans="1:11">
      <c r="A814" s="251" t="s">
        <v>1395</v>
      </c>
      <c r="B814" s="2356" t="e">
        <f>SUM(B809:B813)</f>
        <v>#VALUE!</v>
      </c>
      <c r="C814" s="2356" t="e">
        <f>SUM(C809:C813)</f>
        <v>#VALUE!</v>
      </c>
      <c r="D814" s="2356" t="e">
        <f>SUM(D809:D813)</f>
        <v>#VALUE!</v>
      </c>
      <c r="E814" s="2356" t="e">
        <f>SUM(E809:E813)</f>
        <v>#VALUE!</v>
      </c>
      <c r="F814" s="2356" t="e">
        <f>SUM(F809:F813)</f>
        <v>#VALUE!</v>
      </c>
      <c r="G814" s="2356"/>
      <c r="H814" s="2356"/>
      <c r="I814" s="2356"/>
      <c r="J814" s="2356"/>
      <c r="K814" s="2356"/>
    </row>
    <row r="815" spans="1:11">
      <c r="A815" s="251" t="s">
        <v>1396</v>
      </c>
      <c r="B815" s="2356" t="e">
        <f>$B$21*(1+$B$7)^(B808-1)</f>
        <v>#VALUE!</v>
      </c>
      <c r="C815" s="2356" t="e">
        <f>$B$21*(1+$B$7)^(C808-1)</f>
        <v>#VALUE!</v>
      </c>
      <c r="D815" s="2356" t="e">
        <f>$B$21*(1+$B$7)^(D808-1)</f>
        <v>#VALUE!</v>
      </c>
      <c r="E815" s="2356" t="e">
        <f>$B$21*(1+$B$7)^(E808-1)</f>
        <v>#VALUE!</v>
      </c>
      <c r="F815" s="2356" t="e">
        <f>$B$21*(1+$B$7)^(F808-1)</f>
        <v>#VALUE!</v>
      </c>
      <c r="G815" s="2356"/>
      <c r="H815" s="2356"/>
      <c r="I815" s="2356"/>
      <c r="J815" s="2356"/>
      <c r="K815" s="2356"/>
    </row>
    <row r="816" spans="1:11">
      <c r="A816" s="251" t="s">
        <v>1397</v>
      </c>
      <c r="B816" s="2356">
        <f>IF(AND('Part VI-Pro Forma'!$G$9="Yes",'Part VI-Pro Forma'!$G$10="Yes"),"Choose One!",IF('Part VI-Pro Forma'!$G$9="Yes",ROUND((-$K$9*(1+'Part VI-Pro Forma'!$B$7)^('Part VI-Pro Forma'!B725-1)),),IF('Part VI-Pro Forma'!$G$10="Yes",ROUND((-(SUM(B809:B812)*'Part VI-Pro Forma'!$K$10)),),"Choose mgt fee")))</f>
        <v>0</v>
      </c>
      <c r="C816" s="2356">
        <f>IF(AND('Part VI-Pro Forma'!$G$9="Yes",'Part VI-Pro Forma'!$G$10="Yes"),"Choose One!",IF('Part VI-Pro Forma'!$G$9="Yes",ROUND((-$K$9*(1+'Part VI-Pro Forma'!$B$7)^('Part VI-Pro Forma'!C725-1)),),IF('Part VI-Pro Forma'!$G$10="Yes",ROUND((-(SUM(C809:C812)*'Part VI-Pro Forma'!$K$10)),),"Choose mgt fee")))</f>
        <v>0</v>
      </c>
      <c r="D816" s="2356">
        <f>IF(AND('Part VI-Pro Forma'!$G$9="Yes",'Part VI-Pro Forma'!$G$10="Yes"),"Choose One!",IF('Part VI-Pro Forma'!$G$9="Yes",ROUND((-$K$9*(1+'Part VI-Pro Forma'!$B$7)^('Part VI-Pro Forma'!D725-1)),),IF('Part VI-Pro Forma'!$G$10="Yes",ROUND((-(SUM(D809:D812)*'Part VI-Pro Forma'!$K$10)),),"Choose mgt fee")))</f>
        <v>0</v>
      </c>
      <c r="E816" s="2356">
        <f>IF(AND('Part VI-Pro Forma'!$G$9="Yes",'Part VI-Pro Forma'!$G$10="Yes"),"Choose One!",IF('Part VI-Pro Forma'!$G$9="Yes",ROUND((-$K$9*(1+'Part VI-Pro Forma'!$B$7)^('Part VI-Pro Forma'!E725-1)),),IF('Part VI-Pro Forma'!$G$10="Yes",ROUND((-(SUM(E809:E812)*'Part VI-Pro Forma'!$K$10)),),"Choose mgt fee")))</f>
        <v>0</v>
      </c>
      <c r="F816" s="2356">
        <f>IF(AND('Part VI-Pro Forma'!$G$9="Yes",'Part VI-Pro Forma'!$G$10="Yes"),"Choose One!",IF('Part VI-Pro Forma'!$G$9="Yes",ROUND((-$K$9*(1+'Part VI-Pro Forma'!$B$7)^('Part VI-Pro Forma'!F725-1)),),IF('Part VI-Pro Forma'!$G$10="Yes",ROUND((-(SUM(F809:F812)*'Part VI-Pro Forma'!$K$10)),),"Choose mgt fee")))</f>
        <v>0</v>
      </c>
      <c r="G816" s="2356"/>
      <c r="H816" s="2356"/>
      <c r="I816" s="2356"/>
      <c r="J816" s="2356"/>
      <c r="K816" s="2356"/>
    </row>
    <row r="817" spans="1:11">
      <c r="A817" s="251" t="s">
        <v>1398</v>
      </c>
      <c r="B817" s="2356" t="e">
        <f>$B$23*(1+$B$8)^(B808-1)</f>
        <v>#VALUE!</v>
      </c>
      <c r="C817" s="2356" t="e">
        <f>$B$23*(1+$B$8)^(C808-1)</f>
        <v>#VALUE!</v>
      </c>
      <c r="D817" s="2356" t="e">
        <f>$B$23*(1+$B$8)^(D808-1)</f>
        <v>#VALUE!</v>
      </c>
      <c r="E817" s="2356" t="e">
        <f>$B$23*(1+$B$8)^(E808-1)</f>
        <v>#VALUE!</v>
      </c>
      <c r="F817" s="2356" t="e">
        <f>$B$23*(1+$B$8)^(F808-1)</f>
        <v>#VALUE!</v>
      </c>
      <c r="G817" s="2356"/>
      <c r="H817" s="2356"/>
      <c r="I817" s="2356"/>
      <c r="J817" s="2356"/>
      <c r="K817" s="2356"/>
    </row>
    <row r="818" spans="1:11">
      <c r="A818" s="251" t="s">
        <v>1399</v>
      </c>
      <c r="B818" s="2356">
        <f>'Part VI-Pro Forma'!B118</f>
        <v>0</v>
      </c>
      <c r="C818" s="2356">
        <f>'Part VI-Pro Forma'!C118</f>
        <v>0</v>
      </c>
      <c r="D818" s="2356">
        <f>'Part VI-Pro Forma'!D118</f>
        <v>0</v>
      </c>
      <c r="E818" s="2356">
        <f>'Part VI-Pro Forma'!E118</f>
        <v>0</v>
      </c>
      <c r="F818" s="2356">
        <f>'Part VI-Pro Forma'!F118</f>
        <v>0</v>
      </c>
      <c r="G818" s="2356"/>
      <c r="H818" s="2356"/>
      <c r="I818" s="2356"/>
      <c r="J818" s="2356"/>
      <c r="K818" s="2356"/>
    </row>
    <row r="819" spans="1:11">
      <c r="A819" s="251" t="s">
        <v>1400</v>
      </c>
      <c r="B819" s="2356" t="e">
        <f>SUM(B814:B818)</f>
        <v>#VALUE!</v>
      </c>
      <c r="C819" s="2356" t="e">
        <f>SUM(C814:C818)</f>
        <v>#VALUE!</v>
      </c>
      <c r="D819" s="2356" t="e">
        <f>SUM(D814:D818)</f>
        <v>#VALUE!</v>
      </c>
      <c r="E819" s="2356" t="e">
        <f>SUM(E814:E818)</f>
        <v>#VALUE!</v>
      </c>
      <c r="F819" s="2356" t="e">
        <f>SUM(F814:F818)</f>
        <v>#VALUE!</v>
      </c>
      <c r="G819" s="2356"/>
      <c r="H819" s="2356"/>
      <c r="I819" s="2356"/>
      <c r="J819" s="2356"/>
      <c r="K819" s="2356"/>
    </row>
    <row r="820" spans="1:11">
      <c r="A820" s="251" t="str">
        <f>$A790</f>
        <v>Mortgage A</v>
      </c>
      <c r="B820" s="2356">
        <f>'Part VI-Pro Forma'!B120</f>
        <v>-231913.23633240676</v>
      </c>
      <c r="C820" s="2356">
        <f>'Part VI-Pro Forma'!C120</f>
        <v>-231913.23633240676</v>
      </c>
      <c r="D820" s="2356">
        <f>'Part VI-Pro Forma'!D120</f>
        <v>-231913.23633240676</v>
      </c>
      <c r="E820" s="2356">
        <f>'Part VI-Pro Forma'!E120</f>
        <v>-231913.23633240676</v>
      </c>
      <c r="F820" s="2356">
        <f>'Part VI-Pro Forma'!F120</f>
        <v>-231913.23633240676</v>
      </c>
      <c r="G820" s="2356"/>
      <c r="H820" s="2356"/>
      <c r="I820" s="2356"/>
      <c r="J820" s="2356"/>
      <c r="K820" s="2356"/>
    </row>
    <row r="821" spans="1:11">
      <c r="A821" s="251" t="str">
        <f>$A791</f>
        <v>Mortgage B</v>
      </c>
      <c r="B821" s="2356">
        <f>'Part VI-Pro Forma'!B121</f>
        <v>0</v>
      </c>
      <c r="C821" s="2356">
        <f>'Part VI-Pro Forma'!C121</f>
        <v>0</v>
      </c>
      <c r="D821" s="2356">
        <f>'Part VI-Pro Forma'!D121</f>
        <v>0</v>
      </c>
      <c r="E821" s="2356">
        <f>'Part VI-Pro Forma'!E121</f>
        <v>0</v>
      </c>
      <c r="F821" s="2356">
        <f>'Part VI-Pro Forma'!F121</f>
        <v>0</v>
      </c>
      <c r="G821" s="2356"/>
      <c r="H821" s="2356"/>
      <c r="I821" s="2356"/>
      <c r="J821" s="2356"/>
      <c r="K821" s="2356"/>
    </row>
    <row r="822" spans="1:11">
      <c r="A822" s="251" t="str">
        <f>$A792</f>
        <v>Mortgage C</v>
      </c>
      <c r="B822" s="2356">
        <f>'Part VI-Pro Forma'!B122</f>
        <v>0</v>
      </c>
      <c r="C822" s="2356">
        <f>'Part VI-Pro Forma'!C122</f>
        <v>0</v>
      </c>
      <c r="D822" s="2356">
        <f>'Part VI-Pro Forma'!D122</f>
        <v>0</v>
      </c>
      <c r="E822" s="2356">
        <f>'Part VI-Pro Forma'!E122</f>
        <v>0</v>
      </c>
      <c r="F822" s="2356">
        <f>'Part VI-Pro Forma'!F122</f>
        <v>0</v>
      </c>
      <c r="G822" s="2356"/>
      <c r="H822" s="2356"/>
      <c r="I822" s="2356"/>
      <c r="J822" s="2356"/>
      <c r="K822" s="2356"/>
    </row>
    <row r="823" spans="1:11">
      <c r="A823" s="251" t="str">
        <f>$A793</f>
        <v>D/S Other Source,not DDF</v>
      </c>
      <c r="B823" s="2356">
        <f>'Part VI-Pro Forma'!B124</f>
        <v>0</v>
      </c>
      <c r="C823" s="2356">
        <f>'Part VI-Pro Forma'!C123</f>
        <v>0</v>
      </c>
      <c r="D823" s="2356">
        <f>'Part VI-Pro Forma'!D123</f>
        <v>0</v>
      </c>
      <c r="E823" s="2356">
        <f>'Part VI-Pro Forma'!E123</f>
        <v>0</v>
      </c>
      <c r="F823" s="2356">
        <f>'Part VI-Pro Forma'!F123</f>
        <v>0</v>
      </c>
      <c r="G823" s="2356"/>
      <c r="H823" s="2356"/>
      <c r="I823" s="2356"/>
      <c r="J823" s="2356"/>
      <c r="K823" s="2356"/>
    </row>
    <row r="824" spans="1:11">
      <c r="A824" s="251" t="s">
        <v>1402</v>
      </c>
      <c r="B824" s="2356"/>
      <c r="C824" s="2356"/>
      <c r="D824" s="2356"/>
      <c r="E824" s="2356"/>
      <c r="F824" s="2356"/>
      <c r="G824" s="2356"/>
      <c r="H824" s="2356"/>
      <c r="I824" s="2356"/>
      <c r="J824" s="2356"/>
      <c r="K824" s="2356"/>
    </row>
    <row r="825" spans="1:11">
      <c r="A825" s="251" t="s">
        <v>1403</v>
      </c>
      <c r="B825" s="2356">
        <f>'Part VI-Pro Forma'!B125</f>
        <v>-7500</v>
      </c>
      <c r="C825" s="2356">
        <f>'Part VI-Pro Forma'!C125</f>
        <v>-7500</v>
      </c>
      <c r="D825" s="2356">
        <f>'Part VI-Pro Forma'!D125</f>
        <v>-7500</v>
      </c>
      <c r="E825" s="2356">
        <f>'Part VI-Pro Forma'!E125</f>
        <v>-7500</v>
      </c>
      <c r="F825" s="2356">
        <f>'Part VI-Pro Forma'!F125</f>
        <v>-7500</v>
      </c>
      <c r="G825" s="2356"/>
      <c r="H825" s="2356"/>
      <c r="I825" s="2356"/>
      <c r="J825" s="2356"/>
      <c r="K825" s="2356"/>
    </row>
    <row r="826" spans="1:11">
      <c r="A826" s="251" t="s">
        <v>446</v>
      </c>
      <c r="B826" s="2356" t="e">
        <f>SUM(B819:B825)</f>
        <v>#VALUE!</v>
      </c>
      <c r="C826" s="2356" t="e">
        <f>SUM(C819:C825)</f>
        <v>#VALUE!</v>
      </c>
      <c r="D826" s="2356" t="e">
        <f>SUM(D819:D825)</f>
        <v>#VALUE!</v>
      </c>
      <c r="E826" s="2356" t="e">
        <f>SUM(E819:E825)</f>
        <v>#VALUE!</v>
      </c>
      <c r="F826" s="2356" t="e">
        <f>SUM(F819:F825)</f>
        <v>#VALUE!</v>
      </c>
      <c r="G826" s="2356"/>
      <c r="H826" s="2356"/>
      <c r="I826" s="2356"/>
      <c r="J826" s="2356"/>
      <c r="K826" s="2356"/>
    </row>
    <row r="827" spans="1:11">
      <c r="A827" s="251" t="str">
        <f>$A797</f>
        <v>DCR Mortgage A</v>
      </c>
      <c r="B827" s="2357" t="e">
        <f>IF(B820=0,"",-B819/B820)</f>
        <v>#VALUE!</v>
      </c>
      <c r="C827" s="2357" t="e">
        <f>IF(C820=0,"",-C819/C820)</f>
        <v>#VALUE!</v>
      </c>
      <c r="D827" s="2357" t="e">
        <f>IF(D820=0,"",-D819/D820)</f>
        <v>#VALUE!</v>
      </c>
      <c r="E827" s="2357" t="e">
        <f>IF(E820=0,"",-E819/E820)</f>
        <v>#VALUE!</v>
      </c>
      <c r="F827" s="2357" t="e">
        <f>IF(F820=0,"",-F819/F820)</f>
        <v>#VALUE!</v>
      </c>
      <c r="G827" s="2356"/>
      <c r="H827" s="2356"/>
      <c r="I827" s="2356"/>
      <c r="J827" s="2356"/>
      <c r="K827" s="2356"/>
    </row>
    <row r="828" spans="1:11">
      <c r="A828" s="251" t="str">
        <f>$A798</f>
        <v>DCR Mortgage B</v>
      </c>
      <c r="B828" s="2357" t="str">
        <f>IF(B821=0,"",-(B819+B820)/B821)</f>
        <v/>
      </c>
      <c r="C828" s="2357" t="str">
        <f>IF(C821=0,"",-(C819+C820)/C821)</f>
        <v/>
      </c>
      <c r="D828" s="2357" t="str">
        <f>IF(D821=0,"",-(D819+D820)/D821)</f>
        <v/>
      </c>
      <c r="E828" s="2357" t="str">
        <f>IF(E821=0,"",-(E819+E820)/E821)</f>
        <v/>
      </c>
      <c r="F828" s="2357" t="str">
        <f>IF(F821=0,"",-(F819+F820)/F821)</f>
        <v/>
      </c>
      <c r="G828" s="2356"/>
      <c r="H828" s="2356"/>
      <c r="I828" s="2356"/>
      <c r="J828" s="2356"/>
      <c r="K828" s="2356"/>
    </row>
    <row r="829" spans="1:11">
      <c r="A829" s="251" t="str">
        <f>$A799</f>
        <v>DCR Mortgage C</v>
      </c>
      <c r="B829" s="2357" t="str">
        <f>IF(B822=0,"",-(B819+B820+B821)/B822)</f>
        <v/>
      </c>
      <c r="C829" s="2357" t="str">
        <f>IF(C822=0,"",-(C819+C820+C821)/C822)</f>
        <v/>
      </c>
      <c r="D829" s="2357" t="str">
        <f>IF(D822=0,"",-(D819+D820+D821)/D822)</f>
        <v/>
      </c>
      <c r="E829" s="2357" t="str">
        <f>IF(E822=0,"",-(E819+E820+E821)/E822)</f>
        <v/>
      </c>
      <c r="F829" s="2357" t="str">
        <f>IF(F822=0,"",-(F819+F820+F821)/F822)</f>
        <v/>
      </c>
      <c r="G829" s="2356"/>
      <c r="H829" s="2356"/>
      <c r="I829" s="2356"/>
      <c r="J829" s="2356"/>
      <c r="K829" s="2356"/>
    </row>
    <row r="830" spans="1:11">
      <c r="A830" s="251" t="str">
        <f>$A800</f>
        <v>DCR Other Source</v>
      </c>
      <c r="B830" s="2357" t="str">
        <f>IF(B823=0,"",-(B819+B820+B821+B822)/B823)</f>
        <v/>
      </c>
      <c r="C830" s="2357" t="str">
        <f>IF(C823=0,"",-(C819+C820+C821+C822)/C823)</f>
        <v/>
      </c>
      <c r="D830" s="2357" t="str">
        <f>IF(D823=0,"",-(D819+D820+D821+D822)/D823)</f>
        <v/>
      </c>
      <c r="E830" s="2357" t="str">
        <f>IF(E823=0,"",-(E819+E820+E821+E822)/E823)</f>
        <v/>
      </c>
      <c r="F830" s="2357" t="str">
        <f>IF(F823=0,"",-(F819+F820+F821+F822)/F823)</f>
        <v/>
      </c>
      <c r="G830" s="2356"/>
      <c r="H830" s="2356"/>
      <c r="I830" s="2356"/>
      <c r="J830" s="2356"/>
      <c r="K830" s="2356"/>
    </row>
    <row r="831" spans="1:11">
      <c r="A831" s="251" t="s">
        <v>1406</v>
      </c>
      <c r="B831" s="2357" t="e">
        <f>IF(AND(B820=0,B821=0,B822=0,B823=0),"",-B819/(B820+B821+B822+B823))</f>
        <v>#VALUE!</v>
      </c>
      <c r="C831" s="2357" t="e">
        <f>IF(AND(C820=0,C821=0,C822=0,C823=0),"",-C819/(C820+C821+C822+C823))</f>
        <v>#VALUE!</v>
      </c>
      <c r="D831" s="2357" t="e">
        <f>IF(AND(D820=0,D821=0,D822=0,D823=0),"",-D819/(D820+D821+D822+D823))</f>
        <v>#VALUE!</v>
      </c>
      <c r="E831" s="2357" t="e">
        <f>IF(AND(E820=0,E821=0,E822=0,E823=0),"",-E819/(E820+E821+E822+E823))</f>
        <v>#VALUE!</v>
      </c>
      <c r="F831" s="2357" t="e">
        <f>IF(AND(F820=0,F821=0,F822=0,F823=0),"",-F819/(F820+F821+F822+F823))</f>
        <v>#VALUE!</v>
      </c>
      <c r="G831" s="2356"/>
      <c r="H831" s="2356"/>
      <c r="I831" s="2356"/>
      <c r="J831" s="2356"/>
      <c r="K831" s="2356"/>
    </row>
    <row r="832" spans="1:11">
      <c r="A832" s="251" t="s">
        <v>1407</v>
      </c>
      <c r="B832" s="2358" t="e">
        <f>IF(OR(B816="Choose mgt fee",B816="Choose One!"),"",(B809+B810+B811+B812+B813) / -(B815+B816+B817))</f>
        <v>#VALUE!</v>
      </c>
      <c r="C832" s="2358" t="e">
        <f>IF(OR(C816="Choose mgt fee",C816="Choose One!"),"",(C809+C810+C811+C812+C813) / -(C815+C816+C817))</f>
        <v>#VALUE!</v>
      </c>
      <c r="D832" s="2358" t="e">
        <f>IF(OR(D816="Choose mgt fee",D816="Choose One!"),"",(D809+D810+D811+D812+D813) / -(D815+D816+D817))</f>
        <v>#VALUE!</v>
      </c>
      <c r="E832" s="2358" t="e">
        <f>IF(OR(E816="Choose mgt fee",E816="Choose One!"),"",(E809+E810+E811+E812+E813) / -(E815+E816+E817))</f>
        <v>#VALUE!</v>
      </c>
      <c r="F832" s="2358" t="e">
        <f>IF(OR(F816="Choose mgt fee",F816="Choose One!"),"",(F809+F810+F811+F812+F813) / -(F815+F816+F817))</f>
        <v>#VALUE!</v>
      </c>
      <c r="G832" s="2356"/>
      <c r="H832" s="2356"/>
      <c r="I832" s="2356"/>
      <c r="J832" s="2356"/>
      <c r="K832" s="2356"/>
    </row>
    <row r="833" spans="1:17">
      <c r="A833" s="251" t="s">
        <v>1408</v>
      </c>
      <c r="B833" s="2356">
        <f>'Part VI-Pro Forma'!B133</f>
        <v>810984.30390294385</v>
      </c>
      <c r="C833" s="2356">
        <f>'Part VI-Pro Forma'!C133</f>
        <v>628227.1696570802</v>
      </c>
      <c r="D833" s="2356">
        <f>'Part VI-Pro Forma'!D133</f>
        <v>432745.0332599</v>
      </c>
      <c r="E833" s="2356">
        <f>'Part VI-Pro Forma'!E133</f>
        <v>223651.87906873529</v>
      </c>
      <c r="F833" s="2356">
        <f>'Part VI-Pro Forma'!F133</f>
        <v>-5.1193637773394585E-8</v>
      </c>
      <c r="G833" s="2356"/>
      <c r="H833" s="2356"/>
      <c r="I833" s="2356"/>
      <c r="J833" s="2356"/>
      <c r="K833" s="2356"/>
    </row>
    <row r="834" spans="1:17">
      <c r="A834" s="251" t="s">
        <v>1409</v>
      </c>
      <c r="B834" s="2356">
        <f>'Part VI-Pro Forma'!B134</f>
        <v>3108093.4674338535</v>
      </c>
      <c r="C834" s="2356">
        <f>'Part VI-Pro Forma'!C134</f>
        <v>3139317.2528413953</v>
      </c>
      <c r="D834" s="2356">
        <f>'Part VI-Pro Forma'!D134</f>
        <v>3170854.7111758911</v>
      </c>
      <c r="E834" s="2356">
        <f>'Part VI-Pro Forma'!E134</f>
        <v>3202708.9935832964</v>
      </c>
      <c r="F834" s="2356">
        <f>'Part VI-Pro Forma'!F134</f>
        <v>3234883.2828658558</v>
      </c>
      <c r="G834" s="2356"/>
      <c r="H834" s="2356"/>
      <c r="I834" s="2356"/>
      <c r="J834" s="2356"/>
      <c r="K834" s="2356"/>
    </row>
    <row r="835" spans="1:17">
      <c r="A835" s="251" t="s">
        <v>1410</v>
      </c>
      <c r="B835" s="2356" t="str">
        <f>'Part VI-Pro Forma'!B135</f>
        <v/>
      </c>
      <c r="C835" s="2356" t="str">
        <f>'Part VI-Pro Forma'!C135</f>
        <v/>
      </c>
      <c r="D835" s="2356" t="str">
        <f>'Part VI-Pro Forma'!D135</f>
        <v/>
      </c>
      <c r="E835" s="2356" t="str">
        <f>'Part VI-Pro Forma'!E135</f>
        <v/>
      </c>
      <c r="F835" s="2356" t="str">
        <f>'Part VI-Pro Forma'!F135</f>
        <v/>
      </c>
      <c r="G835" s="2356"/>
      <c r="H835" s="2356"/>
      <c r="I835" s="2356"/>
      <c r="J835" s="2356"/>
      <c r="K835" s="2356"/>
    </row>
    <row r="836" spans="1:17">
      <c r="A836" s="251" t="s">
        <v>1411</v>
      </c>
      <c r="B836" s="2356" t="str">
        <f>'Part VI-Pro Forma'!B136</f>
        <v/>
      </c>
      <c r="C836" s="2356" t="str">
        <f>'Part VI-Pro Forma'!C136</f>
        <v/>
      </c>
      <c r="D836" s="2356" t="str">
        <f>'Part VI-Pro Forma'!D136</f>
        <v/>
      </c>
      <c r="E836" s="2356" t="str">
        <f>'Part VI-Pro Forma'!E136</f>
        <v/>
      </c>
      <c r="F836" s="2356" t="str">
        <f>'Part VI-Pro Forma'!F136</f>
        <v/>
      </c>
      <c r="G836" s="2356"/>
      <c r="H836" s="2356"/>
      <c r="I836" s="2356"/>
      <c r="J836" s="2356"/>
      <c r="K836" s="2356"/>
    </row>
    <row r="838" spans="1:17">
      <c r="A838" s="255" t="s">
        <v>1417</v>
      </c>
      <c r="B838" s="255"/>
      <c r="G838" s="255" t="s">
        <v>1418</v>
      </c>
    </row>
    <row r="839" spans="1:17">
      <c r="B839" s="255"/>
    </row>
    <row r="840" spans="1:17" ht="12.6" customHeight="1">
      <c r="A840" s="2127" t="str">
        <f>'Part VI-Pro Forma'!A140</f>
        <v>The debt service payments do not deviate from the amount shown the Souces of Funds tab. The development meets Threshold Feasibility requirements.
The NSP Loan interest accrues and is not required to be paid out of annual cash flow.</v>
      </c>
      <c r="B840" s="2127"/>
      <c r="C840" s="2127"/>
      <c r="D840" s="2127"/>
      <c r="E840" s="2127"/>
      <c r="F840" s="2127"/>
      <c r="G840" s="2127"/>
      <c r="H840" s="2127"/>
      <c r="I840" s="2127"/>
      <c r="J840" s="2127"/>
      <c r="K840" s="2127"/>
    </row>
    <row r="844" spans="1:17">
      <c r="A844" s="2360" t="str">
        <f>CONCATENATE("PART SEVEN - THRESHOLD CRITERIA","  -  ",'Part I-Project Identification'!$O$7," ",'Part I-Project Identification'!$F$26,", ",'Part I-Project Identification'!F787,", ",'Part I-Project Identification'!J787," County")</f>
        <v>PART SEVEN - THRESHOLD CRITERIA  -  2024-0 Finley Place, ,  County</v>
      </c>
      <c r="B844" s="2360"/>
      <c r="C844" s="2360"/>
      <c r="D844" s="2360"/>
      <c r="E844" s="2360"/>
      <c r="F844" s="2360"/>
      <c r="G844" s="2360"/>
      <c r="H844" s="2360"/>
      <c r="I844" s="2360"/>
      <c r="J844" s="2360"/>
      <c r="K844" s="2360"/>
      <c r="L844" s="2360"/>
      <c r="M844" s="2360"/>
      <c r="N844" s="2360"/>
      <c r="O844" s="2360"/>
      <c r="P844" s="2360"/>
      <c r="Q844" s="2360"/>
    </row>
    <row r="845" spans="1:17">
      <c r="A845" s="2361"/>
      <c r="B845" s="2361"/>
      <c r="C845" s="2361"/>
      <c r="D845" s="2361"/>
      <c r="E845" s="2361"/>
      <c r="F845" s="2361"/>
      <c r="G845" s="2361"/>
      <c r="H845" s="2361"/>
      <c r="I845" s="2361"/>
      <c r="J845" s="2361"/>
      <c r="K845" s="2361"/>
      <c r="L845" s="2361"/>
      <c r="M845" s="2361"/>
      <c r="N845" s="2361"/>
      <c r="O845" s="2361"/>
      <c r="P845" s="2361"/>
      <c r="Q845" s="2361"/>
    </row>
    <row r="846" spans="1:17" ht="12.95" customHeight="1">
      <c r="A846" s="2362"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362"/>
      <c r="C846" s="2362"/>
      <c r="D846" s="2362"/>
      <c r="E846" s="2362"/>
      <c r="F846" s="2362"/>
      <c r="G846" s="2362"/>
      <c r="H846" s="2362"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362"/>
      <c r="J846" s="2362"/>
      <c r="K846" s="2362"/>
      <c r="L846" s="2362"/>
      <c r="M846" s="2362"/>
      <c r="N846" s="2362"/>
      <c r="O846" s="2361"/>
      <c r="P846" s="2360" t="s">
        <v>1420</v>
      </c>
      <c r="Q846" s="2360" t="s">
        <v>1421</v>
      </c>
    </row>
    <row r="847" spans="1:17">
      <c r="A847" s="2363"/>
      <c r="B847" s="2362"/>
      <c r="C847" s="2362"/>
      <c r="D847" s="2362"/>
      <c r="E847" s="2363"/>
      <c r="F847" s="2363"/>
      <c r="G847" s="2363"/>
      <c r="H847" s="2363"/>
      <c r="I847" s="2361"/>
      <c r="J847" s="2360"/>
      <c r="K847" s="2363"/>
      <c r="L847" s="2363"/>
      <c r="M847" s="2363"/>
      <c r="N847" s="2363"/>
      <c r="O847" s="2361"/>
      <c r="P847" s="2360"/>
      <c r="Q847" s="2360"/>
    </row>
    <row r="848" spans="1:17">
      <c r="A848" s="2361"/>
      <c r="B848" s="2361"/>
      <c r="C848" s="2361"/>
      <c r="D848" s="2361"/>
      <c r="E848" s="2364" t="str">
        <f>'Part I-Project Identification'!$A$6</f>
        <v>2024 May 7</v>
      </c>
      <c r="F848" s="2364"/>
      <c r="G848" s="2364"/>
      <c r="H848" s="2364"/>
      <c r="I848" s="2364"/>
      <c r="J848" s="2360"/>
      <c r="K848" s="2363"/>
      <c r="L848" s="2363"/>
      <c r="M848" s="2363"/>
      <c r="N848" s="2363"/>
      <c r="O848" s="2361"/>
      <c r="P848" s="2360"/>
      <c r="Q848" s="2360"/>
    </row>
    <row r="849" spans="1:17">
      <c r="A849" s="2361"/>
      <c r="B849" s="2361"/>
      <c r="C849" s="2361"/>
      <c r="D849" s="2361"/>
      <c r="E849" s="2365"/>
      <c r="F849" s="2365"/>
      <c r="G849" s="2365"/>
      <c r="H849" s="2365"/>
      <c r="I849" s="2365"/>
      <c r="J849" s="2360"/>
      <c r="K849" s="2361"/>
      <c r="L849" s="2366"/>
      <c r="M849" s="2360"/>
      <c r="N849" s="2363"/>
      <c r="O849" s="2361"/>
      <c r="P849" s="2363"/>
      <c r="Q849" s="2363"/>
    </row>
    <row r="850" spans="1:17" ht="15.6" customHeight="1">
      <c r="A850" s="2367" t="s">
        <v>1422</v>
      </c>
      <c r="B850" s="2367"/>
      <c r="C850" s="2367"/>
      <c r="D850" s="2367"/>
      <c r="E850" s="2367"/>
      <c r="F850" s="2367"/>
      <c r="G850" s="2367"/>
      <c r="H850" s="2367"/>
      <c r="I850" s="2367"/>
      <c r="J850" s="2367"/>
      <c r="K850" s="2367"/>
      <c r="L850" s="2367"/>
      <c r="M850" s="2367"/>
      <c r="N850" s="2367"/>
      <c r="O850" s="2367"/>
      <c r="P850" s="2367"/>
      <c r="Q850" s="2367"/>
    </row>
    <row r="851" spans="1:17">
      <c r="A851" s="2361"/>
      <c r="B851" s="2361"/>
      <c r="C851" s="2361"/>
      <c r="D851" s="2361"/>
      <c r="E851" s="2365"/>
      <c r="F851" s="2365"/>
      <c r="G851" s="2365"/>
      <c r="H851" s="2365"/>
      <c r="I851" s="2365"/>
      <c r="J851" s="2360"/>
      <c r="K851" s="2361"/>
      <c r="L851" s="2366"/>
      <c r="M851" s="2360"/>
      <c r="N851" s="2363"/>
      <c r="O851" s="2361"/>
      <c r="P851" s="2363"/>
      <c r="Q851" s="2363"/>
    </row>
    <row r="852" spans="1:17" ht="15">
      <c r="A852" s="2368" t="s">
        <v>2273</v>
      </c>
      <c r="B852" s="2369"/>
      <c r="C852" s="2369"/>
      <c r="D852" s="2369"/>
      <c r="E852" s="2369"/>
      <c r="F852" s="2369"/>
      <c r="G852" s="2369"/>
      <c r="H852" s="2369"/>
      <c r="I852" s="2089"/>
      <c r="J852" s="2089"/>
      <c r="K852" s="2084"/>
      <c r="L852" s="2084"/>
      <c r="M852" s="2084"/>
      <c r="N852" s="2084"/>
      <c r="O852" s="2084"/>
      <c r="P852" s="2089"/>
      <c r="Q852" s="2089"/>
    </row>
    <row r="853" spans="1:17" ht="15">
      <c r="A853" s="2370" t="s">
        <v>1424</v>
      </c>
      <c r="B853" s="2369"/>
      <c r="C853" s="2369"/>
      <c r="D853" s="2369"/>
      <c r="E853" s="2369"/>
      <c r="F853" s="2369"/>
      <c r="G853" s="2369"/>
      <c r="H853" s="2084"/>
      <c r="I853" s="2089"/>
      <c r="J853" s="2089"/>
      <c r="K853" s="2084"/>
      <c r="L853" s="2084"/>
      <c r="M853" s="2087"/>
      <c r="N853" s="2087"/>
      <c r="O853" s="2369"/>
      <c r="P853" s="2369"/>
      <c r="Q853" s="2369"/>
    </row>
    <row r="854" spans="1:17" ht="14.25">
      <c r="A854" s="2371" t="s">
        <v>1425</v>
      </c>
      <c r="B854" s="2371"/>
      <c r="C854" s="2371"/>
      <c r="D854" s="2371"/>
      <c r="E854" s="2371"/>
      <c r="F854" s="2371"/>
      <c r="G854" s="2371"/>
      <c r="H854" s="2371"/>
      <c r="I854" s="2371"/>
      <c r="J854" s="2371"/>
      <c r="K854" s="2371"/>
      <c r="L854" s="2371"/>
      <c r="M854" s="2371"/>
      <c r="N854" s="2371"/>
      <c r="O854" s="2371"/>
      <c r="P854" s="2371"/>
      <c r="Q854" s="2371"/>
    </row>
    <row r="855" spans="1:17" ht="14.25">
      <c r="A855" s="2371" t="s">
        <v>1426</v>
      </c>
      <c r="B855" s="2371"/>
      <c r="C855" s="2371"/>
      <c r="D855" s="2371"/>
      <c r="E855" s="2371"/>
      <c r="F855" s="2371"/>
      <c r="G855" s="2371"/>
      <c r="H855" s="2371"/>
      <c r="I855" s="2371"/>
      <c r="J855" s="2371"/>
      <c r="K855" s="2371"/>
      <c r="L855" s="2371"/>
      <c r="M855" s="2371"/>
      <c r="N855" s="2371"/>
      <c r="O855" s="2371"/>
      <c r="P855" s="2371"/>
      <c r="Q855" s="2371"/>
    </row>
    <row r="856" spans="1:17" ht="14.25">
      <c r="A856" s="2371" t="s">
        <v>1427</v>
      </c>
      <c r="B856" s="2371"/>
      <c r="C856" s="2371"/>
      <c r="D856" s="2371"/>
      <c r="E856" s="2371"/>
      <c r="F856" s="2371"/>
      <c r="G856" s="2371"/>
      <c r="H856" s="2371"/>
      <c r="I856" s="2371"/>
      <c r="J856" s="2371"/>
      <c r="K856" s="2371"/>
      <c r="L856" s="2371"/>
      <c r="M856" s="2371"/>
      <c r="N856" s="2371"/>
      <c r="O856" s="2371"/>
      <c r="P856" s="2371"/>
      <c r="Q856" s="2371"/>
    </row>
    <row r="857" spans="1:17" ht="14.25">
      <c r="A857" s="2371" t="s">
        <v>1428</v>
      </c>
      <c r="B857" s="2371"/>
      <c r="C857" s="2371"/>
      <c r="D857" s="2371"/>
      <c r="E857" s="2371"/>
      <c r="F857" s="2371"/>
      <c r="G857" s="2371"/>
      <c r="H857" s="2371"/>
      <c r="I857" s="2371"/>
      <c r="J857" s="2371"/>
      <c r="K857" s="2371"/>
      <c r="L857" s="2371"/>
      <c r="M857" s="2371"/>
      <c r="N857" s="2371"/>
      <c r="O857" s="2371"/>
      <c r="P857" s="2371"/>
      <c r="Q857" s="2371"/>
    </row>
    <row r="858" spans="1:17" ht="14.25">
      <c r="A858" s="2371" t="s">
        <v>1429</v>
      </c>
      <c r="B858" s="2371"/>
      <c r="C858" s="2371"/>
      <c r="D858" s="2371"/>
      <c r="E858" s="2371"/>
      <c r="F858" s="2371"/>
      <c r="G858" s="2371"/>
      <c r="H858" s="2371"/>
      <c r="I858" s="2371"/>
      <c r="J858" s="2371"/>
      <c r="K858" s="2371"/>
      <c r="L858" s="2371"/>
      <c r="M858" s="2371"/>
      <c r="N858" s="2371"/>
      <c r="O858" s="2371"/>
      <c r="P858" s="2371"/>
      <c r="Q858" s="2371"/>
    </row>
    <row r="859" spans="1:17" ht="14.25">
      <c r="A859" s="2371" t="s">
        <v>1430</v>
      </c>
      <c r="B859" s="2371"/>
      <c r="C859" s="2371"/>
      <c r="D859" s="2371"/>
      <c r="E859" s="2371"/>
      <c r="F859" s="2371"/>
      <c r="G859" s="2371"/>
      <c r="H859" s="2371"/>
      <c r="I859" s="2371"/>
      <c r="J859" s="2371"/>
      <c r="K859" s="2371"/>
      <c r="L859" s="2371"/>
      <c r="M859" s="2371"/>
      <c r="N859" s="2371"/>
      <c r="O859" s="2371"/>
      <c r="P859" s="2371"/>
      <c r="Q859" s="2371"/>
    </row>
    <row r="860" spans="1:17" ht="14.25">
      <c r="A860" s="2371" t="s">
        <v>1431</v>
      </c>
      <c r="B860" s="2371"/>
      <c r="C860" s="2371"/>
      <c r="D860" s="2371"/>
      <c r="E860" s="2371"/>
      <c r="F860" s="2371"/>
      <c r="G860" s="2371"/>
      <c r="H860" s="2371"/>
      <c r="I860" s="2371"/>
      <c r="J860" s="2371"/>
      <c r="K860" s="2371"/>
      <c r="L860" s="2371"/>
      <c r="M860" s="2371"/>
      <c r="N860" s="2371"/>
      <c r="O860" s="2371"/>
      <c r="P860" s="2371"/>
      <c r="Q860" s="2371"/>
    </row>
    <row r="861" spans="1:17" ht="14.25">
      <c r="A861" s="2371" t="s">
        <v>1432</v>
      </c>
      <c r="B861" s="2371"/>
      <c r="C861" s="2371"/>
      <c r="D861" s="2371"/>
      <c r="E861" s="2371"/>
      <c r="F861" s="2371"/>
      <c r="G861" s="2371"/>
      <c r="H861" s="2371"/>
      <c r="I861" s="2371"/>
      <c r="J861" s="2371"/>
      <c r="K861" s="2371"/>
      <c r="L861" s="2371"/>
      <c r="M861" s="2371"/>
      <c r="N861" s="2371"/>
      <c r="O861" s="2371"/>
      <c r="P861" s="2371"/>
      <c r="Q861" s="2371"/>
    </row>
    <row r="862" spans="1:17" ht="14.25">
      <c r="A862" s="2371" t="s">
        <v>1433</v>
      </c>
      <c r="B862" s="2371"/>
      <c r="C862" s="2371"/>
      <c r="D862" s="2371"/>
      <c r="E862" s="2371"/>
      <c r="F862" s="2371"/>
      <c r="G862" s="2371"/>
      <c r="H862" s="2371"/>
      <c r="I862" s="2371"/>
      <c r="J862" s="2371"/>
      <c r="K862" s="2371"/>
      <c r="L862" s="2371"/>
      <c r="M862" s="2371"/>
      <c r="N862" s="2371"/>
      <c r="O862" s="2371"/>
      <c r="P862" s="2371"/>
      <c r="Q862" s="2371"/>
    </row>
    <row r="863" spans="1:17" ht="14.25">
      <c r="A863" s="2371" t="s">
        <v>1434</v>
      </c>
      <c r="B863" s="2371"/>
      <c r="C863" s="2371"/>
      <c r="D863" s="2371"/>
      <c r="E863" s="2371"/>
      <c r="F863" s="2371"/>
      <c r="G863" s="2371"/>
      <c r="H863" s="2371"/>
      <c r="I863" s="2371"/>
      <c r="J863" s="2371"/>
      <c r="K863" s="2371"/>
      <c r="L863" s="2371"/>
      <c r="M863" s="2371"/>
      <c r="N863" s="2371"/>
      <c r="O863" s="2371"/>
      <c r="P863" s="2371"/>
      <c r="Q863" s="2371"/>
    </row>
    <row r="864" spans="1:17" ht="14.25">
      <c r="A864" s="2371" t="s">
        <v>1435</v>
      </c>
      <c r="B864" s="2371"/>
      <c r="C864" s="2371"/>
      <c r="D864" s="2371"/>
      <c r="E864" s="2371"/>
      <c r="F864" s="2371"/>
      <c r="G864" s="2371"/>
      <c r="H864" s="2371"/>
      <c r="I864" s="2371"/>
      <c r="J864" s="2371"/>
      <c r="K864" s="2371"/>
      <c r="L864" s="2371"/>
      <c r="M864" s="2371"/>
      <c r="N864" s="2371"/>
      <c r="O864" s="2371"/>
      <c r="P864" s="2371"/>
      <c r="Q864" s="2371"/>
    </row>
    <row r="865" spans="1:17" ht="14.25">
      <c r="A865" s="2371" t="s">
        <v>1436</v>
      </c>
      <c r="B865" s="2371"/>
      <c r="C865" s="2371"/>
      <c r="D865" s="2371"/>
      <c r="E865" s="2371"/>
      <c r="F865" s="2371"/>
      <c r="G865" s="2371"/>
      <c r="H865" s="2371"/>
      <c r="I865" s="2371"/>
      <c r="J865" s="2371"/>
      <c r="K865" s="2371"/>
      <c r="L865" s="2371"/>
      <c r="M865" s="2371"/>
      <c r="N865" s="2371"/>
      <c r="O865" s="2371"/>
      <c r="P865" s="2371"/>
      <c r="Q865" s="2371"/>
    </row>
    <row r="866" spans="1:17" ht="14.25">
      <c r="A866" s="2371" t="s">
        <v>1437</v>
      </c>
      <c r="B866" s="2371"/>
      <c r="C866" s="2371"/>
      <c r="D866" s="2371"/>
      <c r="E866" s="2371"/>
      <c r="F866" s="2371"/>
      <c r="G866" s="2371"/>
      <c r="H866" s="2371"/>
      <c r="I866" s="2371"/>
      <c r="J866" s="2371"/>
      <c r="K866" s="2371"/>
      <c r="L866" s="2371"/>
      <c r="M866" s="2371"/>
      <c r="N866" s="2371"/>
      <c r="O866" s="2371"/>
      <c r="P866" s="2371"/>
      <c r="Q866" s="2371"/>
    </row>
    <row r="867" spans="1:17" ht="14.25">
      <c r="A867" s="2371" t="s">
        <v>1438</v>
      </c>
      <c r="B867" s="2371"/>
      <c r="C867" s="2371"/>
      <c r="D867" s="2371"/>
      <c r="E867" s="2371"/>
      <c r="F867" s="2371"/>
      <c r="G867" s="2371"/>
      <c r="H867" s="2371"/>
      <c r="I867" s="2371"/>
      <c r="J867" s="2371"/>
      <c r="K867" s="2371"/>
      <c r="L867" s="2371"/>
      <c r="M867" s="2371"/>
      <c r="N867" s="2371"/>
      <c r="O867" s="2371"/>
      <c r="P867" s="2371"/>
      <c r="Q867" s="2371"/>
    </row>
    <row r="868" spans="1:17" ht="14.25">
      <c r="A868" s="2371" t="s">
        <v>1439</v>
      </c>
      <c r="B868" s="2371"/>
      <c r="C868" s="2371"/>
      <c r="D868" s="2371"/>
      <c r="E868" s="2371"/>
      <c r="F868" s="2371"/>
      <c r="G868" s="2371"/>
      <c r="H868" s="2371"/>
      <c r="I868" s="2371"/>
      <c r="J868" s="2371"/>
      <c r="K868" s="2371"/>
      <c r="L868" s="2371"/>
      <c r="M868" s="2371"/>
      <c r="N868" s="2371"/>
      <c r="O868" s="2371"/>
      <c r="P868" s="2371"/>
      <c r="Q868" s="2371"/>
    </row>
    <row r="869" spans="1:17" ht="14.25">
      <c r="A869" s="2371" t="s">
        <v>1440</v>
      </c>
      <c r="B869" s="2371"/>
      <c r="C869" s="2371"/>
      <c r="D869" s="2371"/>
      <c r="E869" s="2371"/>
      <c r="F869" s="2371"/>
      <c r="G869" s="2371"/>
      <c r="H869" s="2371"/>
      <c r="I869" s="2371"/>
      <c r="J869" s="2371"/>
      <c r="K869" s="2371"/>
      <c r="L869" s="2371"/>
      <c r="M869" s="2371"/>
      <c r="N869" s="2371"/>
      <c r="O869" s="2371"/>
      <c r="P869" s="2371"/>
      <c r="Q869" s="2371"/>
    </row>
    <row r="870" spans="1:17" ht="14.25">
      <c r="A870" s="2371" t="s">
        <v>1441</v>
      </c>
      <c r="B870" s="2371"/>
      <c r="C870" s="2371"/>
      <c r="D870" s="2371"/>
      <c r="E870" s="2371"/>
      <c r="F870" s="2371"/>
      <c r="G870" s="2371"/>
      <c r="H870" s="2371"/>
      <c r="I870" s="2371"/>
      <c r="J870" s="2371"/>
      <c r="K870" s="2371"/>
      <c r="L870" s="2371"/>
      <c r="M870" s="2371"/>
      <c r="N870" s="2371"/>
      <c r="O870" s="2371"/>
      <c r="P870" s="2371"/>
      <c r="Q870" s="2371"/>
    </row>
    <row r="871" spans="1:17" ht="14.25">
      <c r="A871" s="2371" t="s">
        <v>1442</v>
      </c>
      <c r="B871" s="2371"/>
      <c r="C871" s="2371"/>
      <c r="D871" s="2371"/>
      <c r="E871" s="2371"/>
      <c r="F871" s="2371"/>
      <c r="G871" s="2371"/>
      <c r="H871" s="2371"/>
      <c r="I871" s="2371"/>
      <c r="J871" s="2371"/>
      <c r="K871" s="2371"/>
      <c r="L871" s="2371"/>
      <c r="M871" s="2371"/>
      <c r="N871" s="2371"/>
      <c r="O871" s="2371"/>
      <c r="P871" s="2371"/>
      <c r="Q871" s="2371"/>
    </row>
    <row r="872" spans="1:17" ht="14.25">
      <c r="A872" s="2369"/>
      <c r="B872" s="2369"/>
      <c r="C872" s="2369"/>
      <c r="D872" s="2369"/>
      <c r="E872" s="2369"/>
      <c r="F872" s="2369"/>
      <c r="G872" s="2369"/>
      <c r="H872" s="2369"/>
      <c r="I872" s="2369"/>
      <c r="J872" s="2369"/>
      <c r="K872" s="2369"/>
      <c r="L872" s="2369"/>
      <c r="M872" s="2369"/>
      <c r="N872" s="2369"/>
      <c r="O872" s="2369"/>
      <c r="P872" s="2369"/>
      <c r="Q872" s="2369"/>
    </row>
    <row r="873" spans="1:17" ht="14.25">
      <c r="A873" s="2369"/>
      <c r="B873" s="2369"/>
      <c r="C873" s="2369"/>
      <c r="D873" s="2369"/>
      <c r="E873" s="2369"/>
      <c r="F873" s="2369"/>
      <c r="G873" s="2369"/>
      <c r="H873" s="2369"/>
      <c r="I873" s="2369"/>
      <c r="J873" s="2369"/>
      <c r="K873" s="2369"/>
      <c r="L873" s="2369"/>
      <c r="M873" s="2369"/>
      <c r="N873" s="2369"/>
      <c r="O873" s="2369"/>
      <c r="P873" s="2369"/>
      <c r="Q873" s="2369"/>
    </row>
    <row r="874" spans="1:17" ht="15">
      <c r="A874" s="2372" t="s">
        <v>21</v>
      </c>
      <c r="B874" s="2089" t="s">
        <v>1443</v>
      </c>
      <c r="C874" s="2089"/>
      <c r="D874" s="2089"/>
      <c r="E874" s="2089"/>
      <c r="F874" s="2089"/>
      <c r="G874" s="2089"/>
      <c r="H874" s="2084"/>
      <c r="I874" s="2086"/>
      <c r="J874" s="2086"/>
      <c r="K874" s="2086"/>
      <c r="L874" s="2087"/>
      <c r="M874" s="2087"/>
      <c r="N874" s="2084"/>
      <c r="O874" s="2373" t="s">
        <v>1444</v>
      </c>
      <c r="P874" s="2089"/>
      <c r="Q874" s="2089"/>
    </row>
    <row r="875" spans="1:17" ht="15">
      <c r="A875" s="2084"/>
      <c r="B875" s="2374" t="s">
        <v>1445</v>
      </c>
      <c r="C875" s="2374"/>
      <c r="D875" s="2374"/>
      <c r="E875" s="2374"/>
      <c r="F875" s="2374"/>
      <c r="G875" s="2086"/>
      <c r="H875" s="2086"/>
      <c r="I875" s="2086"/>
      <c r="J875" s="2086"/>
      <c r="K875" s="2087"/>
      <c r="L875" s="2087"/>
      <c r="M875" s="2087"/>
      <c r="N875" s="2087"/>
      <c r="O875" s="2087"/>
      <c r="P875" s="2087"/>
      <c r="Q875" s="2084"/>
    </row>
    <row r="876" spans="1:17" ht="14.25">
      <c r="A876" s="2084" t="str">
        <f>'Part VII-Threshold Criteria'!A33</f>
        <v xml:space="preserve">Construction cost estimate is based off of our historical cost to deliver similar projects that are currently under construction and our contractor's preliminary budget.
Local government fees were confirmed by the local government and our construction management team. </v>
      </c>
      <c r="B876" s="2084"/>
      <c r="C876" s="2084"/>
      <c r="D876" s="2084"/>
      <c r="E876" s="2084"/>
      <c r="F876" s="2084"/>
      <c r="G876" s="2084"/>
      <c r="H876" s="2084"/>
      <c r="I876" s="2084"/>
      <c r="J876" s="2084"/>
      <c r="K876" s="2084"/>
      <c r="L876" s="2084"/>
      <c r="M876" s="2084"/>
      <c r="N876" s="2084"/>
      <c r="O876" s="2084"/>
      <c r="P876" s="2084"/>
      <c r="Q876" s="2084"/>
    </row>
    <row r="877" spans="1:17" ht="14.25">
      <c r="A877" s="2084"/>
      <c r="B877" s="2374" t="s">
        <v>1447</v>
      </c>
      <c r="C877" s="2374"/>
      <c r="D877" s="2085"/>
      <c r="E877" s="2085"/>
      <c r="F877" s="2085"/>
      <c r="G877" s="2085"/>
      <c r="H877" s="2085"/>
      <c r="I877" s="2085"/>
      <c r="J877" s="2085"/>
      <c r="K877" s="2085"/>
      <c r="L877" s="2085"/>
      <c r="M877" s="2085"/>
      <c r="N877" s="2085"/>
      <c r="O877" s="2085"/>
      <c r="P877" s="2085"/>
      <c r="Q877" s="2084"/>
    </row>
    <row r="878" spans="1:17" ht="14.25">
      <c r="A878" s="2084"/>
      <c r="B878" s="2084"/>
      <c r="C878" s="2084"/>
      <c r="D878" s="2084"/>
      <c r="E878" s="2084"/>
      <c r="F878" s="2084"/>
      <c r="G878" s="2084"/>
      <c r="H878" s="2084"/>
      <c r="I878" s="2084"/>
      <c r="J878" s="2084"/>
      <c r="K878" s="2084"/>
      <c r="L878" s="2084"/>
      <c r="M878" s="2084"/>
      <c r="N878" s="2084"/>
      <c r="O878" s="2084"/>
      <c r="P878" s="2084"/>
      <c r="Q878" s="2084"/>
    </row>
    <row r="879" spans="1:17" ht="15">
      <c r="A879" s="2084"/>
      <c r="B879" s="2086"/>
      <c r="C879" s="2085"/>
      <c r="D879" s="2085"/>
      <c r="E879" s="2085"/>
      <c r="F879" s="2085"/>
      <c r="G879" s="2085"/>
      <c r="H879" s="2085"/>
      <c r="I879" s="2085"/>
      <c r="J879" s="2085"/>
      <c r="K879" s="2085"/>
      <c r="L879" s="2085"/>
      <c r="M879" s="2085"/>
      <c r="N879" s="2085"/>
      <c r="O879" s="2085"/>
      <c r="P879" s="2085"/>
      <c r="Q879" s="2087"/>
    </row>
    <row r="880" spans="1:17" ht="15">
      <c r="A880" s="2084"/>
      <c r="B880" s="2086"/>
      <c r="C880" s="2085"/>
      <c r="D880" s="2085"/>
      <c r="E880" s="2085"/>
      <c r="F880" s="2085"/>
      <c r="G880" s="2085"/>
      <c r="H880" s="2085"/>
      <c r="I880" s="2085"/>
      <c r="J880" s="2085"/>
      <c r="K880" s="2085"/>
      <c r="L880" s="2085"/>
      <c r="M880" s="2085"/>
      <c r="N880" s="2085"/>
      <c r="O880" s="2085"/>
      <c r="P880" s="2085"/>
      <c r="Q880" s="2087"/>
    </row>
    <row r="881" spans="1:17" ht="15">
      <c r="A881" s="2372" t="s">
        <v>25</v>
      </c>
      <c r="B881" s="2089" t="s">
        <v>1448</v>
      </c>
      <c r="C881" s="2089"/>
      <c r="D881" s="2089"/>
      <c r="E881" s="2085"/>
      <c r="F881" s="2085"/>
      <c r="G881" s="2085"/>
      <c r="H881" s="2084"/>
      <c r="I881" s="2084"/>
      <c r="J881" s="2084"/>
      <c r="K881" s="2084"/>
      <c r="L881" s="2084"/>
      <c r="M881" s="2084"/>
      <c r="N881" s="2084"/>
      <c r="O881" s="2373" t="s">
        <v>1444</v>
      </c>
      <c r="P881" s="2089"/>
      <c r="Q881" s="2089"/>
    </row>
    <row r="882" spans="1:17" ht="15">
      <c r="A882" s="2372"/>
      <c r="B882" s="2084" t="s">
        <v>2274</v>
      </c>
      <c r="C882" s="2084"/>
      <c r="D882" s="2084"/>
      <c r="E882" s="2084"/>
      <c r="F882" s="2084"/>
      <c r="G882" s="2084"/>
      <c r="H882" s="2084"/>
      <c r="I882" s="2084"/>
      <c r="J882" s="2084"/>
      <c r="K882" s="2084"/>
      <c r="L882" s="2084"/>
      <c r="M882" s="2084"/>
      <c r="N882" s="2084"/>
      <c r="O882" s="2084"/>
      <c r="P882" s="2089" t="str">
        <f>'Part VII-Threshold Criteria'!P39</f>
        <v>Yes</v>
      </c>
      <c r="Q882" s="2089"/>
    </row>
    <row r="883" spans="1:17" ht="14.25">
      <c r="A883" s="2084"/>
      <c r="B883" s="2375" t="s">
        <v>1450</v>
      </c>
      <c r="C883" s="2084"/>
      <c r="D883" s="2375"/>
      <c r="E883" s="2375"/>
      <c r="F883" s="2375"/>
      <c r="G883" s="2375"/>
      <c r="H883" s="2085"/>
      <c r="I883" s="2086"/>
      <c r="J883" s="2086"/>
      <c r="K883" s="2084"/>
      <c r="L883" s="2084"/>
      <c r="M883" s="2084"/>
      <c r="N883" s="2084"/>
      <c r="O883" s="2084"/>
      <c r="P883" s="2084"/>
      <c r="Q883" s="2084"/>
    </row>
    <row r="884" spans="1:17" ht="14.25">
      <c r="A884" s="2084" t="str">
        <f>'Part VII-Threshold Criteria'!A41</f>
        <v>The development will be an HFOP development.</v>
      </c>
      <c r="B884" s="2084"/>
      <c r="C884" s="2084"/>
      <c r="D884" s="2084"/>
      <c r="E884" s="2084"/>
      <c r="F884" s="2084"/>
      <c r="G884" s="2084"/>
      <c r="H884" s="2084"/>
      <c r="I884" s="2084"/>
      <c r="J884" s="2084"/>
      <c r="K884" s="2084"/>
      <c r="L884" s="2084"/>
      <c r="M884" s="2084"/>
      <c r="N884" s="2084"/>
      <c r="O884" s="2084"/>
      <c r="P884" s="2084"/>
      <c r="Q884" s="2084"/>
    </row>
    <row r="885" spans="1:17" ht="15">
      <c r="A885" s="2087"/>
      <c r="B885" s="2374" t="s">
        <v>1447</v>
      </c>
      <c r="C885" s="2087"/>
      <c r="D885" s="2087"/>
      <c r="E885" s="2087"/>
      <c r="F885" s="2087"/>
      <c r="G885" s="2087"/>
      <c r="H885" s="2087"/>
      <c r="I885" s="2085"/>
      <c r="J885" s="2085"/>
      <c r="K885" s="2085"/>
      <c r="L885" s="2085"/>
      <c r="M885" s="2085"/>
      <c r="N885" s="2085"/>
      <c r="O885" s="2085"/>
      <c r="P885" s="2085"/>
      <c r="Q885" s="2087"/>
    </row>
    <row r="886" spans="1:17" ht="14.25">
      <c r="A886" s="2084"/>
      <c r="B886" s="2084"/>
      <c r="C886" s="2084"/>
      <c r="D886" s="2084"/>
      <c r="E886" s="2084"/>
      <c r="F886" s="2084"/>
      <c r="G886" s="2084"/>
      <c r="H886" s="2084"/>
      <c r="I886" s="2084"/>
      <c r="J886" s="2084"/>
      <c r="K886" s="2084"/>
      <c r="L886" s="2084"/>
      <c r="M886" s="2084"/>
      <c r="N886" s="2084"/>
      <c r="O886" s="2084"/>
      <c r="P886" s="2084"/>
      <c r="Q886" s="2084"/>
    </row>
    <row r="887" spans="1:17" ht="15">
      <c r="A887" s="2087"/>
      <c r="B887" s="2085"/>
      <c r="C887" s="2085"/>
      <c r="D887" s="2085"/>
      <c r="E887" s="2085"/>
      <c r="F887" s="2085"/>
      <c r="G887" s="2085"/>
      <c r="H887" s="2085"/>
      <c r="I887" s="2085"/>
      <c r="J887" s="2085"/>
      <c r="K887" s="2085"/>
      <c r="L887" s="2085"/>
      <c r="M887" s="2085"/>
      <c r="N887" s="2085"/>
      <c r="O887" s="2085"/>
      <c r="P887" s="2085"/>
      <c r="Q887" s="2087"/>
    </row>
    <row r="888" spans="1:17" ht="15">
      <c r="A888" s="2084"/>
      <c r="B888" s="2086"/>
      <c r="C888" s="2085"/>
      <c r="D888" s="2085"/>
      <c r="E888" s="2085"/>
      <c r="F888" s="2085"/>
      <c r="G888" s="2085"/>
      <c r="H888" s="2085"/>
      <c r="I888" s="2085"/>
      <c r="J888" s="2085"/>
      <c r="K888" s="2085"/>
      <c r="L888" s="2085"/>
      <c r="M888" s="2085"/>
      <c r="N888" s="2085"/>
      <c r="O888" s="2085"/>
      <c r="P888" s="2085"/>
      <c r="Q888" s="2087"/>
    </row>
    <row r="889" spans="1:17" ht="15">
      <c r="A889" s="2372" t="s">
        <v>32</v>
      </c>
      <c r="B889" s="2372" t="s">
        <v>1452</v>
      </c>
      <c r="C889" s="2372"/>
      <c r="D889" s="2085"/>
      <c r="E889" s="2085"/>
      <c r="F889" s="2085"/>
      <c r="G889" s="2085"/>
      <c r="H889" s="2085"/>
      <c r="I889" s="2085"/>
      <c r="J889" s="2085"/>
      <c r="K889" s="2084"/>
      <c r="L889" s="2376"/>
      <c r="M889" s="2377"/>
      <c r="N889" s="2084"/>
      <c r="O889" s="2373" t="s">
        <v>1444</v>
      </c>
      <c r="P889" s="2089"/>
      <c r="Q889" s="2089"/>
    </row>
    <row r="890" spans="1:17" ht="15">
      <c r="A890" s="2373"/>
      <c r="B890" s="2085" t="s">
        <v>1453</v>
      </c>
      <c r="C890" s="2372"/>
      <c r="D890" s="2085"/>
      <c r="E890" s="2085"/>
      <c r="F890" s="2085"/>
      <c r="G890" s="2085"/>
      <c r="H890" s="2085"/>
      <c r="I890" s="2085"/>
      <c r="J890" s="2085"/>
      <c r="K890" s="2084"/>
      <c r="L890" s="2376"/>
      <c r="M890" s="2377"/>
      <c r="N890" s="2084"/>
      <c r="O890" s="2373"/>
      <c r="P890" s="2089" t="str">
        <f>'Part VII-Threshold Criteria'!P47</f>
        <v>Yes</v>
      </c>
      <c r="Q890" s="2089"/>
    </row>
    <row r="891" spans="1:17" ht="15">
      <c r="A891" s="2084"/>
      <c r="B891" s="2375" t="s">
        <v>1450</v>
      </c>
      <c r="C891" s="2084"/>
      <c r="D891" s="2375"/>
      <c r="E891" s="2375"/>
      <c r="F891" s="2375"/>
      <c r="G891" s="2375"/>
      <c r="H891" s="2085"/>
      <c r="I891" s="2086"/>
      <c r="J891" s="2086"/>
      <c r="K891" s="2374" t="s">
        <v>1447</v>
      </c>
      <c r="L891" s="2087"/>
      <c r="M891" s="2087"/>
      <c r="N891" s="2087"/>
      <c r="O891" s="2087"/>
      <c r="P891" s="2087"/>
      <c r="Q891" s="2087"/>
    </row>
    <row r="892" spans="1:17" ht="14.25">
      <c r="A892" s="2084" t="str">
        <f>'Part VII-Threshold Criteria'!A49</f>
        <v>Strive 360 Management will identify the needs of the community and provide social and recreational programming.</v>
      </c>
      <c r="B892" s="2084"/>
      <c r="C892" s="2084"/>
      <c r="D892" s="2084"/>
      <c r="E892" s="2084"/>
      <c r="F892" s="2084"/>
      <c r="G892" s="2084"/>
      <c r="H892" s="2084"/>
      <c r="I892" s="2084"/>
      <c r="J892" s="2084"/>
      <c r="K892" s="2084"/>
      <c r="L892" s="2084"/>
      <c r="M892" s="2084"/>
      <c r="N892" s="2084"/>
      <c r="O892" s="2084"/>
      <c r="P892" s="2084"/>
      <c r="Q892" s="2084"/>
    </row>
    <row r="893" spans="1:17" ht="15">
      <c r="A893" s="2087"/>
      <c r="B893" s="2086"/>
      <c r="C893" s="2085"/>
      <c r="D893" s="2085"/>
      <c r="E893" s="2085"/>
      <c r="F893" s="2085"/>
      <c r="G893" s="2085"/>
      <c r="H893" s="2085"/>
      <c r="I893" s="2085"/>
      <c r="J893" s="2085"/>
      <c r="K893" s="2085"/>
      <c r="L893" s="2085"/>
      <c r="M893" s="2085"/>
      <c r="N893" s="2085"/>
      <c r="O893" s="2085"/>
      <c r="P893" s="2085"/>
      <c r="Q893" s="2087"/>
    </row>
    <row r="894" spans="1:17" ht="15">
      <c r="A894" s="2372"/>
      <c r="B894" s="2086"/>
      <c r="C894" s="2085"/>
      <c r="D894" s="2085"/>
      <c r="E894" s="2085"/>
      <c r="F894" s="2085"/>
      <c r="G894" s="2085"/>
      <c r="H894" s="2085"/>
      <c r="I894" s="2085"/>
      <c r="J894" s="2085"/>
      <c r="K894" s="2085"/>
      <c r="L894" s="2085"/>
      <c r="M894" s="2085"/>
      <c r="N894" s="2085"/>
      <c r="O894" s="2085"/>
      <c r="P894" s="2085"/>
      <c r="Q894" s="2087"/>
    </row>
    <row r="895" spans="1:17" ht="15">
      <c r="A895" s="2372" t="s">
        <v>51</v>
      </c>
      <c r="B895" s="2372" t="s">
        <v>1455</v>
      </c>
      <c r="C895" s="2372"/>
      <c r="D895" s="2085"/>
      <c r="E895" s="2085"/>
      <c r="F895" s="2085"/>
      <c r="G895" s="2085"/>
      <c r="H895" s="2087"/>
      <c r="I895" s="2084"/>
      <c r="J895" s="2373"/>
      <c r="K895" s="2089"/>
      <c r="L895" s="2373"/>
      <c r="M895" s="2372"/>
      <c r="N895" s="2084"/>
      <c r="O895" s="2373" t="s">
        <v>1444</v>
      </c>
      <c r="P895" s="2089"/>
      <c r="Q895" s="2089"/>
    </row>
    <row r="896" spans="1:17" ht="14.1" customHeight="1">
      <c r="A896" s="2373"/>
      <c r="B896" s="2084" t="s">
        <v>1456</v>
      </c>
      <c r="C896" s="2084"/>
      <c r="D896" s="2084"/>
      <c r="E896" s="2084"/>
      <c r="F896" s="2084"/>
      <c r="G896" s="2084"/>
      <c r="H896" s="2084"/>
      <c r="I896" s="2371" t="str">
        <f>'Part VII-Threshold Criteria'!I53</f>
        <v>Tad Scepaniak, Real Property Research Group</v>
      </c>
      <c r="J896" s="2371"/>
      <c r="K896" s="2371"/>
      <c r="L896" s="2371"/>
      <c r="M896" s="2371"/>
      <c r="N896" s="2371"/>
      <c r="O896" s="2371"/>
      <c r="P896" s="2371"/>
      <c r="Q896" s="2371"/>
    </row>
    <row r="897" spans="1:17" ht="15">
      <c r="A897" s="2373"/>
      <c r="B897" s="2084" t="s">
        <v>1458</v>
      </c>
      <c r="C897" s="2084"/>
      <c r="D897" s="2084"/>
      <c r="E897" s="2084"/>
      <c r="F897" s="2084"/>
      <c r="G897" s="2084"/>
      <c r="H897" s="2084"/>
      <c r="I897" s="2084">
        <f>'Part VII-Threshold Criteria'!I54</f>
        <v>0.97599999999999998</v>
      </c>
      <c r="J897" s="2084"/>
      <c r="K897" s="2084"/>
      <c r="L897" s="2378"/>
      <c r="M897" s="2379"/>
      <c r="N897" s="2379"/>
      <c r="O897" s="2379"/>
      <c r="P897" s="2379"/>
      <c r="Q897" s="2087"/>
    </row>
    <row r="898" spans="1:17" ht="15">
      <c r="A898" s="2373"/>
      <c r="B898" s="2084" t="s">
        <v>1459</v>
      </c>
      <c r="C898" s="2084"/>
      <c r="D898" s="2084"/>
      <c r="E898" s="2084"/>
      <c r="F898" s="2084"/>
      <c r="G898" s="2084"/>
      <c r="H898" s="2378" t="s">
        <v>1460</v>
      </c>
      <c r="I898" s="2084">
        <f>'Part VII-Threshold Criteria'!I55</f>
        <v>2.5999999999999999E-2</v>
      </c>
      <c r="J898" s="2084"/>
      <c r="K898" s="2084"/>
      <c r="L898" s="2379"/>
      <c r="M898" s="2380" t="s">
        <v>1461</v>
      </c>
      <c r="N898" s="2084">
        <f>'Part VII-Threshold Criteria'!N55</f>
        <v>2E-3</v>
      </c>
      <c r="O898" s="2084"/>
      <c r="P898" s="2084"/>
      <c r="Q898" s="2084"/>
    </row>
    <row r="899" spans="1:17" ht="15">
      <c r="A899" s="2084"/>
      <c r="B899" s="2375" t="s">
        <v>1450</v>
      </c>
      <c r="C899" s="2084"/>
      <c r="D899" s="2375"/>
      <c r="E899" s="2375"/>
      <c r="F899" s="2375"/>
      <c r="G899" s="2375"/>
      <c r="H899" s="2085"/>
      <c r="I899" s="2086"/>
      <c r="J899" s="2086"/>
      <c r="K899" s="2086"/>
      <c r="L899" s="2087"/>
      <c r="M899" s="2087"/>
      <c r="N899" s="2087"/>
      <c r="O899" s="2087"/>
      <c r="P899" s="2087"/>
      <c r="Q899" s="2087"/>
    </row>
    <row r="900" spans="1:17" ht="14.25">
      <c r="A900" s="2084" t="str">
        <f>'Part VII-Threshold Criteria'!A57</f>
        <v>The development will include 58 units. The overall market has a very healthy occupancy of 97.6% and an overall capture rate of 2.6%.</v>
      </c>
      <c r="B900" s="2084"/>
      <c r="C900" s="2084"/>
      <c r="D900" s="2084"/>
      <c r="E900" s="2084"/>
      <c r="F900" s="2084"/>
      <c r="G900" s="2084"/>
      <c r="H900" s="2084"/>
      <c r="I900" s="2084"/>
      <c r="J900" s="2084"/>
      <c r="K900" s="2084"/>
      <c r="L900" s="2084"/>
      <c r="M900" s="2084"/>
      <c r="N900" s="2084"/>
      <c r="O900" s="2084"/>
      <c r="P900" s="2084"/>
      <c r="Q900" s="2084"/>
    </row>
    <row r="901" spans="1:17" ht="14.25">
      <c r="A901" s="2084"/>
      <c r="B901" s="2374" t="s">
        <v>1447</v>
      </c>
      <c r="C901" s="2374"/>
      <c r="D901" s="2085"/>
      <c r="E901" s="2085"/>
      <c r="F901" s="2085"/>
      <c r="G901" s="2085"/>
      <c r="H901" s="2085"/>
      <c r="I901" s="2085"/>
      <c r="J901" s="2085"/>
      <c r="K901" s="2085"/>
      <c r="L901" s="2085"/>
      <c r="M901" s="2085"/>
      <c r="N901" s="2085"/>
      <c r="O901" s="2085"/>
      <c r="P901" s="2085"/>
      <c r="Q901" s="2085"/>
    </row>
    <row r="902" spans="1:17" ht="14.25">
      <c r="A902" s="2084"/>
      <c r="B902" s="2084"/>
      <c r="C902" s="2084"/>
      <c r="D902" s="2084"/>
      <c r="E902" s="2084"/>
      <c r="F902" s="2084"/>
      <c r="G902" s="2084"/>
      <c r="H902" s="2084"/>
      <c r="I902" s="2084"/>
      <c r="J902" s="2084"/>
      <c r="K902" s="2084"/>
      <c r="L902" s="2084"/>
      <c r="M902" s="2084"/>
      <c r="N902" s="2084"/>
      <c r="O902" s="2084"/>
      <c r="P902" s="2084"/>
      <c r="Q902" s="2084"/>
    </row>
    <row r="903" spans="1:17" ht="14.25">
      <c r="A903" s="2085"/>
      <c r="B903" s="2085"/>
      <c r="C903" s="2085"/>
      <c r="D903" s="2085"/>
      <c r="E903" s="2085"/>
      <c r="F903" s="2085"/>
      <c r="G903" s="2085"/>
      <c r="H903" s="2085"/>
      <c r="I903" s="2085"/>
      <c r="J903" s="2085"/>
      <c r="K903" s="2085"/>
      <c r="L903" s="2085"/>
      <c r="M903" s="2085"/>
      <c r="N903" s="2085"/>
      <c r="O903" s="2085"/>
      <c r="P903" s="2085"/>
      <c r="Q903" s="2085"/>
    </row>
    <row r="904" spans="1:17" ht="15">
      <c r="A904" s="2372"/>
      <c r="B904" s="2085"/>
      <c r="C904" s="2085"/>
      <c r="D904" s="2085"/>
      <c r="E904" s="2085"/>
      <c r="F904" s="2085"/>
      <c r="G904" s="2085"/>
      <c r="H904" s="2085"/>
      <c r="I904" s="2085"/>
      <c r="J904" s="2085"/>
      <c r="K904" s="2085"/>
      <c r="L904" s="2085"/>
      <c r="M904" s="2085"/>
      <c r="N904" s="2085"/>
      <c r="O904" s="2085"/>
      <c r="P904" s="2085"/>
      <c r="Q904" s="2085"/>
    </row>
    <row r="905" spans="1:17" ht="15">
      <c r="A905" s="2372" t="s">
        <v>68</v>
      </c>
      <c r="B905" s="2372" t="s">
        <v>1463</v>
      </c>
      <c r="C905" s="2372"/>
      <c r="D905" s="2085"/>
      <c r="E905" s="2085"/>
      <c r="F905" s="2085"/>
      <c r="G905" s="2085"/>
      <c r="H905" s="2085"/>
      <c r="I905" s="2085"/>
      <c r="J905" s="2085"/>
      <c r="K905" s="2085"/>
      <c r="L905" s="2085"/>
      <c r="M905" s="2085"/>
      <c r="N905" s="2084"/>
      <c r="O905" s="2373" t="s">
        <v>1444</v>
      </c>
      <c r="P905" s="2089"/>
      <c r="Q905" s="2089"/>
    </row>
    <row r="906" spans="1:17" ht="15">
      <c r="A906" s="2373"/>
      <c r="B906" s="2084" t="s">
        <v>1464</v>
      </c>
      <c r="C906" s="2084"/>
      <c r="D906" s="2084"/>
      <c r="E906" s="2084"/>
      <c r="F906" s="2084"/>
      <c r="G906" s="2084"/>
      <c r="H906" s="2084"/>
      <c r="I906" s="2084"/>
      <c r="J906" s="2084" t="str">
        <f>'Part VII-Threshold Criteria'!J63</f>
        <v>Abby Cohen, Novogradac &amp; Company, LLC</v>
      </c>
      <c r="K906" s="2084"/>
      <c r="L906" s="2084"/>
      <c r="M906" s="2084"/>
      <c r="N906" s="2084"/>
      <c r="O906" s="2084"/>
      <c r="P906" s="2084"/>
      <c r="Q906" s="2084"/>
    </row>
    <row r="907" spans="1:17" ht="15">
      <c r="A907" s="2373"/>
      <c r="B907" s="2084" t="s">
        <v>1466</v>
      </c>
      <c r="C907" s="2084"/>
      <c r="D907" s="2084"/>
      <c r="E907" s="2084"/>
      <c r="F907" s="2084"/>
      <c r="G907" s="2084"/>
      <c r="H907" s="2084"/>
      <c r="I907" s="2084"/>
      <c r="J907" s="2084"/>
      <c r="K907" s="2084"/>
      <c r="L907" s="2084"/>
      <c r="M907" s="2084"/>
      <c r="N907" s="2084"/>
      <c r="O907" s="2378"/>
      <c r="P907" s="2087" t="str">
        <f>'Part VII-Threshold Criteria'!P64</f>
        <v>Yes</v>
      </c>
      <c r="Q907" s="2087"/>
    </row>
    <row r="908" spans="1:17" ht="14.1" customHeight="1">
      <c r="A908" s="2084"/>
      <c r="B908" s="2372"/>
      <c r="C908" s="2084" t="s">
        <v>1467</v>
      </c>
      <c r="D908" s="2084"/>
      <c r="E908" s="2084"/>
      <c r="F908" s="2084"/>
      <c r="G908" s="2084"/>
      <c r="H908" s="2084"/>
      <c r="I908" s="2084"/>
      <c r="J908" s="2084"/>
      <c r="K908" s="2084"/>
      <c r="L908" s="2084"/>
      <c r="M908" s="2084"/>
      <c r="N908" s="2084"/>
      <c r="O908" s="2084"/>
      <c r="P908" s="2087" t="str">
        <f>'Part VII-Threshold Criteria'!P65</f>
        <v>Yes</v>
      </c>
      <c r="Q908" s="2087"/>
    </row>
    <row r="909" spans="1:17" ht="15">
      <c r="A909" s="2084"/>
      <c r="B909" s="2375" t="s">
        <v>1445</v>
      </c>
      <c r="C909" s="2084"/>
      <c r="D909" s="2375"/>
      <c r="E909" s="2375"/>
      <c r="F909" s="2375"/>
      <c r="G909" s="2375"/>
      <c r="H909" s="2085"/>
      <c r="I909" s="2086"/>
      <c r="J909" s="2086"/>
      <c r="K909" s="2086"/>
      <c r="L909" s="2087"/>
      <c r="M909" s="2087"/>
      <c r="N909" s="2087"/>
      <c r="O909" s="2087"/>
      <c r="P909" s="2087"/>
      <c r="Q909" s="2087"/>
    </row>
    <row r="910" spans="1:17" ht="14.25">
      <c r="A910" s="2084" t="str">
        <f>'Part VII-Threshold Criteria'!A67</f>
        <v xml:space="preserve">The appraisal has been provided by Novogradac &amp; Company LLC with a land value of $1,440,000 as of May 9, 2024 supporting the value of the property. There is an identity of interest between the ground lessor and the ground lessee. DCA is listed as an intended user in the appraisal. The appraisal meets USPAP standards. </v>
      </c>
      <c r="B910" s="2084"/>
      <c r="C910" s="2084"/>
      <c r="D910" s="2084"/>
      <c r="E910" s="2084"/>
      <c r="F910" s="2084"/>
      <c r="G910" s="2084"/>
      <c r="H910" s="2084"/>
      <c r="I910" s="2084"/>
      <c r="J910" s="2084"/>
      <c r="K910" s="2084"/>
      <c r="L910" s="2084"/>
      <c r="M910" s="2084"/>
      <c r="N910" s="2084"/>
      <c r="O910" s="2084"/>
      <c r="P910" s="2084"/>
      <c r="Q910" s="2084"/>
    </row>
    <row r="911" spans="1:17" ht="14.25">
      <c r="A911" s="2084"/>
      <c r="B911" s="2374" t="s">
        <v>1447</v>
      </c>
      <c r="C911" s="2374"/>
      <c r="D911" s="2085"/>
      <c r="E911" s="2085"/>
      <c r="F911" s="2085"/>
      <c r="G911" s="2085"/>
      <c r="H911" s="2085"/>
      <c r="I911" s="2085"/>
      <c r="J911" s="2085"/>
      <c r="K911" s="2085"/>
      <c r="L911" s="2085"/>
      <c r="M911" s="2085"/>
      <c r="N911" s="2085"/>
      <c r="O911" s="2085"/>
      <c r="P911" s="2085"/>
      <c r="Q911" s="2085"/>
    </row>
    <row r="912" spans="1:17" ht="14.25">
      <c r="A912" s="2084"/>
      <c r="B912" s="2084"/>
      <c r="C912" s="2084"/>
      <c r="D912" s="2084"/>
      <c r="E912" s="2084"/>
      <c r="F912" s="2084"/>
      <c r="G912" s="2084"/>
      <c r="H912" s="2084"/>
      <c r="I912" s="2084"/>
      <c r="J912" s="2084"/>
      <c r="K912" s="2084"/>
      <c r="L912" s="2084"/>
      <c r="M912" s="2084"/>
      <c r="N912" s="2084"/>
      <c r="O912" s="2084"/>
      <c r="P912" s="2084"/>
      <c r="Q912" s="2084"/>
    </row>
    <row r="913" spans="1:17" ht="14.25">
      <c r="A913" s="2084"/>
      <c r="B913" s="2084"/>
      <c r="C913" s="2084"/>
      <c r="D913" s="2084"/>
      <c r="E913" s="2084"/>
      <c r="F913" s="2084"/>
      <c r="G913" s="2084"/>
      <c r="H913" s="2084"/>
      <c r="I913" s="2084"/>
      <c r="J913" s="2084"/>
      <c r="K913" s="2084"/>
      <c r="L913" s="2084"/>
      <c r="M913" s="2084"/>
      <c r="N913" s="2084"/>
      <c r="O913" s="2084"/>
      <c r="P913" s="2084"/>
      <c r="Q913" s="2084"/>
    </row>
    <row r="914" spans="1:17" ht="14.25">
      <c r="A914" s="2084"/>
      <c r="B914" s="2084"/>
      <c r="C914" s="2084"/>
      <c r="D914" s="2084"/>
      <c r="E914" s="2084"/>
      <c r="F914" s="2084"/>
      <c r="G914" s="2084"/>
      <c r="H914" s="2084"/>
      <c r="I914" s="2084"/>
      <c r="J914" s="2084"/>
      <c r="K914" s="2084"/>
      <c r="L914" s="2084"/>
      <c r="M914" s="2084"/>
      <c r="N914" s="2084"/>
      <c r="O914" s="2084"/>
      <c r="P914" s="2084"/>
      <c r="Q914" s="2084"/>
    </row>
    <row r="915" spans="1:17" ht="15">
      <c r="A915" s="2372" t="s">
        <v>77</v>
      </c>
      <c r="B915" s="2372" t="s">
        <v>1469</v>
      </c>
      <c r="C915" s="2085"/>
      <c r="D915" s="2085"/>
      <c r="E915" s="2085"/>
      <c r="F915" s="2085"/>
      <c r="G915" s="2085"/>
      <c r="H915" s="2085"/>
      <c r="I915" s="2085"/>
      <c r="J915" s="2085"/>
      <c r="K915" s="2085"/>
      <c r="L915" s="2085"/>
      <c r="M915" s="2085"/>
      <c r="N915" s="2084"/>
      <c r="O915" s="2373" t="s">
        <v>1444</v>
      </c>
      <c r="P915" s="2089"/>
      <c r="Q915" s="2089"/>
    </row>
    <row r="916" spans="1:17" ht="14.1" customHeight="1">
      <c r="A916" s="2373"/>
      <c r="B916" s="2084" t="s">
        <v>1470</v>
      </c>
      <c r="C916" s="2084"/>
      <c r="D916" s="2084"/>
      <c r="E916" s="2084"/>
      <c r="F916" s="2084"/>
      <c r="G916" s="2084"/>
      <c r="H916" s="2084"/>
      <c r="I916" s="2084"/>
      <c r="J916" s="2084"/>
      <c r="K916" s="2084"/>
      <c r="L916" s="2381" t="str">
        <f>'Part VII-Threshold Criteria'!L73</f>
        <v>Tri State Environmental Services</v>
      </c>
      <c r="M916" s="2381"/>
      <c r="N916" s="2381"/>
      <c r="O916" s="2381"/>
      <c r="P916" s="2381"/>
      <c r="Q916" s="2381"/>
    </row>
    <row r="917" spans="1:17" ht="15">
      <c r="A917" s="2084"/>
      <c r="B917" s="2084" t="s">
        <v>1472</v>
      </c>
      <c r="C917" s="2084"/>
      <c r="D917" s="2084"/>
      <c r="E917" s="2084"/>
      <c r="F917" s="2084"/>
      <c r="G917" s="2084"/>
      <c r="H917" s="2084"/>
      <c r="I917" s="2084"/>
      <c r="J917" s="2084"/>
      <c r="K917" s="2084"/>
      <c r="L917" s="2084"/>
      <c r="M917" s="2084"/>
      <c r="N917" s="2084"/>
      <c r="O917" s="2378"/>
      <c r="P917" s="2087" t="str">
        <f>'Part VII-Threshold Criteria'!P74</f>
        <v>No</v>
      </c>
      <c r="Q917" s="2087"/>
    </row>
    <row r="918" spans="1:17" ht="15">
      <c r="A918" s="2373"/>
      <c r="B918" s="2084" t="s">
        <v>1473</v>
      </c>
      <c r="C918" s="2084"/>
      <c r="D918" s="2084"/>
      <c r="E918" s="2084"/>
      <c r="F918" s="2084"/>
      <c r="G918" s="2084"/>
      <c r="H918" s="2084"/>
      <c r="I918" s="2084"/>
      <c r="J918" s="2084"/>
      <c r="K918" s="2084"/>
      <c r="L918" s="2085"/>
      <c r="M918" s="2084"/>
      <c r="N918" s="2084"/>
      <c r="O918" s="2378"/>
      <c r="P918" s="2087" t="str">
        <f>'Part VII-Threshold Criteria'!P75</f>
        <v>Yes</v>
      </c>
      <c r="Q918" s="2087"/>
    </row>
    <row r="919" spans="1:17" ht="15">
      <c r="A919" s="2373"/>
      <c r="B919" s="2084" t="s">
        <v>1474</v>
      </c>
      <c r="C919" s="2084"/>
      <c r="D919" s="2084"/>
      <c r="E919" s="2084"/>
      <c r="F919" s="2084"/>
      <c r="G919" s="2084"/>
      <c r="H919" s="2084"/>
      <c r="I919" s="2084"/>
      <c r="J919" s="2084"/>
      <c r="K919" s="2084"/>
      <c r="L919" s="2085"/>
      <c r="M919" s="2085"/>
      <c r="N919" s="2085"/>
      <c r="O919" s="2378"/>
      <c r="P919" s="2084"/>
      <c r="Q919" s="2084"/>
    </row>
    <row r="920" spans="1:17" ht="15">
      <c r="A920" s="2373"/>
      <c r="B920" s="2372"/>
      <c r="C920" s="2084" t="s">
        <v>1475</v>
      </c>
      <c r="D920" s="2084"/>
      <c r="E920" s="2084"/>
      <c r="F920" s="2084"/>
      <c r="G920" s="2084"/>
      <c r="H920" s="2084"/>
      <c r="I920" s="2084"/>
      <c r="J920" s="2084"/>
      <c r="K920" s="2084"/>
      <c r="L920" s="2085"/>
      <c r="M920" s="2085"/>
      <c r="N920" s="2084"/>
      <c r="O920" s="2378"/>
      <c r="P920" s="2087" t="str">
        <f>'Part VII-Threshold Criteria'!P77</f>
        <v>No</v>
      </c>
      <c r="Q920" s="2087"/>
    </row>
    <row r="921" spans="1:17" ht="15">
      <c r="A921" s="2373"/>
      <c r="B921" s="2372"/>
      <c r="C921" s="2084" t="s">
        <v>1476</v>
      </c>
      <c r="D921" s="2084"/>
      <c r="E921" s="2084"/>
      <c r="F921" s="2084"/>
      <c r="G921" s="2084"/>
      <c r="H921" s="2084"/>
      <c r="I921" s="2084"/>
      <c r="J921" s="2084"/>
      <c r="K921" s="2084"/>
      <c r="L921" s="2085"/>
      <c r="M921" s="2085"/>
      <c r="N921" s="2084"/>
      <c r="O921" s="2378"/>
      <c r="P921" s="2087" t="str">
        <f>'Part VII-Threshold Criteria'!P78</f>
        <v>No</v>
      </c>
      <c r="Q921" s="2087"/>
    </row>
    <row r="922" spans="1:17" ht="15">
      <c r="A922" s="2114"/>
      <c r="B922" s="2382"/>
      <c r="C922" s="2382"/>
      <c r="D922" s="2370" t="s">
        <v>1477</v>
      </c>
      <c r="E922" s="2383"/>
      <c r="F922" s="2383"/>
      <c r="G922" s="2370"/>
      <c r="H922" s="2370"/>
      <c r="I922" s="2568"/>
      <c r="J922" s="2371"/>
      <c r="K922" s="2371"/>
      <c r="L922" s="2568"/>
      <c r="M922" s="2568"/>
      <c r="N922" s="2371"/>
      <c r="O922" s="2384"/>
      <c r="P922" s="2087">
        <f>'Part VII-Threshold Criteria'!P79</f>
        <v>0</v>
      </c>
      <c r="Q922" s="2385"/>
    </row>
    <row r="923" spans="1:17" ht="15">
      <c r="A923" s="2373"/>
      <c r="B923" s="2372"/>
      <c r="C923" s="2084" t="s">
        <v>1478</v>
      </c>
      <c r="D923" s="2084"/>
      <c r="E923" s="2084"/>
      <c r="F923" s="2084"/>
      <c r="G923" s="2084"/>
      <c r="H923" s="2084"/>
      <c r="I923" s="2084"/>
      <c r="J923" s="2084"/>
      <c r="K923" s="2084"/>
      <c r="L923" s="2085"/>
      <c r="M923" s="2085"/>
      <c r="N923" s="2084"/>
      <c r="O923" s="2378"/>
      <c r="P923" s="2087" t="str">
        <f>'Part VII-Threshold Criteria'!P80</f>
        <v>No</v>
      </c>
      <c r="Q923" s="2087"/>
    </row>
    <row r="924" spans="1:17" ht="14.1" customHeight="1">
      <c r="A924" s="2373"/>
      <c r="B924" s="2084" t="s">
        <v>1479</v>
      </c>
      <c r="C924" s="2084"/>
      <c r="D924" s="2084"/>
      <c r="E924" s="2084"/>
      <c r="F924" s="2084"/>
      <c r="G924" s="2084"/>
      <c r="H924" s="2084"/>
      <c r="I924" s="2084"/>
      <c r="J924" s="2084"/>
      <c r="K924" s="2084"/>
      <c r="L924" s="2084"/>
      <c r="M924" s="2084"/>
      <c r="N924" s="2084"/>
      <c r="O924" s="2084"/>
      <c r="P924" s="2084"/>
      <c r="Q924" s="2084"/>
    </row>
    <row r="925" spans="1:17" ht="14.25">
      <c r="A925" s="2084"/>
      <c r="B925" s="2084" t="str">
        <f>'Part VII-Threshold Criteria'!B82</f>
        <v>The only Recognized Environmental Condition (REC) found on site was the metal debris associated with piles located on-site. Off-site, a commercial operation located adjacent to the property is at a slighly higher elevation, and is considered a REC. These RECs required a Phase II Environmental Study. It is recommended that the piles be removed and disposed of at RCRA Subtitle D landfill facility. It is also recommended that confirmatory samples be collected from the native soils beneath the piles. The recommendations will be followed. Per the Phase II report, no additional assessment is recommended.
Lead in Soil testing was completed. While there were small amounts discovered, no additional assessment, remediation or reporting is recommended. Asbestos Containing Materials were found in vacant buildings on-site. These will be removed in accordance with Federal, State, and DCA requirements. All phase I and phase II required work is included in the construction budget.</v>
      </c>
      <c r="C925" s="2084"/>
      <c r="D925" s="2084"/>
      <c r="E925" s="2084"/>
      <c r="F925" s="2084"/>
      <c r="G925" s="2084"/>
      <c r="H925" s="2084"/>
      <c r="I925" s="2084"/>
      <c r="J925" s="2084"/>
      <c r="K925" s="2084"/>
      <c r="L925" s="2084"/>
      <c r="M925" s="2084"/>
      <c r="N925" s="2084"/>
      <c r="O925" s="2084"/>
      <c r="P925" s="2084"/>
      <c r="Q925" s="2084"/>
    </row>
    <row r="926" spans="1:17" ht="15">
      <c r="A926" s="2084"/>
      <c r="B926" s="2375" t="s">
        <v>1450</v>
      </c>
      <c r="C926" s="2084"/>
      <c r="D926" s="2375"/>
      <c r="E926" s="2375"/>
      <c r="F926" s="2375"/>
      <c r="G926" s="2375"/>
      <c r="H926" s="2085"/>
      <c r="I926" s="2086"/>
      <c r="J926" s="2086"/>
      <c r="K926" s="2086"/>
      <c r="L926" s="2087"/>
      <c r="M926" s="2087"/>
      <c r="N926" s="2087"/>
      <c r="O926" s="2087"/>
      <c r="P926" s="2087"/>
      <c r="Q926" s="2087"/>
    </row>
    <row r="927" spans="1:17" ht="14.25">
      <c r="A927" s="2084" t="str">
        <f>'Part VII-Threshold Criteria'!A84</f>
        <v>The piles and asbestos will be removed in an appropriate manner. No state waters will be impacted by the development. All the requirements of the QAP are met.</v>
      </c>
      <c r="B927" s="2084"/>
      <c r="C927" s="2084"/>
      <c r="D927" s="2084"/>
      <c r="E927" s="2084"/>
      <c r="F927" s="2084"/>
      <c r="G927" s="2084"/>
      <c r="H927" s="2084"/>
      <c r="I927" s="2084"/>
      <c r="J927" s="2084"/>
      <c r="K927" s="2084"/>
      <c r="L927" s="2084"/>
      <c r="M927" s="2084"/>
      <c r="N927" s="2084"/>
      <c r="O927" s="2084"/>
      <c r="P927" s="2084"/>
      <c r="Q927" s="2084"/>
    </row>
    <row r="928" spans="1:17" ht="14.25">
      <c r="A928" s="2084"/>
      <c r="B928" s="2374" t="s">
        <v>1447</v>
      </c>
      <c r="C928" s="2374"/>
      <c r="D928" s="2085"/>
      <c r="E928" s="2085"/>
      <c r="F928" s="2085"/>
      <c r="G928" s="2085"/>
      <c r="H928" s="2085"/>
      <c r="I928" s="2085"/>
      <c r="J928" s="2085"/>
      <c r="K928" s="2085"/>
      <c r="L928" s="2085"/>
      <c r="M928" s="2085"/>
      <c r="N928" s="2085"/>
      <c r="O928" s="2085"/>
      <c r="P928" s="2085"/>
      <c r="Q928" s="2085"/>
    </row>
    <row r="929" spans="1:17" ht="14.25">
      <c r="A929" s="2084"/>
      <c r="B929" s="2084"/>
      <c r="C929" s="2084"/>
      <c r="D929" s="2084"/>
      <c r="E929" s="2084"/>
      <c r="F929" s="2084"/>
      <c r="G929" s="2084"/>
      <c r="H929" s="2084"/>
      <c r="I929" s="2084"/>
      <c r="J929" s="2084"/>
      <c r="K929" s="2084"/>
      <c r="L929" s="2084"/>
      <c r="M929" s="2084"/>
      <c r="N929" s="2084"/>
      <c r="O929" s="2084"/>
      <c r="P929" s="2084"/>
      <c r="Q929" s="2084"/>
    </row>
    <row r="930" spans="1:17" ht="15">
      <c r="A930" s="2087"/>
      <c r="B930" s="2086"/>
      <c r="C930" s="2085"/>
      <c r="D930" s="2085"/>
      <c r="E930" s="2085"/>
      <c r="F930" s="2085"/>
      <c r="G930" s="2085"/>
      <c r="H930" s="2085"/>
      <c r="I930" s="2085"/>
      <c r="J930" s="2085"/>
      <c r="K930" s="2085"/>
      <c r="L930" s="2085"/>
      <c r="M930" s="2085"/>
      <c r="N930" s="2085"/>
      <c r="O930" s="2085"/>
      <c r="P930" s="2085"/>
      <c r="Q930" s="2087"/>
    </row>
    <row r="931" spans="1:17" ht="15">
      <c r="A931" s="2084"/>
      <c r="B931" s="2086"/>
      <c r="C931" s="2085"/>
      <c r="D931" s="2085"/>
      <c r="E931" s="2085"/>
      <c r="F931" s="2085"/>
      <c r="G931" s="2085"/>
      <c r="H931" s="2085"/>
      <c r="I931" s="2085"/>
      <c r="J931" s="2085"/>
      <c r="K931" s="2085"/>
      <c r="L931" s="2085"/>
      <c r="M931" s="2085"/>
      <c r="N931" s="2085"/>
      <c r="O931" s="2085"/>
      <c r="P931" s="2085"/>
      <c r="Q931" s="2087"/>
    </row>
    <row r="932" spans="1:17" ht="15">
      <c r="A932" s="2372" t="s">
        <v>79</v>
      </c>
      <c r="B932" s="2372" t="s">
        <v>1482</v>
      </c>
      <c r="C932" s="2372"/>
      <c r="D932" s="2085"/>
      <c r="E932" s="2085"/>
      <c r="F932" s="2085"/>
      <c r="G932" s="2085"/>
      <c r="H932" s="2085"/>
      <c r="I932" s="2085"/>
      <c r="J932" s="2085"/>
      <c r="K932" s="2085"/>
      <c r="L932" s="2084"/>
      <c r="M932" s="2084"/>
      <c r="N932" s="2084"/>
      <c r="O932" s="2373" t="s">
        <v>1444</v>
      </c>
      <c r="P932" s="2089"/>
      <c r="Q932" s="2089"/>
    </row>
    <row r="933" spans="1:17" ht="14.1" customHeight="1">
      <c r="A933" s="2373"/>
      <c r="B933" s="2084" t="s">
        <v>1483</v>
      </c>
      <c r="C933" s="2084"/>
      <c r="D933" s="2084"/>
      <c r="E933" s="2084"/>
      <c r="F933" s="2386" t="str">
        <f>IF(L933="Ground lease/Option","Ground lease/Option:","")</f>
        <v>Ground lease/Option:</v>
      </c>
      <c r="G933" s="2084"/>
      <c r="H933" s="2387" t="str">
        <f>IF(L933="Ground lease/Option","Annual Pymt:","")</f>
        <v>Annual Pymt:</v>
      </c>
      <c r="I933" s="2388" t="str">
        <f>IF(M973="Ground lease/Option",'Part V-Revenues &amp; Expenses'!$K$255,"")</f>
        <v/>
      </c>
      <c r="J933" s="2389" t="str">
        <f>IF(L933="Ground lease/Option","Term (yrs):","")</f>
        <v>Term (yrs):</v>
      </c>
      <c r="K933" s="2390" t="str">
        <f>IF(M973="Ground lease/Option",'Part V-Revenues &amp; Expenses'!$N$255,"")</f>
        <v/>
      </c>
      <c r="L933" s="2089" t="str">
        <f>'Part VII-Threshold Criteria'!L90</f>
        <v>Ground lease/Option</v>
      </c>
      <c r="M933" s="2089"/>
      <c r="N933" s="2089"/>
      <c r="O933" s="2089" t="s">
        <v>730</v>
      </c>
      <c r="P933" s="2089"/>
      <c r="Q933" s="2089"/>
    </row>
    <row r="934" spans="1:17" ht="15">
      <c r="A934" s="2373"/>
      <c r="B934" s="2084" t="s">
        <v>1485</v>
      </c>
      <c r="C934" s="2084"/>
      <c r="D934" s="2084"/>
      <c r="E934" s="2084"/>
      <c r="F934" s="2084"/>
      <c r="G934" s="2084" t="str">
        <f>'Part VII-Threshold Criteria'!G91</f>
        <v>Finley Place Senior I, LP</v>
      </c>
      <c r="H934" s="2084"/>
      <c r="I934" s="2084"/>
      <c r="J934" s="2084"/>
      <c r="K934" s="2084"/>
      <c r="L934" s="2084"/>
      <c r="M934" s="2084"/>
      <c r="N934" s="2084"/>
      <c r="O934" s="2084"/>
      <c r="P934" s="2084"/>
      <c r="Q934" s="2084"/>
    </row>
    <row r="935" spans="1:17" ht="15">
      <c r="A935" s="2084"/>
      <c r="B935" s="2375" t="s">
        <v>1450</v>
      </c>
      <c r="C935" s="2084"/>
      <c r="D935" s="2375"/>
      <c r="E935" s="2375"/>
      <c r="F935" s="2375"/>
      <c r="G935" s="2375"/>
      <c r="H935" s="2085"/>
      <c r="I935" s="2086"/>
      <c r="J935" s="2086"/>
      <c r="K935" s="2086"/>
      <c r="L935" s="2087"/>
      <c r="M935" s="2087"/>
      <c r="N935" s="2087"/>
      <c r="O935" s="2087"/>
      <c r="P935" s="2087"/>
      <c r="Q935" s="2087"/>
    </row>
    <row r="936" spans="1:17" ht="14.25">
      <c r="A936" s="2084" t="str">
        <f>'Part VII-Threshold Criteria'!A93</f>
        <v>The entity with site control and the Applicant are the same. Site control exists through at least December 31, 2025. There is a fully executed Option to Ground Lease currently in place.</v>
      </c>
      <c r="B936" s="2084"/>
      <c r="C936" s="2084"/>
      <c r="D936" s="2084"/>
      <c r="E936" s="2084"/>
      <c r="F936" s="2084"/>
      <c r="G936" s="2084"/>
      <c r="H936" s="2084"/>
      <c r="I936" s="2084"/>
      <c r="J936" s="2084"/>
      <c r="K936" s="2084"/>
      <c r="L936" s="2084"/>
      <c r="M936" s="2084"/>
      <c r="N936" s="2084"/>
      <c r="O936" s="2084"/>
      <c r="P936" s="2084"/>
      <c r="Q936" s="2084"/>
    </row>
    <row r="937" spans="1:17" ht="14.25">
      <c r="A937" s="2084"/>
      <c r="B937" s="2374" t="s">
        <v>1447</v>
      </c>
      <c r="C937" s="2374"/>
      <c r="D937" s="2085"/>
      <c r="E937" s="2085"/>
      <c r="F937" s="2085"/>
      <c r="G937" s="2085"/>
      <c r="H937" s="2085"/>
      <c r="I937" s="2085"/>
      <c r="J937" s="2085"/>
      <c r="K937" s="2085"/>
      <c r="L937" s="2085"/>
      <c r="M937" s="2085"/>
      <c r="N937" s="2085"/>
      <c r="O937" s="2085"/>
      <c r="P937" s="2085"/>
      <c r="Q937" s="2085"/>
    </row>
    <row r="938" spans="1:17" ht="14.25">
      <c r="A938" s="2084"/>
      <c r="B938" s="2084"/>
      <c r="C938" s="2084"/>
      <c r="D938" s="2084"/>
      <c r="E938" s="2084"/>
      <c r="F938" s="2084"/>
      <c r="G938" s="2084"/>
      <c r="H938" s="2084"/>
      <c r="I938" s="2084"/>
      <c r="J938" s="2084"/>
      <c r="K938" s="2084"/>
      <c r="L938" s="2084"/>
      <c r="M938" s="2084"/>
      <c r="N938" s="2084"/>
      <c r="O938" s="2084"/>
      <c r="P938" s="2084"/>
      <c r="Q938" s="2084"/>
    </row>
    <row r="939" spans="1:17" ht="15">
      <c r="A939" s="2087"/>
      <c r="B939" s="2086"/>
      <c r="C939" s="2085"/>
      <c r="D939" s="2085"/>
      <c r="E939" s="2085"/>
      <c r="F939" s="2085"/>
      <c r="G939" s="2085"/>
      <c r="H939" s="2085"/>
      <c r="I939" s="2085"/>
      <c r="J939" s="2085"/>
      <c r="K939" s="2085"/>
      <c r="L939" s="2085"/>
      <c r="M939" s="2085"/>
      <c r="N939" s="2084"/>
      <c r="O939" s="2084"/>
      <c r="P939" s="2084"/>
      <c r="Q939" s="2087"/>
    </row>
    <row r="940" spans="1:17" ht="15">
      <c r="A940" s="2084"/>
      <c r="B940" s="2086"/>
      <c r="C940" s="2085"/>
      <c r="D940" s="2085"/>
      <c r="E940" s="2085"/>
      <c r="F940" s="2085"/>
      <c r="G940" s="2085"/>
      <c r="H940" s="2085"/>
      <c r="I940" s="2085"/>
      <c r="J940" s="2085"/>
      <c r="K940" s="2085"/>
      <c r="L940" s="2085"/>
      <c r="M940" s="2085"/>
      <c r="N940" s="2084"/>
      <c r="O940" s="2084"/>
      <c r="P940" s="2084"/>
      <c r="Q940" s="2087"/>
    </row>
    <row r="941" spans="1:17" ht="15">
      <c r="A941" s="2372" t="s">
        <v>1488</v>
      </c>
      <c r="B941" s="2372" t="s">
        <v>1489</v>
      </c>
      <c r="C941" s="2372"/>
      <c r="D941" s="2085"/>
      <c r="E941" s="2085"/>
      <c r="F941" s="2085"/>
      <c r="G941" s="2085"/>
      <c r="H941" s="2085"/>
      <c r="I941" s="2085"/>
      <c r="J941" s="2085"/>
      <c r="K941" s="2085"/>
      <c r="L941" s="2085"/>
      <c r="M941" s="2085"/>
      <c r="N941" s="2084"/>
      <c r="O941" s="2373" t="s">
        <v>1444</v>
      </c>
      <c r="P941" s="2089"/>
      <c r="Q941" s="2089"/>
    </row>
    <row r="942" spans="1:17" ht="15">
      <c r="A942" s="2084"/>
      <c r="B942" s="2375" t="s">
        <v>1450</v>
      </c>
      <c r="C942" s="2084"/>
      <c r="D942" s="2375"/>
      <c r="E942" s="2375"/>
      <c r="F942" s="2375"/>
      <c r="G942" s="2375"/>
      <c r="H942" s="2085"/>
      <c r="I942" s="2086"/>
      <c r="J942" s="2086"/>
      <c r="K942" s="2086"/>
      <c r="L942" s="2087"/>
      <c r="M942" s="2087"/>
      <c r="N942" s="2087"/>
      <c r="O942" s="2087"/>
      <c r="P942" s="2087"/>
      <c r="Q942" s="2087"/>
    </row>
    <row r="943" spans="1:17" ht="14.25">
      <c r="A943" s="2084" t="str">
        <f>'Part VII-Threshold Criteria'!A100</f>
        <v>The site entrance is legally accessible from paved public roads.</v>
      </c>
      <c r="B943" s="2084"/>
      <c r="C943" s="2084"/>
      <c r="D943" s="2084"/>
      <c r="E943" s="2084"/>
      <c r="F943" s="2084"/>
      <c r="G943" s="2084"/>
      <c r="H943" s="2084"/>
      <c r="I943" s="2084"/>
      <c r="J943" s="2084"/>
      <c r="K943" s="2084"/>
      <c r="L943" s="2084"/>
      <c r="M943" s="2084"/>
      <c r="N943" s="2084"/>
      <c r="O943" s="2084"/>
      <c r="P943" s="2084"/>
      <c r="Q943" s="2084"/>
    </row>
    <row r="944" spans="1:17" ht="14.25">
      <c r="A944" s="2084"/>
      <c r="B944" s="2374" t="s">
        <v>1447</v>
      </c>
      <c r="C944" s="2374"/>
      <c r="D944" s="2085"/>
      <c r="E944" s="2085"/>
      <c r="F944" s="2085"/>
      <c r="G944" s="2085"/>
      <c r="H944" s="2085"/>
      <c r="I944" s="2085"/>
      <c r="J944" s="2085"/>
      <c r="K944" s="2085"/>
      <c r="L944" s="2085"/>
      <c r="M944" s="2085"/>
      <c r="N944" s="2085"/>
      <c r="O944" s="2085"/>
      <c r="P944" s="2085"/>
      <c r="Q944" s="2085"/>
    </row>
    <row r="945" spans="1:17" ht="14.25">
      <c r="A945" s="2084"/>
      <c r="B945" s="2084"/>
      <c r="C945" s="2084"/>
      <c r="D945" s="2084"/>
      <c r="E945" s="2084"/>
      <c r="F945" s="2084"/>
      <c r="G945" s="2084"/>
      <c r="H945" s="2084"/>
      <c r="I945" s="2084"/>
      <c r="J945" s="2084"/>
      <c r="K945" s="2084"/>
      <c r="L945" s="2084"/>
      <c r="M945" s="2084"/>
      <c r="N945" s="2084"/>
      <c r="O945" s="2084"/>
      <c r="P945" s="2084"/>
      <c r="Q945" s="2084"/>
    </row>
    <row r="946" spans="1:17" ht="15">
      <c r="A946" s="2084"/>
      <c r="B946" s="2086"/>
      <c r="C946" s="2085"/>
      <c r="D946" s="2085"/>
      <c r="E946" s="2085"/>
      <c r="F946" s="2085"/>
      <c r="G946" s="2085"/>
      <c r="H946" s="2085"/>
      <c r="I946" s="2085"/>
      <c r="J946" s="2085"/>
      <c r="K946" s="2085"/>
      <c r="L946" s="2085"/>
      <c r="M946" s="2085"/>
      <c r="N946" s="2085"/>
      <c r="O946" s="2085"/>
      <c r="P946" s="2085"/>
      <c r="Q946" s="2087"/>
    </row>
    <row r="947" spans="1:17" ht="15">
      <c r="A947" s="2084"/>
      <c r="B947" s="2086"/>
      <c r="C947" s="2085"/>
      <c r="D947" s="2085"/>
      <c r="E947" s="2085"/>
      <c r="F947" s="2085"/>
      <c r="G947" s="2085"/>
      <c r="H947" s="2085"/>
      <c r="I947" s="2085"/>
      <c r="J947" s="2085"/>
      <c r="K947" s="2085"/>
      <c r="L947" s="2085"/>
      <c r="M947" s="2085"/>
      <c r="N947" s="2085"/>
      <c r="O947" s="2085"/>
      <c r="P947" s="2085"/>
      <c r="Q947" s="2087"/>
    </row>
    <row r="948" spans="1:17" ht="15">
      <c r="A948" s="2372" t="s">
        <v>1491</v>
      </c>
      <c r="B948" s="2089" t="s">
        <v>1492</v>
      </c>
      <c r="C948" s="2089"/>
      <c r="D948" s="2089"/>
      <c r="E948" s="2084"/>
      <c r="F948" s="2084"/>
      <c r="G948" s="2084"/>
      <c r="H948" s="2084"/>
      <c r="I948" s="2084"/>
      <c r="J948" s="2084"/>
      <c r="K948" s="2084"/>
      <c r="L948" s="2084"/>
      <c r="M948" s="2084"/>
      <c r="N948" s="2084"/>
      <c r="O948" s="2373" t="s">
        <v>1444</v>
      </c>
      <c r="P948" s="2089"/>
      <c r="Q948" s="2089"/>
    </row>
    <row r="949" spans="1:17" ht="15">
      <c r="A949" s="2084"/>
      <c r="B949" s="2375" t="s">
        <v>1450</v>
      </c>
      <c r="C949" s="2084"/>
      <c r="D949" s="2375"/>
      <c r="E949" s="2375"/>
      <c r="F949" s="2375"/>
      <c r="G949" s="2375"/>
      <c r="H949" s="2085"/>
      <c r="I949" s="2086"/>
      <c r="J949" s="2086"/>
      <c r="K949" s="2086"/>
      <c r="L949" s="2087"/>
      <c r="M949" s="2087"/>
      <c r="N949" s="2087"/>
      <c r="O949" s="2087"/>
      <c r="P949" s="2087"/>
      <c r="Q949" s="2087"/>
    </row>
    <row r="950" spans="1:17" ht="14.25">
      <c r="A950" s="2084" t="str">
        <f>'Part VII-Threshold Criteria'!A107</f>
        <v>The site is properly zoned for the intended use.</v>
      </c>
      <c r="B950" s="2084"/>
      <c r="C950" s="2084"/>
      <c r="D950" s="2084"/>
      <c r="E950" s="2084"/>
      <c r="F950" s="2084"/>
      <c r="G950" s="2084"/>
      <c r="H950" s="2084"/>
      <c r="I950" s="2084"/>
      <c r="J950" s="2084"/>
      <c r="K950" s="2084"/>
      <c r="L950" s="2084"/>
      <c r="M950" s="2084"/>
      <c r="N950" s="2084"/>
      <c r="O950" s="2084"/>
      <c r="P950" s="2084"/>
      <c r="Q950" s="2084"/>
    </row>
    <row r="951" spans="1:17" ht="14.25">
      <c r="A951" s="2084"/>
      <c r="B951" s="2374" t="s">
        <v>1447</v>
      </c>
      <c r="C951" s="2374"/>
      <c r="D951" s="2085"/>
      <c r="E951" s="2085"/>
      <c r="F951" s="2085"/>
      <c r="G951" s="2085"/>
      <c r="H951" s="2085"/>
      <c r="I951" s="2085"/>
      <c r="J951" s="2085"/>
      <c r="K951" s="2085"/>
      <c r="L951" s="2085"/>
      <c r="M951" s="2085"/>
      <c r="N951" s="2085"/>
      <c r="O951" s="2085"/>
      <c r="P951" s="2085"/>
      <c r="Q951" s="2085"/>
    </row>
    <row r="952" spans="1:17" ht="14.25">
      <c r="A952" s="2084"/>
      <c r="B952" s="2084"/>
      <c r="C952" s="2084"/>
      <c r="D952" s="2084"/>
      <c r="E952" s="2084"/>
      <c r="F952" s="2084"/>
      <c r="G952" s="2084"/>
      <c r="H952" s="2084"/>
      <c r="I952" s="2084"/>
      <c r="J952" s="2084"/>
      <c r="K952" s="2084"/>
      <c r="L952" s="2084"/>
      <c r="M952" s="2084"/>
      <c r="N952" s="2084"/>
      <c r="O952" s="2084"/>
      <c r="P952" s="2084"/>
      <c r="Q952" s="2084"/>
    </row>
    <row r="953" spans="1:17" ht="15">
      <c r="A953" s="2087"/>
      <c r="B953" s="2086"/>
      <c r="C953" s="2085"/>
      <c r="D953" s="2085"/>
      <c r="E953" s="2085"/>
      <c r="F953" s="2085"/>
      <c r="G953" s="2085"/>
      <c r="H953" s="2085"/>
      <c r="I953" s="2085"/>
      <c r="J953" s="2085"/>
      <c r="K953" s="2085"/>
      <c r="L953" s="2085"/>
      <c r="M953" s="2085"/>
      <c r="N953" s="2085"/>
      <c r="O953" s="2085"/>
      <c r="P953" s="2085"/>
      <c r="Q953" s="2087"/>
    </row>
    <row r="954" spans="1:17" ht="15">
      <c r="A954" s="2084"/>
      <c r="B954" s="2086"/>
      <c r="C954" s="2085"/>
      <c r="D954" s="2085"/>
      <c r="E954" s="2085"/>
      <c r="F954" s="2085"/>
      <c r="G954" s="2085"/>
      <c r="H954" s="2085"/>
      <c r="I954" s="2085"/>
      <c r="J954" s="2085"/>
      <c r="K954" s="2085"/>
      <c r="L954" s="2085"/>
      <c r="M954" s="2085"/>
      <c r="N954" s="2085"/>
      <c r="O954" s="2085"/>
      <c r="P954" s="2085"/>
      <c r="Q954" s="2087"/>
    </row>
    <row r="955" spans="1:17" ht="15">
      <c r="A955" s="2372" t="s">
        <v>1494</v>
      </c>
      <c r="B955" s="2372" t="s">
        <v>1495</v>
      </c>
      <c r="C955" s="2372"/>
      <c r="D955" s="2085"/>
      <c r="E955" s="2085"/>
      <c r="F955" s="2084"/>
      <c r="G955" s="2085"/>
      <c r="H955" s="2084"/>
      <c r="I955" s="2084"/>
      <c r="J955" s="2084"/>
      <c r="K955" s="2084"/>
      <c r="L955" s="2084"/>
      <c r="M955" s="2084"/>
      <c r="N955" s="2084"/>
      <c r="O955" s="2373" t="s">
        <v>1444</v>
      </c>
      <c r="P955" s="2089"/>
      <c r="Q955" s="2089"/>
    </row>
    <row r="956" spans="1:17" ht="15">
      <c r="A956" s="2373"/>
      <c r="B956" s="2084" t="s">
        <v>1496</v>
      </c>
      <c r="C956" s="2084"/>
      <c r="D956" s="2084"/>
      <c r="E956" s="2084"/>
      <c r="F956" s="2084"/>
      <c r="G956" s="2084"/>
      <c r="H956" s="2084" t="s">
        <v>1497</v>
      </c>
      <c r="I956" s="2084"/>
      <c r="J956" s="2089" t="str">
        <f>'Part VII-Threshold Criteria'!J113</f>
        <v>N/A</v>
      </c>
      <c r="K956" s="2089"/>
      <c r="L956" s="2089"/>
      <c r="M956" s="2089"/>
      <c r="N956" s="2089"/>
      <c r="O956" s="2089"/>
      <c r="P956" s="2089"/>
      <c r="Q956" s="2089"/>
    </row>
    <row r="957" spans="1:17" ht="15">
      <c r="A957" s="2373"/>
      <c r="B957" s="2373"/>
      <c r="C957" s="2084"/>
      <c r="D957" s="2084"/>
      <c r="E957" s="2084"/>
      <c r="F957" s="2084"/>
      <c r="G957" s="2084"/>
      <c r="H957" s="2084" t="s">
        <v>1498</v>
      </c>
      <c r="I957" s="2084"/>
      <c r="J957" s="2089" t="str">
        <f>'Part VII-Threshold Criteria'!J114</f>
        <v>Georgia Power</v>
      </c>
      <c r="K957" s="2089"/>
      <c r="L957" s="2089"/>
      <c r="M957" s="2089"/>
      <c r="N957" s="2089"/>
      <c r="O957" s="2089"/>
      <c r="P957" s="2089"/>
      <c r="Q957" s="2089"/>
    </row>
    <row r="958" spans="1:17" ht="15">
      <c r="A958" s="2373"/>
      <c r="B958" s="2375" t="s">
        <v>1450</v>
      </c>
      <c r="C958" s="2084"/>
      <c r="D958" s="2084"/>
      <c r="E958" s="2084"/>
      <c r="F958" s="2084"/>
      <c r="G958" s="2084"/>
      <c r="H958" s="2084"/>
      <c r="I958" s="2084"/>
      <c r="J958" s="2084"/>
      <c r="K958" s="2084"/>
      <c r="L958" s="2084"/>
      <c r="M958" s="2084"/>
      <c r="N958" s="2084"/>
      <c r="O958" s="2084"/>
      <c r="P958" s="2084"/>
      <c r="Q958" s="2084"/>
    </row>
    <row r="959" spans="1:17" ht="14.25">
      <c r="A959" s="2084" t="str">
        <f>'Part VII-Threshold Criteria'!A116</f>
        <v>The proposed development will be 100% electric. No gas.</v>
      </c>
      <c r="B959" s="2084"/>
      <c r="C959" s="2084"/>
      <c r="D959" s="2084"/>
      <c r="E959" s="2084"/>
      <c r="F959" s="2084"/>
      <c r="G959" s="2084"/>
      <c r="H959" s="2084"/>
      <c r="I959" s="2084"/>
      <c r="J959" s="2084"/>
      <c r="K959" s="2084"/>
      <c r="L959" s="2084"/>
      <c r="M959" s="2084"/>
      <c r="N959" s="2084"/>
      <c r="O959" s="2084"/>
      <c r="P959" s="2084"/>
      <c r="Q959" s="2084"/>
    </row>
    <row r="960" spans="1:17" ht="14.25">
      <c r="A960" s="2084"/>
      <c r="B960" s="2374" t="s">
        <v>1447</v>
      </c>
      <c r="C960" s="2374"/>
      <c r="D960" s="2085"/>
      <c r="E960" s="2085"/>
      <c r="F960" s="2085"/>
      <c r="G960" s="2085"/>
      <c r="H960" s="2085"/>
      <c r="I960" s="2085"/>
      <c r="J960" s="2085"/>
      <c r="K960" s="2085"/>
      <c r="L960" s="2085"/>
      <c r="M960" s="2085"/>
      <c r="N960" s="2085"/>
      <c r="O960" s="2085"/>
      <c r="P960" s="2085"/>
      <c r="Q960" s="2085"/>
    </row>
    <row r="961" spans="1:17" ht="14.25">
      <c r="A961" s="2084"/>
      <c r="B961" s="2084"/>
      <c r="C961" s="2084"/>
      <c r="D961" s="2084"/>
      <c r="E961" s="2084"/>
      <c r="F961" s="2084"/>
      <c r="G961" s="2084"/>
      <c r="H961" s="2084"/>
      <c r="I961" s="2084"/>
      <c r="J961" s="2084"/>
      <c r="K961" s="2084"/>
      <c r="L961" s="2084"/>
      <c r="M961" s="2084"/>
      <c r="N961" s="2084"/>
      <c r="O961" s="2084"/>
      <c r="P961" s="2084"/>
      <c r="Q961" s="2084"/>
    </row>
    <row r="962" spans="1:17" ht="15">
      <c r="A962" s="2084"/>
      <c r="B962" s="2086"/>
      <c r="C962" s="2085"/>
      <c r="D962" s="2085"/>
      <c r="E962" s="2085"/>
      <c r="F962" s="2085"/>
      <c r="G962" s="2085"/>
      <c r="H962" s="2085"/>
      <c r="I962" s="2085"/>
      <c r="J962" s="2085"/>
      <c r="K962" s="2085"/>
      <c r="L962" s="2085"/>
      <c r="M962" s="2085"/>
      <c r="N962" s="2084"/>
      <c r="O962" s="2084"/>
      <c r="P962" s="2084"/>
      <c r="Q962" s="2087"/>
    </row>
    <row r="963" spans="1:17" ht="15">
      <c r="A963" s="2084"/>
      <c r="B963" s="2086"/>
      <c r="C963" s="2085"/>
      <c r="D963" s="2085"/>
      <c r="E963" s="2085"/>
      <c r="F963" s="2085"/>
      <c r="G963" s="2085"/>
      <c r="H963" s="2085"/>
      <c r="I963" s="2085"/>
      <c r="J963" s="2085"/>
      <c r="K963" s="2085"/>
      <c r="L963" s="2085"/>
      <c r="M963" s="2085"/>
      <c r="N963" s="2084"/>
      <c r="O963" s="2084"/>
      <c r="P963" s="2084"/>
      <c r="Q963" s="2087"/>
    </row>
    <row r="964" spans="1:17" ht="15">
      <c r="A964" s="2372" t="s">
        <v>1501</v>
      </c>
      <c r="B964" s="2089" t="s">
        <v>1502</v>
      </c>
      <c r="C964" s="2089"/>
      <c r="D964" s="2089"/>
      <c r="E964" s="2089"/>
      <c r="F964" s="2089"/>
      <c r="G964" s="2085"/>
      <c r="H964" s="2085"/>
      <c r="I964" s="2084"/>
      <c r="J964" s="2085"/>
      <c r="K964" s="2085"/>
      <c r="L964" s="2085"/>
      <c r="M964" s="2085"/>
      <c r="N964" s="2084"/>
      <c r="O964" s="2373" t="s">
        <v>1444</v>
      </c>
      <c r="P964" s="2089"/>
      <c r="Q964" s="2089"/>
    </row>
    <row r="965" spans="1:17" ht="15">
      <c r="A965" s="2373"/>
      <c r="B965" s="2084" t="s">
        <v>1503</v>
      </c>
      <c r="C965" s="2084"/>
      <c r="D965" s="2084"/>
      <c r="E965" s="2084"/>
      <c r="F965" s="2084"/>
      <c r="G965" s="2084"/>
      <c r="H965" s="2084" t="s">
        <v>1504</v>
      </c>
      <c r="I965" s="2084"/>
      <c r="J965" s="2089" t="str">
        <f>'Part VII-Threshold Criteria'!J122</f>
        <v>Cobb County Water System</v>
      </c>
      <c r="K965" s="2089"/>
      <c r="L965" s="2089"/>
      <c r="M965" s="2089"/>
      <c r="N965" s="2089"/>
      <c r="O965" s="2089"/>
      <c r="P965" s="2089"/>
      <c r="Q965" s="2089"/>
    </row>
    <row r="966" spans="1:17" ht="15">
      <c r="A966" s="2084"/>
      <c r="B966" s="2373"/>
      <c r="C966" s="2084"/>
      <c r="D966" s="2084"/>
      <c r="E966" s="2084"/>
      <c r="F966" s="2084"/>
      <c r="G966" s="2084"/>
      <c r="H966" s="2084" t="s">
        <v>1506</v>
      </c>
      <c r="I966" s="2084"/>
      <c r="J966" s="2089" t="str">
        <f>'Part VII-Threshold Criteria'!J123</f>
        <v>Cobb County Water System</v>
      </c>
      <c r="K966" s="2089"/>
      <c r="L966" s="2089"/>
      <c r="M966" s="2089"/>
      <c r="N966" s="2089"/>
      <c r="O966" s="2089"/>
      <c r="P966" s="2089"/>
      <c r="Q966" s="2089"/>
    </row>
    <row r="967" spans="1:17" ht="15">
      <c r="A967" s="2084"/>
      <c r="B967" s="2375" t="s">
        <v>1450</v>
      </c>
      <c r="C967" s="2084"/>
      <c r="D967" s="2375"/>
      <c r="E967" s="2375"/>
      <c r="F967" s="2375"/>
      <c r="G967" s="2375"/>
      <c r="H967" s="2085"/>
      <c r="I967" s="2086"/>
      <c r="J967" s="2086"/>
      <c r="K967" s="2086"/>
      <c r="L967" s="2087"/>
      <c r="M967" s="2087"/>
      <c r="N967" s="2087"/>
      <c r="O967" s="2087"/>
      <c r="P967" s="2087"/>
      <c r="Q967" s="2087"/>
    </row>
    <row r="968" spans="1:17" ht="14.25">
      <c r="A968" s="2084" t="str">
        <f>'Part VII-Threshold Criteria'!A125</f>
        <v>There is currently water and sewer available at the site per the local utility provider.  No commitments or easements are required.</v>
      </c>
      <c r="B968" s="2084"/>
      <c r="C968" s="2084"/>
      <c r="D968" s="2084"/>
      <c r="E968" s="2084"/>
      <c r="F968" s="2084"/>
      <c r="G968" s="2084"/>
      <c r="H968" s="2084"/>
      <c r="I968" s="2084"/>
      <c r="J968" s="2084"/>
      <c r="K968" s="2084"/>
      <c r="L968" s="2084"/>
      <c r="M968" s="2084"/>
      <c r="N968" s="2084"/>
      <c r="O968" s="2084"/>
      <c r="P968" s="2084"/>
      <c r="Q968" s="2084"/>
    </row>
    <row r="969" spans="1:17" ht="14.25">
      <c r="A969" s="2084"/>
      <c r="B969" s="2374" t="s">
        <v>1447</v>
      </c>
      <c r="C969" s="2374"/>
      <c r="D969" s="2085"/>
      <c r="E969" s="2085"/>
      <c r="F969" s="2085"/>
      <c r="G969" s="2085"/>
      <c r="H969" s="2085"/>
      <c r="I969" s="2085"/>
      <c r="J969" s="2085"/>
      <c r="K969" s="2085"/>
      <c r="L969" s="2085"/>
      <c r="M969" s="2085"/>
      <c r="N969" s="2085"/>
      <c r="O969" s="2085"/>
      <c r="P969" s="2085"/>
      <c r="Q969" s="2085"/>
    </row>
    <row r="970" spans="1:17" ht="14.25">
      <c r="A970" s="2084"/>
      <c r="B970" s="2084"/>
      <c r="C970" s="2084"/>
      <c r="D970" s="2084"/>
      <c r="E970" s="2084"/>
      <c r="F970" s="2084"/>
      <c r="G970" s="2084"/>
      <c r="H970" s="2084"/>
      <c r="I970" s="2084"/>
      <c r="J970" s="2084"/>
      <c r="K970" s="2084"/>
      <c r="L970" s="2084"/>
      <c r="M970" s="2084"/>
      <c r="N970" s="2084"/>
      <c r="O970" s="2084"/>
      <c r="P970" s="2084"/>
      <c r="Q970" s="2084"/>
    </row>
    <row r="971" spans="1:17" ht="15">
      <c r="A971" s="2087"/>
      <c r="B971" s="2086"/>
      <c r="C971" s="2085"/>
      <c r="D971" s="2085"/>
      <c r="E971" s="2085"/>
      <c r="F971" s="2085"/>
      <c r="G971" s="2085"/>
      <c r="H971" s="2085"/>
      <c r="I971" s="2085"/>
      <c r="J971" s="2085"/>
      <c r="K971" s="2085"/>
      <c r="L971" s="2085"/>
      <c r="M971" s="2085"/>
      <c r="N971" s="2084"/>
      <c r="O971" s="2084"/>
      <c r="P971" s="2084"/>
      <c r="Q971" s="2087"/>
    </row>
    <row r="972" spans="1:17" ht="15">
      <c r="A972" s="2084"/>
      <c r="B972" s="2086"/>
      <c r="C972" s="2085"/>
      <c r="D972" s="2085"/>
      <c r="E972" s="2085"/>
      <c r="F972" s="2085"/>
      <c r="G972" s="2085"/>
      <c r="H972" s="2085"/>
      <c r="I972" s="2085"/>
      <c r="J972" s="2085"/>
      <c r="K972" s="2085"/>
      <c r="L972" s="2085"/>
      <c r="M972" s="2085"/>
      <c r="N972" s="2084"/>
      <c r="O972" s="2084"/>
      <c r="P972" s="2084"/>
      <c r="Q972" s="2087"/>
    </row>
    <row r="973" spans="1:17" ht="15">
      <c r="A973" s="2372" t="s">
        <v>1508</v>
      </c>
      <c r="B973" s="2372" t="s">
        <v>1509</v>
      </c>
      <c r="C973" s="2372"/>
      <c r="D973" s="2085"/>
      <c r="E973" s="2085"/>
      <c r="F973" s="2085"/>
      <c r="G973" s="2085"/>
      <c r="H973" s="2085"/>
      <c r="I973" s="2085"/>
      <c r="J973" s="2085"/>
      <c r="K973" s="2085"/>
      <c r="L973" s="2085"/>
      <c r="M973" s="2085"/>
      <c r="N973" s="2084"/>
      <c r="O973" s="2373" t="s">
        <v>1444</v>
      </c>
      <c r="P973" s="2089"/>
      <c r="Q973" s="2089"/>
    </row>
    <row r="974" spans="1:17" ht="14.1" customHeight="1">
      <c r="A974" s="2084"/>
      <c r="B974" s="2084" t="s">
        <v>1510</v>
      </c>
      <c r="C974" s="2084"/>
      <c r="D974" s="2084"/>
      <c r="E974" s="2084"/>
      <c r="F974" s="2084"/>
      <c r="G974" s="2084"/>
      <c r="H974" s="2084"/>
      <c r="I974" s="2084"/>
      <c r="J974" s="2084"/>
      <c r="K974" s="2084"/>
      <c r="L974" s="2084"/>
      <c r="M974" s="2084"/>
      <c r="N974" s="2084"/>
      <c r="O974" s="2084"/>
      <c r="P974" s="2089" t="str">
        <f>'Part VII-Threshold Criteria'!P131</f>
        <v>Yes</v>
      </c>
      <c r="Q974" s="2089"/>
    </row>
    <row r="975" spans="1:17" ht="15">
      <c r="A975" s="2373" t="s">
        <v>197</v>
      </c>
      <c r="B975" s="2084" t="s">
        <v>2275</v>
      </c>
      <c r="C975" s="2084"/>
      <c r="D975" s="2084"/>
      <c r="E975" s="2084"/>
      <c r="F975" s="2084"/>
      <c r="G975" s="2084"/>
      <c r="H975" s="2084"/>
      <c r="I975" s="2084"/>
      <c r="J975" s="2084"/>
      <c r="K975" s="2084"/>
      <c r="L975" s="2084"/>
      <c r="M975" s="2084"/>
      <c r="N975" s="2084"/>
      <c r="O975" s="2378"/>
      <c r="P975" s="2084"/>
      <c r="Q975" s="2084"/>
    </row>
    <row r="976" spans="1:17" ht="15">
      <c r="A976" s="2373"/>
      <c r="B976" s="2085"/>
      <c r="C976" s="2084" t="s">
        <v>1512</v>
      </c>
      <c r="D976" s="2084"/>
      <c r="E976" s="2084"/>
      <c r="F976" s="2084"/>
      <c r="G976" s="2084"/>
      <c r="H976" s="2084"/>
      <c r="I976" s="2084"/>
      <c r="J976" s="2378"/>
      <c r="K976" s="2084"/>
      <c r="L976" s="2084"/>
      <c r="M976" s="2089" t="str">
        <f>'Part VII-Threshold Criteria'!M133</f>
        <v>Room</v>
      </c>
      <c r="N976" s="2089"/>
      <c r="O976" s="2089"/>
      <c r="P976" s="2089"/>
      <c r="Q976" s="2089"/>
    </row>
    <row r="977" spans="1:17" ht="15">
      <c r="A977" s="2373"/>
      <c r="B977" s="2085"/>
      <c r="C977" s="2085" t="s">
        <v>1514</v>
      </c>
      <c r="D977" s="2084"/>
      <c r="E977" s="2085"/>
      <c r="F977" s="2085"/>
      <c r="G977" s="2085"/>
      <c r="H977" s="2085"/>
      <c r="I977" s="2084"/>
      <c r="J977" s="2378"/>
      <c r="K977" s="2084"/>
      <c r="L977" s="2084"/>
      <c r="M977" s="2089" t="str">
        <f>'Part VII-Threshold Criteria'!M134</f>
        <v>Covered Porch</v>
      </c>
      <c r="N977" s="2089"/>
      <c r="O977" s="2089"/>
      <c r="P977" s="2089"/>
      <c r="Q977" s="2089"/>
    </row>
    <row r="978" spans="1:17" ht="14.1" customHeight="1">
      <c r="A978" s="2373"/>
      <c r="B978" s="2085"/>
      <c r="C978" s="2084" t="str">
        <f>'Part VII-Threshold Criteria'!C135</f>
        <v>If "Other Pre-Approved", explain here</v>
      </c>
      <c r="D978" s="2084"/>
      <c r="E978" s="2084"/>
      <c r="F978" s="2084"/>
      <c r="G978" s="2084"/>
      <c r="H978" s="2084"/>
      <c r="I978" s="2084"/>
      <c r="J978" s="2084"/>
      <c r="K978" s="2084"/>
      <c r="L978" s="2084"/>
      <c r="M978" s="2084"/>
      <c r="N978" s="2084"/>
      <c r="O978" s="2084"/>
      <c r="P978" s="2084"/>
      <c r="Q978" s="2084"/>
    </row>
    <row r="979" spans="1:17" ht="15">
      <c r="A979" s="2373"/>
      <c r="B979" s="2085"/>
      <c r="C979" s="2085" t="s">
        <v>1517</v>
      </c>
      <c r="D979" s="2084"/>
      <c r="E979" s="2085"/>
      <c r="F979" s="2085"/>
      <c r="G979" s="2085"/>
      <c r="H979" s="2085"/>
      <c r="I979" s="2084"/>
      <c r="J979" s="2378"/>
      <c r="K979" s="2084"/>
      <c r="L979" s="2084"/>
      <c r="M979" s="2089" t="str">
        <f>'Part VII-Threshold Criteria'!M136</f>
        <v>On-site laundry</v>
      </c>
      <c r="N979" s="2089"/>
      <c r="O979" s="2089"/>
      <c r="P979" s="2089"/>
      <c r="Q979" s="2089"/>
    </row>
    <row r="980" spans="1:17" ht="14.1" customHeight="1">
      <c r="A980" s="2373" t="s">
        <v>209</v>
      </c>
      <c r="B980" s="2084" t="s">
        <v>2276</v>
      </c>
      <c r="C980" s="2084"/>
      <c r="D980" s="2084"/>
      <c r="E980" s="2084"/>
      <c r="F980" s="2084"/>
      <c r="G980" s="2084"/>
      <c r="H980" s="2084"/>
      <c r="I980" s="2084"/>
      <c r="J980" s="2084"/>
      <c r="K980" s="2084"/>
      <c r="L980" s="2084"/>
      <c r="M980" s="2084"/>
      <c r="N980" s="2084"/>
      <c r="O980" s="2378"/>
      <c r="P980" s="2087"/>
      <c r="Q980" s="2087"/>
    </row>
    <row r="981" spans="1:17" ht="14.1" customHeight="1">
      <c r="A981" s="2114"/>
      <c r="B981" s="2085"/>
      <c r="C981" s="2084" t="s">
        <v>2277</v>
      </c>
      <c r="D981" s="2084"/>
      <c r="E981" s="2084"/>
      <c r="F981" s="2084"/>
      <c r="G981" s="2084"/>
      <c r="H981" s="2084"/>
      <c r="I981" s="2084"/>
      <c r="J981" s="2084"/>
      <c r="K981" s="2084"/>
      <c r="L981" s="2084"/>
      <c r="M981" s="2084"/>
      <c r="N981" s="2084"/>
      <c r="O981" s="2084"/>
      <c r="P981" s="2084"/>
      <c r="Q981" s="2084"/>
    </row>
    <row r="982" spans="1:17" ht="14.1" customHeight="1">
      <c r="A982" s="2087"/>
      <c r="B982" s="2384" t="s">
        <v>1521</v>
      </c>
      <c r="C982" s="2371" t="str">
        <f>'Part VII-Threshold Criteria'!C139</f>
        <v xml:space="preserve">Equipped Computer Center and WiFi </v>
      </c>
      <c r="D982" s="2371"/>
      <c r="E982" s="2371"/>
      <c r="F982" s="2371"/>
      <c r="G982" s="2371"/>
      <c r="H982" s="2371"/>
      <c r="I982" s="2084"/>
      <c r="J982" s="2371" t="str">
        <f>'Part VII-Threshold Criteria'!J139</f>
        <v>(If DCA Pre-Approved amenity not listed in Architectural Manual, describe)</v>
      </c>
      <c r="K982" s="2371"/>
      <c r="L982" s="2371"/>
      <c r="M982" s="2371"/>
      <c r="N982" s="2371"/>
      <c r="O982" s="2371"/>
      <c r="P982" s="2371"/>
      <c r="Q982" s="2371"/>
    </row>
    <row r="983" spans="1:17" ht="14.1" customHeight="1">
      <c r="A983" s="2087"/>
      <c r="B983" s="2384" t="s">
        <v>1524</v>
      </c>
      <c r="C983" s="2371" t="str">
        <f>'Part VII-Threshold Criteria'!C140</f>
        <v>Furnished Exercise /Fitness Center</v>
      </c>
      <c r="D983" s="2371"/>
      <c r="E983" s="2371"/>
      <c r="F983" s="2371"/>
      <c r="G983" s="2371"/>
      <c r="H983" s="2371"/>
      <c r="I983" s="2084"/>
      <c r="J983" s="2371" t="str">
        <f>'Part VII-Threshold Criteria'!J140</f>
        <v>(If DCA Pre-Approved amenity not listed in Architectural Manual, describe)</v>
      </c>
      <c r="K983" s="2371"/>
      <c r="L983" s="2371"/>
      <c r="M983" s="2371"/>
      <c r="N983" s="2371"/>
      <c r="O983" s="2371"/>
      <c r="P983" s="2371"/>
      <c r="Q983" s="2371"/>
    </row>
    <row r="984" spans="1:17" ht="14.1" customHeight="1">
      <c r="A984" s="2087"/>
      <c r="B984" s="2384" t="s">
        <v>1526</v>
      </c>
      <c r="C984" s="2371" t="str">
        <f>'Part VII-Threshold Criteria'!C141</f>
        <v>(Select an amenity from options provided here)</v>
      </c>
      <c r="D984" s="2371"/>
      <c r="E984" s="2371"/>
      <c r="F984" s="2371"/>
      <c r="G984" s="2371"/>
      <c r="H984" s="2371"/>
      <c r="I984" s="2084"/>
      <c r="J984" s="2371" t="str">
        <f>'Part VII-Threshold Criteria'!J141</f>
        <v>(If DCA Pre-Approved amenity not listed in Architectural Manual, describe)</v>
      </c>
      <c r="K984" s="2371"/>
      <c r="L984" s="2371"/>
      <c r="M984" s="2371"/>
      <c r="N984" s="2371"/>
      <c r="O984" s="2371"/>
      <c r="P984" s="2371"/>
      <c r="Q984" s="2371"/>
    </row>
    <row r="985" spans="1:17" ht="14.1" customHeight="1">
      <c r="A985" s="2087"/>
      <c r="B985" s="2384" t="s">
        <v>1528</v>
      </c>
      <c r="C985" s="2371" t="str">
        <f>'Part VII-Threshold Criteria'!C142</f>
        <v>(Select an amenity from options provided here)</v>
      </c>
      <c r="D985" s="2371"/>
      <c r="E985" s="2371"/>
      <c r="F985" s="2371"/>
      <c r="G985" s="2371"/>
      <c r="H985" s="2371"/>
      <c r="I985" s="2084"/>
      <c r="J985" s="2371" t="str">
        <f>'Part VII-Threshold Criteria'!J142</f>
        <v>(If DCA Pre-Approved amenity not listed in Architectural Manual, describe)</v>
      </c>
      <c r="K985" s="2371"/>
      <c r="L985" s="2371"/>
      <c r="M985" s="2371"/>
      <c r="N985" s="2371"/>
      <c r="O985" s="2371"/>
      <c r="P985" s="2371"/>
      <c r="Q985" s="2371"/>
    </row>
    <row r="986" spans="1:17" ht="15">
      <c r="A986" s="2084"/>
      <c r="B986" s="2375" t="s">
        <v>1450</v>
      </c>
      <c r="C986" s="2084"/>
      <c r="D986" s="2375"/>
      <c r="E986" s="2375"/>
      <c r="F986" s="2375"/>
      <c r="G986" s="2375"/>
      <c r="H986" s="2085"/>
      <c r="I986" s="2086"/>
      <c r="J986" s="2086"/>
      <c r="K986" s="2086"/>
      <c r="L986" s="2087"/>
      <c r="M986" s="2087"/>
      <c r="N986" s="2087"/>
      <c r="O986" s="2087"/>
      <c r="P986" s="2084"/>
      <c r="Q986" s="2084"/>
    </row>
    <row r="987" spans="1:17" ht="14.25">
      <c r="A987" s="2084" t="str">
        <f>'Part VII-Threshold Criteria'!A144</f>
        <v>None of the proposed amenities require a waiver.</v>
      </c>
      <c r="B987" s="2084"/>
      <c r="C987" s="2084"/>
      <c r="D987" s="2084"/>
      <c r="E987" s="2084"/>
      <c r="F987" s="2084"/>
      <c r="G987" s="2084"/>
      <c r="H987" s="2084"/>
      <c r="I987" s="2084"/>
      <c r="J987" s="2084"/>
      <c r="K987" s="2084"/>
      <c r="L987" s="2084"/>
      <c r="M987" s="2084"/>
      <c r="N987" s="2084"/>
      <c r="O987" s="2084"/>
      <c r="P987" s="2084"/>
      <c r="Q987" s="2084"/>
    </row>
    <row r="988" spans="1:17" ht="14.25">
      <c r="A988" s="2084"/>
      <c r="B988" s="2374" t="s">
        <v>1447</v>
      </c>
      <c r="C988" s="2374"/>
      <c r="D988" s="2085"/>
      <c r="E988" s="2085"/>
      <c r="F988" s="2085"/>
      <c r="G988" s="2085"/>
      <c r="H988" s="2085"/>
      <c r="I988" s="2085"/>
      <c r="J988" s="2085"/>
      <c r="K988" s="2085"/>
      <c r="L988" s="2085"/>
      <c r="M988" s="2085"/>
      <c r="N988" s="2085"/>
      <c r="O988" s="2085"/>
      <c r="P988" s="2085"/>
      <c r="Q988" s="2085"/>
    </row>
    <row r="989" spans="1:17" ht="14.25">
      <c r="A989" s="2084"/>
      <c r="B989" s="2084"/>
      <c r="C989" s="2084"/>
      <c r="D989" s="2084"/>
      <c r="E989" s="2084"/>
      <c r="F989" s="2084"/>
      <c r="G989" s="2084"/>
      <c r="H989" s="2084"/>
      <c r="I989" s="2084"/>
      <c r="J989" s="2084"/>
      <c r="K989" s="2084"/>
      <c r="L989" s="2084"/>
      <c r="M989" s="2084"/>
      <c r="N989" s="2084"/>
      <c r="O989" s="2084"/>
      <c r="P989" s="2084"/>
      <c r="Q989" s="2084"/>
    </row>
    <row r="990" spans="1:17" ht="15">
      <c r="A990" s="2087"/>
      <c r="B990" s="2086"/>
      <c r="C990" s="2085"/>
      <c r="D990" s="2085"/>
      <c r="E990" s="2085"/>
      <c r="F990" s="2085"/>
      <c r="G990" s="2085"/>
      <c r="H990" s="2085"/>
      <c r="I990" s="2085"/>
      <c r="J990" s="2085"/>
      <c r="K990" s="2085"/>
      <c r="L990" s="2085"/>
      <c r="M990" s="2085"/>
      <c r="N990" s="2084"/>
      <c r="O990" s="2084"/>
      <c r="P990" s="2084"/>
      <c r="Q990" s="2087"/>
    </row>
    <row r="991" spans="1:17" ht="15">
      <c r="A991" s="2084"/>
      <c r="B991" s="2086"/>
      <c r="C991" s="2085"/>
      <c r="D991" s="2085"/>
      <c r="E991" s="2085"/>
      <c r="F991" s="2085"/>
      <c r="G991" s="2085"/>
      <c r="H991" s="2085"/>
      <c r="I991" s="2085"/>
      <c r="J991" s="2085"/>
      <c r="K991" s="2085"/>
      <c r="L991" s="2085"/>
      <c r="M991" s="2085"/>
      <c r="N991" s="2084"/>
      <c r="O991" s="2084"/>
      <c r="P991" s="2084"/>
      <c r="Q991" s="2087"/>
    </row>
    <row r="992" spans="1:17" ht="15">
      <c r="A992" s="2372" t="s">
        <v>1530</v>
      </c>
      <c r="B992" s="2089" t="s">
        <v>1531</v>
      </c>
      <c r="C992" s="2089"/>
      <c r="D992" s="2089"/>
      <c r="E992" s="2089"/>
      <c r="F992" s="2089"/>
      <c r="G992" s="2089"/>
      <c r="H992" s="2085"/>
      <c r="I992" s="2085"/>
      <c r="J992" s="2085"/>
      <c r="K992" s="2085"/>
      <c r="L992" s="2377"/>
      <c r="M992" s="2391"/>
      <c r="N992" s="2084"/>
      <c r="O992" s="2373" t="s">
        <v>1444</v>
      </c>
      <c r="P992" s="2089"/>
      <c r="Q992" s="2089"/>
    </row>
    <row r="993" spans="1:17" ht="15">
      <c r="A993" s="2084"/>
      <c r="B993" s="2084" t="s">
        <v>1532</v>
      </c>
      <c r="C993" s="2084"/>
      <c r="D993" s="2084"/>
      <c r="E993" s="2084"/>
      <c r="F993" s="2084"/>
      <c r="G993" s="2084"/>
      <c r="H993" s="2084"/>
      <c r="I993" s="2084"/>
      <c r="J993" s="2084"/>
      <c r="K993" s="2084"/>
      <c r="L993" s="2084"/>
      <c r="M993" s="2084"/>
      <c r="N993" s="2086"/>
      <c r="O993" s="2084"/>
      <c r="P993" s="2089">
        <f>'Part VII-Threshold Criteria'!P150</f>
        <v>0</v>
      </c>
      <c r="Q993" s="2089"/>
    </row>
    <row r="994" spans="1:17" ht="14.1" customHeight="1">
      <c r="A994" s="2373"/>
      <c r="B994" s="2084" t="s">
        <v>1533</v>
      </c>
      <c r="C994" s="2084"/>
      <c r="D994" s="2084"/>
      <c r="E994" s="2084"/>
      <c r="F994" s="2084"/>
      <c r="G994" s="2084"/>
      <c r="H994" s="2084" t="str">
        <f>'Part VII-Threshold Criteria'!H151</f>
        <v>&lt;&lt;Select&gt;&gt;</v>
      </c>
      <c r="I994" s="2084"/>
      <c r="J994" s="2084"/>
      <c r="K994" s="2084"/>
      <c r="L994" s="2084"/>
      <c r="M994" s="2084"/>
      <c r="N994" s="2084"/>
      <c r="O994" s="2084"/>
      <c r="P994" s="2084"/>
      <c r="Q994" s="2084"/>
    </row>
    <row r="995" spans="1:17" ht="15">
      <c r="A995" s="2373"/>
      <c r="B995" s="2084" t="s">
        <v>1534</v>
      </c>
      <c r="C995" s="2084"/>
      <c r="D995" s="2084"/>
      <c r="E995" s="2084"/>
      <c r="F995" s="2084"/>
      <c r="G995" s="2084"/>
      <c r="H995" s="2084">
        <f>'Part VII-Threshold Criteria'!H152</f>
        <v>0</v>
      </c>
      <c r="I995" s="2084"/>
      <c r="J995" s="2084"/>
      <c r="K995" s="2084"/>
      <c r="L995" s="2084"/>
      <c r="M995" s="2084"/>
      <c r="N995" s="2084"/>
      <c r="O995" s="2084"/>
      <c r="P995" s="2084"/>
      <c r="Q995" s="2084"/>
    </row>
    <row r="996" spans="1:17" ht="15">
      <c r="A996" s="2084"/>
      <c r="B996" s="2375" t="s">
        <v>1450</v>
      </c>
      <c r="C996" s="2084"/>
      <c r="D996" s="2375"/>
      <c r="E996" s="2375"/>
      <c r="F996" s="2375"/>
      <c r="G996" s="2375"/>
      <c r="H996" s="2085"/>
      <c r="I996" s="2086"/>
      <c r="J996" s="2086"/>
      <c r="K996" s="2086"/>
      <c r="L996" s="2087"/>
      <c r="M996" s="2087"/>
      <c r="N996" s="2087"/>
      <c r="O996" s="2087"/>
      <c r="P996" s="2087"/>
      <c r="Q996" s="2087"/>
    </row>
    <row r="997" spans="1:17" ht="14.25">
      <c r="A997" s="2084" t="str">
        <f>'Part VII-Threshold Criteria'!A154</f>
        <v>N/A - Proposed development is 100% New Construction</v>
      </c>
      <c r="B997" s="2084"/>
      <c r="C997" s="2084"/>
      <c r="D997" s="2084"/>
      <c r="E997" s="2084"/>
      <c r="F997" s="2084"/>
      <c r="G997" s="2084"/>
      <c r="H997" s="2084"/>
      <c r="I997" s="2084"/>
      <c r="J997" s="2084"/>
      <c r="K997" s="2084"/>
      <c r="L997" s="2084"/>
      <c r="M997" s="2084"/>
      <c r="N997" s="2084"/>
      <c r="O997" s="2084"/>
      <c r="P997" s="2084"/>
      <c r="Q997" s="2084"/>
    </row>
    <row r="998" spans="1:17" ht="14.25">
      <c r="A998" s="2084"/>
      <c r="B998" s="2374" t="s">
        <v>1447</v>
      </c>
      <c r="C998" s="2374"/>
      <c r="D998" s="2085"/>
      <c r="E998" s="2085"/>
      <c r="F998" s="2085"/>
      <c r="G998" s="2085"/>
      <c r="H998" s="2085"/>
      <c r="I998" s="2085"/>
      <c r="J998" s="2085"/>
      <c r="K998" s="2085"/>
      <c r="L998" s="2085"/>
      <c r="M998" s="2085"/>
      <c r="N998" s="2085"/>
      <c r="O998" s="2085"/>
      <c r="P998" s="2085"/>
      <c r="Q998" s="2085"/>
    </row>
    <row r="999" spans="1:17" ht="14.25">
      <c r="A999" s="2084"/>
      <c r="B999" s="2084"/>
      <c r="C999" s="2084"/>
      <c r="D999" s="2084"/>
      <c r="E999" s="2084"/>
      <c r="F999" s="2084"/>
      <c r="G999" s="2084"/>
      <c r="H999" s="2084"/>
      <c r="I999" s="2084"/>
      <c r="J999" s="2084"/>
      <c r="K999" s="2084"/>
      <c r="L999" s="2084"/>
      <c r="M999" s="2084"/>
      <c r="N999" s="2084"/>
      <c r="O999" s="2084"/>
      <c r="P999" s="2084"/>
      <c r="Q999" s="2084"/>
    </row>
    <row r="1000" spans="1:17" ht="15">
      <c r="A1000" s="2087"/>
      <c r="B1000" s="2086"/>
      <c r="C1000" s="2085"/>
      <c r="D1000" s="2085"/>
      <c r="E1000" s="2085"/>
      <c r="F1000" s="2085"/>
      <c r="G1000" s="2085"/>
      <c r="H1000" s="2085"/>
      <c r="I1000" s="2085"/>
      <c r="J1000" s="2085"/>
      <c r="K1000" s="2085"/>
      <c r="L1000" s="2085"/>
      <c r="M1000" s="2085"/>
      <c r="N1000" s="2084"/>
      <c r="O1000" s="2084"/>
      <c r="P1000" s="2084"/>
      <c r="Q1000" s="2087"/>
    </row>
    <row r="1001" spans="1:17" ht="15">
      <c r="A1001" s="2084"/>
      <c r="B1001" s="2086"/>
      <c r="C1001" s="2085"/>
      <c r="D1001" s="2085"/>
      <c r="E1001" s="2085"/>
      <c r="F1001" s="2085"/>
      <c r="G1001" s="2085"/>
      <c r="H1001" s="2085"/>
      <c r="I1001" s="2085"/>
      <c r="J1001" s="2085"/>
      <c r="K1001" s="2085"/>
      <c r="L1001" s="2085"/>
      <c r="M1001" s="2085"/>
      <c r="N1001" s="2084"/>
      <c r="O1001" s="2084"/>
      <c r="P1001" s="2084"/>
      <c r="Q1001" s="2087"/>
    </row>
    <row r="1002" spans="1:17" ht="15">
      <c r="A1002" s="2372" t="s">
        <v>1536</v>
      </c>
      <c r="B1002" s="2089" t="s">
        <v>1537</v>
      </c>
      <c r="C1002" s="2089"/>
      <c r="D1002" s="2089"/>
      <c r="E1002" s="2089"/>
      <c r="F1002" s="2089"/>
      <c r="G1002" s="2089"/>
      <c r="H1002" s="2085"/>
      <c r="I1002" s="2085"/>
      <c r="J1002" s="2085"/>
      <c r="K1002" s="2085"/>
      <c r="L1002" s="2085"/>
      <c r="M1002" s="2085"/>
      <c r="N1002" s="2084"/>
      <c r="O1002" s="2373" t="s">
        <v>1444</v>
      </c>
      <c r="P1002" s="2089"/>
      <c r="Q1002" s="2089"/>
    </row>
    <row r="1003" spans="1:17" ht="15">
      <c r="A1003" s="2084"/>
      <c r="B1003" s="2375" t="s">
        <v>1450</v>
      </c>
      <c r="C1003" s="2084"/>
      <c r="D1003" s="2375"/>
      <c r="E1003" s="2375"/>
      <c r="F1003" s="2375"/>
      <c r="G1003" s="2375"/>
      <c r="H1003" s="2085"/>
      <c r="I1003" s="2086"/>
      <c r="J1003" s="2086"/>
      <c r="K1003" s="2086"/>
      <c r="L1003" s="2087"/>
      <c r="M1003" s="2087"/>
      <c r="N1003" s="2087"/>
      <c r="O1003" s="2087"/>
      <c r="P1003" s="2087"/>
      <c r="Q1003" s="2087"/>
    </row>
    <row r="1004" spans="1:17" ht="14.25">
      <c r="A1004" s="2084" t="str">
        <f>'Part VII-Threshold Criteria'!A161</f>
        <v>The CSDP and supplemental documents meet the requirements of the section.</v>
      </c>
      <c r="B1004" s="2084"/>
      <c r="C1004" s="2084"/>
      <c r="D1004" s="2084"/>
      <c r="E1004" s="2084"/>
      <c r="F1004" s="2084"/>
      <c r="G1004" s="2084"/>
      <c r="H1004" s="2084"/>
      <c r="I1004" s="2084"/>
      <c r="J1004" s="2084"/>
      <c r="K1004" s="2084"/>
      <c r="L1004" s="2084"/>
      <c r="M1004" s="2084"/>
      <c r="N1004" s="2084"/>
      <c r="O1004" s="2084"/>
      <c r="P1004" s="2084"/>
      <c r="Q1004" s="2084"/>
    </row>
    <row r="1005" spans="1:17" ht="14.25">
      <c r="A1005" s="2084"/>
      <c r="B1005" s="2374" t="s">
        <v>1447</v>
      </c>
      <c r="C1005" s="2374"/>
      <c r="D1005" s="2085"/>
      <c r="E1005" s="2085"/>
      <c r="F1005" s="2085"/>
      <c r="G1005" s="2085"/>
      <c r="H1005" s="2085"/>
      <c r="I1005" s="2085"/>
      <c r="J1005" s="2085"/>
      <c r="K1005" s="2085"/>
      <c r="L1005" s="2085"/>
      <c r="M1005" s="2085"/>
      <c r="N1005" s="2085"/>
      <c r="O1005" s="2085"/>
      <c r="P1005" s="2085"/>
      <c r="Q1005" s="2085"/>
    </row>
    <row r="1006" spans="1:17" ht="14.25">
      <c r="A1006" s="2084"/>
      <c r="B1006" s="2084"/>
      <c r="C1006" s="2084"/>
      <c r="D1006" s="2084"/>
      <c r="E1006" s="2084"/>
      <c r="F1006" s="2084"/>
      <c r="G1006" s="2084"/>
      <c r="H1006" s="2084"/>
      <c r="I1006" s="2084"/>
      <c r="J1006" s="2084"/>
      <c r="K1006" s="2084"/>
      <c r="L1006" s="2084"/>
      <c r="M1006" s="2084"/>
      <c r="N1006" s="2084"/>
      <c r="O1006" s="2084"/>
      <c r="P1006" s="2084"/>
      <c r="Q1006" s="2084"/>
    </row>
    <row r="1007" spans="1:17" ht="14.25">
      <c r="A1007" s="2084"/>
      <c r="B1007" s="2084"/>
      <c r="C1007" s="2084"/>
      <c r="D1007" s="2084"/>
      <c r="E1007" s="2084"/>
      <c r="F1007" s="2084"/>
      <c r="G1007" s="2084"/>
      <c r="H1007" s="2084"/>
      <c r="I1007" s="2084"/>
      <c r="J1007" s="2084"/>
      <c r="K1007" s="2084"/>
      <c r="L1007" s="2084"/>
      <c r="M1007" s="2084"/>
      <c r="N1007" s="2084"/>
      <c r="O1007" s="2084"/>
      <c r="P1007" s="2084"/>
      <c r="Q1007" s="2084"/>
    </row>
    <row r="1008" spans="1:17" ht="14.25">
      <c r="A1008" s="2084"/>
      <c r="B1008" s="2084"/>
      <c r="C1008" s="2084"/>
      <c r="D1008" s="2084"/>
      <c r="E1008" s="2084"/>
      <c r="F1008" s="2084"/>
      <c r="G1008" s="2084"/>
      <c r="H1008" s="2084"/>
      <c r="I1008" s="2084"/>
      <c r="J1008" s="2084"/>
      <c r="K1008" s="2084"/>
      <c r="L1008" s="2084"/>
      <c r="M1008" s="2084"/>
      <c r="N1008" s="2084"/>
      <c r="O1008" s="2084"/>
      <c r="P1008" s="2084"/>
      <c r="Q1008" s="2084"/>
    </row>
    <row r="1009" spans="1:28" ht="15">
      <c r="A1009" s="2372" t="s">
        <v>1539</v>
      </c>
      <c r="B1009" s="2372" t="s">
        <v>1540</v>
      </c>
      <c r="C1009" s="2372"/>
      <c r="D1009" s="2085"/>
      <c r="E1009" s="2085"/>
      <c r="F1009" s="2085"/>
      <c r="G1009" s="2085"/>
      <c r="H1009" s="2085"/>
      <c r="I1009" s="2085"/>
      <c r="J1009" s="2085"/>
      <c r="K1009" s="2085"/>
      <c r="L1009" s="2085"/>
      <c r="M1009" s="2085"/>
      <c r="N1009" s="2084"/>
      <c r="O1009" s="2373" t="s">
        <v>1444</v>
      </c>
      <c r="P1009" s="2089"/>
      <c r="Q1009" s="2089"/>
    </row>
    <row r="1010" spans="1:28" ht="15">
      <c r="A1010" s="2373" t="s">
        <v>197</v>
      </c>
      <c r="B1010" s="2089" t="s">
        <v>1541</v>
      </c>
      <c r="C1010" s="2084"/>
      <c r="D1010" s="2084"/>
      <c r="E1010" s="2084"/>
      <c r="F1010" s="2084"/>
      <c r="G1010" s="2084"/>
      <c r="H1010" s="2084"/>
      <c r="I1010" s="2084"/>
      <c r="J1010" s="2084"/>
      <c r="K1010" s="2084"/>
      <c r="L1010" s="2084"/>
      <c r="M1010" s="2084"/>
      <c r="N1010" s="2084"/>
      <c r="O1010" s="2378"/>
      <c r="P1010" s="2084"/>
      <c r="Q1010" s="2084"/>
    </row>
    <row r="1011" spans="1:28" ht="14.1" customHeight="1">
      <c r="A1011" s="2084"/>
      <c r="B1011" s="2371" t="s">
        <v>1542</v>
      </c>
      <c r="C1011" s="2371"/>
      <c r="D1011" s="2371"/>
      <c r="E1011" s="2371"/>
      <c r="F1011" s="2371"/>
      <c r="G1011" s="2371"/>
      <c r="H1011" s="2371"/>
      <c r="I1011" s="2371"/>
      <c r="J1011" s="2371"/>
      <c r="K1011" s="2371"/>
      <c r="L1011" s="2371"/>
      <c r="M1011" s="2371"/>
      <c r="N1011" s="2371"/>
      <c r="O1011" s="2371"/>
      <c r="P1011" s="2381" t="str">
        <f>'Part VII-Threshold Criteria'!P168</f>
        <v>Agree</v>
      </c>
      <c r="Q1011" s="2381"/>
    </row>
    <row r="1012" spans="1:28" ht="15">
      <c r="A1012" s="2373" t="s">
        <v>209</v>
      </c>
      <c r="B1012" s="2089" t="s">
        <v>1544</v>
      </c>
      <c r="C1012" s="2084"/>
      <c r="D1012" s="2084"/>
      <c r="E1012" s="2084"/>
      <c r="F1012" s="2084"/>
      <c r="G1012" s="2084"/>
      <c r="H1012" s="2089" t="str">
        <f>'Part VII-Threshold Criteria'!H169</f>
        <v>HIRL NGBS - Min Bronze level of ICC-700</v>
      </c>
      <c r="I1012" s="2089"/>
      <c r="J1012" s="2089"/>
      <c r="K1012" s="2089"/>
      <c r="L1012" s="2089"/>
      <c r="M1012" s="2089"/>
      <c r="N1012" s="2089"/>
      <c r="O1012" s="2089"/>
      <c r="P1012" s="2089"/>
      <c r="Q1012" s="2089"/>
    </row>
    <row r="1013" spans="1:28" ht="15">
      <c r="A1013" s="2084"/>
      <c r="B1013" s="2375" t="s">
        <v>1450</v>
      </c>
      <c r="C1013" s="2084"/>
      <c r="D1013" s="2084"/>
      <c r="E1013" s="2084"/>
      <c r="F1013" s="2084"/>
      <c r="G1013" s="2084"/>
      <c r="H1013" s="2084"/>
      <c r="I1013" s="2084"/>
      <c r="J1013" s="2084"/>
      <c r="K1013" s="2084"/>
      <c r="L1013" s="2084"/>
      <c r="M1013" s="2086"/>
      <c r="N1013" s="2086"/>
      <c r="O1013" s="2392"/>
      <c r="P1013" s="2087"/>
      <c r="Q1013" s="2084"/>
    </row>
    <row r="1014" spans="1:28" ht="14.25">
      <c r="A1014" s="2084" t="str">
        <f>'Part VII-Threshold Criteria'!A171</f>
        <v>The development will receive a National Green Building Standard Certification.</v>
      </c>
      <c r="B1014" s="2084"/>
      <c r="C1014" s="2084"/>
      <c r="D1014" s="2084"/>
      <c r="E1014" s="2084"/>
      <c r="F1014" s="2084"/>
      <c r="G1014" s="2084"/>
      <c r="H1014" s="2084"/>
      <c r="I1014" s="2084"/>
      <c r="J1014" s="2084"/>
      <c r="K1014" s="2084"/>
      <c r="L1014" s="2084"/>
      <c r="M1014" s="2084"/>
      <c r="N1014" s="2084"/>
      <c r="O1014" s="2084"/>
      <c r="P1014" s="2084"/>
      <c r="Q1014" s="2084"/>
    </row>
    <row r="1015" spans="1:28" ht="14.25">
      <c r="A1015" s="2084"/>
      <c r="B1015" s="2374" t="s">
        <v>1447</v>
      </c>
      <c r="C1015" s="2374"/>
      <c r="D1015" s="2085"/>
      <c r="E1015" s="2085"/>
      <c r="F1015" s="2085"/>
      <c r="G1015" s="2085"/>
      <c r="H1015" s="2085"/>
      <c r="I1015" s="2085"/>
      <c r="J1015" s="2085"/>
      <c r="K1015" s="2085"/>
      <c r="L1015" s="2085"/>
      <c r="M1015" s="2085"/>
      <c r="N1015" s="2085"/>
      <c r="O1015" s="2085"/>
      <c r="P1015" s="2085"/>
      <c r="Q1015" s="2085"/>
    </row>
    <row r="1016" spans="1:28" ht="14.25">
      <c r="A1016" s="2084"/>
      <c r="B1016" s="2084"/>
      <c r="C1016" s="2084"/>
      <c r="D1016" s="2084"/>
      <c r="E1016" s="2084"/>
      <c r="F1016" s="2084"/>
      <c r="G1016" s="2084"/>
      <c r="H1016" s="2084"/>
      <c r="I1016" s="2084"/>
      <c r="J1016" s="2084"/>
      <c r="K1016" s="2084"/>
      <c r="L1016" s="2084"/>
      <c r="M1016" s="2084"/>
      <c r="N1016" s="2084"/>
      <c r="O1016" s="2084"/>
      <c r="P1016" s="2084"/>
      <c r="Q1016" s="2084"/>
    </row>
    <row r="1017" spans="1:28" ht="15">
      <c r="A1017" s="2084"/>
      <c r="B1017" s="2084"/>
      <c r="C1017" s="2084"/>
      <c r="D1017" s="2084"/>
      <c r="E1017" s="2084"/>
      <c r="F1017" s="2087"/>
      <c r="G1017" s="2087"/>
      <c r="H1017" s="2087"/>
      <c r="I1017" s="2087"/>
      <c r="J1017" s="2085"/>
      <c r="K1017" s="2085"/>
      <c r="L1017" s="2085"/>
      <c r="M1017" s="2086"/>
      <c r="N1017" s="2087"/>
      <c r="O1017" s="2087"/>
      <c r="P1017" s="2392"/>
      <c r="Q1017" s="2084"/>
    </row>
    <row r="1018" spans="1:28" ht="15">
      <c r="A1018" s="2084"/>
      <c r="B1018" s="2084"/>
      <c r="C1018" s="2084"/>
      <c r="D1018" s="2084"/>
      <c r="E1018" s="2084"/>
      <c r="F1018" s="2087"/>
      <c r="G1018" s="2087"/>
      <c r="H1018" s="2087"/>
      <c r="I1018" s="2087"/>
      <c r="J1018" s="2085"/>
      <c r="K1018" s="2085"/>
      <c r="L1018" s="2085"/>
      <c r="M1018" s="2086"/>
      <c r="N1018" s="2087"/>
      <c r="O1018" s="2087"/>
      <c r="P1018" s="2392"/>
      <c r="Q1018" s="2084"/>
    </row>
    <row r="1019" spans="1:28" ht="15">
      <c r="A1019" s="2372" t="s">
        <v>1547</v>
      </c>
      <c r="B1019" s="2372" t="s">
        <v>1548</v>
      </c>
      <c r="C1019" s="2372"/>
      <c r="D1019" s="2372"/>
      <c r="E1019" s="2085"/>
      <c r="F1019" s="2085"/>
      <c r="G1019" s="2085"/>
      <c r="H1019" s="2085"/>
      <c r="I1019" s="2085"/>
      <c r="J1019" s="2085"/>
      <c r="K1019" s="2085"/>
      <c r="L1019" s="2085"/>
      <c r="M1019" s="2085"/>
      <c r="N1019" s="2084"/>
      <c r="O1019" s="2373" t="s">
        <v>1444</v>
      </c>
      <c r="P1019" s="2089"/>
      <c r="Q1019" s="2089"/>
    </row>
    <row r="1020" spans="1:28" ht="15">
      <c r="A1020" s="2084"/>
      <c r="B1020" s="2084" t="s">
        <v>1532</v>
      </c>
      <c r="C1020" s="2084"/>
      <c r="D1020" s="2084"/>
      <c r="E1020" s="2084"/>
      <c r="F1020" s="2084"/>
      <c r="G1020" s="2084"/>
      <c r="H1020" s="2084"/>
      <c r="I1020" s="2084"/>
      <c r="J1020" s="2084"/>
      <c r="K1020" s="2084"/>
      <c r="L1020" s="2084"/>
      <c r="M1020" s="2084"/>
      <c r="N1020" s="2086"/>
      <c r="O1020" s="2084"/>
      <c r="P1020" s="2089" t="str">
        <f>'Part VII-Threshold Criteria'!P177</f>
        <v>No</v>
      </c>
      <c r="Q1020" s="2089"/>
    </row>
    <row r="1021" spans="1:28" ht="14.1" customHeight="1">
      <c r="A1021" s="2084"/>
      <c r="B1021" s="2084" t="s">
        <v>1549</v>
      </c>
      <c r="C1021" s="2084"/>
      <c r="D1021" s="2084"/>
      <c r="E1021" s="2084"/>
      <c r="F1021" s="2084"/>
      <c r="G1021" s="2084"/>
      <c r="H1021" s="2084"/>
      <c r="I1021" s="2084"/>
      <c r="J1021" s="2084"/>
      <c r="K1021" s="2084"/>
      <c r="L1021" s="2084"/>
      <c r="M1021" s="2084"/>
      <c r="N1021" s="2084"/>
      <c r="O1021" s="2084"/>
      <c r="P1021" s="2089" t="str">
        <f>'Part VII-Threshold Criteria'!P178</f>
        <v>Agree</v>
      </c>
      <c r="Q1021" s="2089"/>
    </row>
    <row r="1022" spans="1:28" ht="15">
      <c r="A1022" s="2373" t="s">
        <v>197</v>
      </c>
      <c r="B1022" s="2372" t="s">
        <v>1550</v>
      </c>
      <c r="C1022" s="2085"/>
      <c r="D1022" s="2085"/>
      <c r="E1022" s="2085"/>
      <c r="F1022" s="2085"/>
      <c r="G1022" s="2085"/>
      <c r="H1022" s="2085"/>
      <c r="I1022" s="2085"/>
      <c r="J1022" s="2085"/>
      <c r="K1022" s="2084"/>
      <c r="L1022" s="2393"/>
      <c r="M1022" s="2394"/>
      <c r="N1022" s="2386"/>
      <c r="O1022" s="2378"/>
      <c r="P1022" s="2378"/>
      <c r="Q1022" s="2378"/>
    </row>
    <row r="1023" spans="1:28" ht="14.1" customHeight="1">
      <c r="A1023" s="2084"/>
      <c r="B1023" s="2371" t="s">
        <v>2278</v>
      </c>
      <c r="C1023" s="2371"/>
      <c r="D1023" s="2371"/>
      <c r="E1023" s="2371"/>
      <c r="F1023" s="2371"/>
      <c r="G1023" s="2371"/>
      <c r="H1023" s="2371"/>
      <c r="I1023" s="2371"/>
      <c r="J1023" s="2371"/>
      <c r="K1023" s="2371"/>
      <c r="L1023" s="2371"/>
      <c r="M1023" s="2371"/>
      <c r="N1023" s="2371"/>
      <c r="O1023" s="2371"/>
      <c r="P1023" s="1657"/>
      <c r="Q1023" s="1657"/>
    </row>
    <row r="1024" spans="1:28" s="2084" customFormat="1" ht="28.5" customHeight="1">
      <c r="C1024" s="2371"/>
      <c r="D1024" s="3899" t="s">
        <v>1552</v>
      </c>
      <c r="E1024" s="3899"/>
      <c r="F1024" s="3899"/>
      <c r="G1024" s="3899"/>
      <c r="H1024" s="3899"/>
      <c r="I1024" s="3899"/>
      <c r="J1024" s="3899"/>
      <c r="K1024" s="3899"/>
      <c r="L1024" s="3899"/>
      <c r="M1024" s="3899"/>
      <c r="N1024" s="3899"/>
      <c r="O1024" s="3899"/>
      <c r="P1024" s="2395">
        <f>'Part VIII Scoring Criteria'!J948</f>
        <v>0</v>
      </c>
      <c r="Q1024" s="2395"/>
      <c r="R1024" s="2396"/>
      <c r="S1024" s="2396"/>
      <c r="T1024" s="2396"/>
      <c r="U1024" s="2396"/>
      <c r="V1024" s="2396"/>
      <c r="W1024" s="2396"/>
      <c r="X1024" s="2396"/>
      <c r="Y1024" s="2396"/>
      <c r="Z1024" s="2396"/>
      <c r="AA1024" s="2093"/>
      <c r="AB1024" s="2396"/>
    </row>
    <row r="1025" spans="1:17" ht="15">
      <c r="A1025" s="2084"/>
      <c r="B1025" s="2084"/>
      <c r="C1025" s="2084"/>
      <c r="D1025" s="2084"/>
      <c r="E1025" s="2084"/>
      <c r="F1025" s="2084"/>
      <c r="G1025" s="2084"/>
      <c r="H1025" s="2084"/>
      <c r="I1025" s="2084"/>
      <c r="J1025" s="2084"/>
      <c r="K1025" s="2084"/>
      <c r="L1025" s="2397" t="s">
        <v>1553</v>
      </c>
      <c r="M1025" s="2397"/>
      <c r="N1025" s="2086"/>
      <c r="O1025" s="2084"/>
      <c r="P1025" s="2087"/>
      <c r="Q1025" s="2087"/>
    </row>
    <row r="1026" spans="1:17" ht="15">
      <c r="A1026" s="2373" t="s">
        <v>209</v>
      </c>
      <c r="B1026" s="2372" t="s">
        <v>1554</v>
      </c>
      <c r="C1026" s="2084"/>
      <c r="D1026" s="2398"/>
      <c r="E1026" s="2398"/>
      <c r="F1026" s="2398"/>
      <c r="G1026" s="2398"/>
      <c r="H1026" s="2398"/>
      <c r="I1026" s="2398"/>
      <c r="J1026" s="2398"/>
      <c r="K1026" s="2398"/>
      <c r="L1026" s="2084" t="s">
        <v>1555</v>
      </c>
      <c r="M1026" s="2086" t="s">
        <v>1556</v>
      </c>
      <c r="N1026" s="2398"/>
      <c r="O1026" s="2378"/>
      <c r="P1026" s="2378"/>
      <c r="Q1026" s="2378"/>
    </row>
    <row r="1027" spans="1:17" ht="15">
      <c r="A1027" s="2373"/>
      <c r="B1027" s="2084" t="s">
        <v>1557</v>
      </c>
      <c r="C1027" s="2084"/>
      <c r="D1027" s="2084"/>
      <c r="E1027" s="2084"/>
      <c r="F1027" s="2084"/>
      <c r="G1027" s="2084"/>
      <c r="H1027" s="2084"/>
      <c r="I1027" s="2084"/>
      <c r="J1027" s="2084"/>
      <c r="K1027" s="2399"/>
      <c r="L1027" s="2393">
        <f>ROUNDUP('Part V-Revenues &amp; Expenses'!$P$67*M1027,0)</f>
        <v>3</v>
      </c>
      <c r="M1027" s="2394">
        <f>'DCA Underwriting Assumptions'!$Q$147</f>
        <v>0.05</v>
      </c>
      <c r="N1027" s="2386" t="s">
        <v>1558</v>
      </c>
      <c r="O1027" s="2378"/>
      <c r="P1027" s="2089">
        <f>'Part VII-Threshold Criteria'!P184</f>
        <v>6</v>
      </c>
      <c r="Q1027" s="2089"/>
    </row>
    <row r="1028" spans="1:17" ht="14.1" customHeight="1">
      <c r="A1028" s="2373"/>
      <c r="B1028" s="2085"/>
      <c r="C1028" s="2084"/>
      <c r="D1028" s="2084" t="s">
        <v>1559</v>
      </c>
      <c r="E1028" s="2084"/>
      <c r="F1028" s="2084"/>
      <c r="G1028" s="2084"/>
      <c r="H1028" s="2084"/>
      <c r="I1028" s="2084"/>
      <c r="J1028" s="2084"/>
      <c r="K1028" s="2399"/>
      <c r="L1028" s="2393">
        <f>ROUNDUP(L1027*M1028,0)</f>
        <v>2</v>
      </c>
      <c r="M1028" s="2394">
        <f>'DCA Underwriting Assumptions'!$Q$148</f>
        <v>0.4</v>
      </c>
      <c r="N1028" s="2386" t="s">
        <v>1560</v>
      </c>
      <c r="O1028" s="2378"/>
      <c r="P1028" s="2089">
        <f>'Part VII-Threshold Criteria'!P185</f>
        <v>3</v>
      </c>
      <c r="Q1028" s="2089"/>
    </row>
    <row r="1029" spans="1:17" ht="14.1" customHeight="1">
      <c r="A1029" s="2373"/>
      <c r="B1029" s="2084" t="s">
        <v>1561</v>
      </c>
      <c r="C1029" s="2084"/>
      <c r="D1029" s="2084"/>
      <c r="E1029" s="2084"/>
      <c r="F1029" s="2084"/>
      <c r="G1029" s="2084"/>
      <c r="H1029" s="2084"/>
      <c r="I1029" s="2084"/>
      <c r="J1029" s="2084"/>
      <c r="K1029" s="2084"/>
      <c r="L1029" s="2393">
        <f>ROUNDUP('Part V-Revenues &amp; Expenses'!$P$67*M1029,0)</f>
        <v>2</v>
      </c>
      <c r="M1029" s="2394">
        <f>'DCA Underwriting Assumptions'!$Q$149</f>
        <v>0.02</v>
      </c>
      <c r="N1029" s="2386" t="s">
        <v>1558</v>
      </c>
      <c r="O1029" s="2378"/>
      <c r="P1029" s="2089">
        <f>'Part VII-Threshold Criteria'!P186</f>
        <v>2</v>
      </c>
      <c r="Q1029" s="2089"/>
    </row>
    <row r="1030" spans="1:17" ht="15">
      <c r="A1030" s="2373" t="s">
        <v>230</v>
      </c>
      <c r="B1030" s="2372" t="s">
        <v>1562</v>
      </c>
      <c r="C1030" s="2085"/>
      <c r="D1030" s="2085"/>
      <c r="E1030" s="2085"/>
      <c r="F1030" s="2085"/>
      <c r="G1030" s="2085"/>
      <c r="H1030" s="2085"/>
      <c r="I1030" s="2085"/>
      <c r="J1030" s="2085"/>
      <c r="K1030" s="2084"/>
      <c r="L1030" s="2393"/>
      <c r="M1030" s="2394"/>
      <c r="N1030" s="2386"/>
      <c r="O1030" s="2378"/>
      <c r="P1030" s="2378"/>
      <c r="Q1030" s="2378"/>
    </row>
    <row r="1031" spans="1:17" ht="15">
      <c r="A1031" s="2373"/>
      <c r="B1031" s="2084" t="s">
        <v>1563</v>
      </c>
      <c r="C1031" s="2084"/>
      <c r="D1031" s="2084"/>
      <c r="E1031" s="2084"/>
      <c r="F1031" s="2084"/>
      <c r="G1031" s="2084"/>
      <c r="H1031" s="2084"/>
      <c r="I1031" s="2084"/>
      <c r="J1031" s="2084"/>
      <c r="K1031" s="2084"/>
      <c r="L1031" s="2084"/>
      <c r="M1031" s="2400" t="str">
        <f>'Part VII-Threshold Criteria'!M188</f>
        <v>Terry Kitay - Baker, Donelson, Bearman, Caldwell &amp; Berkowitz, PC</v>
      </c>
      <c r="N1031" s="2400"/>
      <c r="O1031" s="2400"/>
      <c r="P1031" s="2400"/>
      <c r="Q1031" s="2400"/>
    </row>
    <row r="1032" spans="1:17" ht="15">
      <c r="A1032" s="2373"/>
      <c r="B1032" s="2084"/>
      <c r="C1032" s="2084"/>
      <c r="D1032" s="2084" t="s">
        <v>1565</v>
      </c>
      <c r="E1032" s="2084"/>
      <c r="F1032" s="2084"/>
      <c r="G1032" s="2084"/>
      <c r="H1032" s="2084"/>
      <c r="I1032" s="2084"/>
      <c r="J1032" s="2084"/>
      <c r="K1032" s="2084"/>
      <c r="L1032" s="2084"/>
      <c r="M1032" s="2084"/>
      <c r="N1032" s="2084"/>
      <c r="O1032" s="2378"/>
      <c r="P1032" s="2087" t="str">
        <f>'Part VII-Threshold Criteria'!P189</f>
        <v>No</v>
      </c>
      <c r="Q1032" s="2087"/>
    </row>
    <row r="1033" spans="1:17" ht="15">
      <c r="A1033" s="2373"/>
      <c r="B1033" s="2084"/>
      <c r="C1033" s="2084"/>
      <c r="D1033" s="2084" t="s">
        <v>1566</v>
      </c>
      <c r="E1033" s="2084"/>
      <c r="F1033" s="2084"/>
      <c r="G1033" s="2084"/>
      <c r="H1033" s="2084"/>
      <c r="I1033" s="2084"/>
      <c r="J1033" s="2084"/>
      <c r="K1033" s="2084"/>
      <c r="L1033" s="2084"/>
      <c r="M1033" s="2084"/>
      <c r="N1033" s="2084"/>
      <c r="O1033" s="2378"/>
      <c r="P1033" s="2087" t="str">
        <f>'Part VII-Threshold Criteria'!P190</f>
        <v>No</v>
      </c>
      <c r="Q1033" s="2087"/>
    </row>
    <row r="1034" spans="1:17" ht="15">
      <c r="A1034" s="2084"/>
      <c r="B1034" s="2375" t="s">
        <v>1450</v>
      </c>
      <c r="C1034" s="2084"/>
      <c r="D1034" s="2375"/>
      <c r="E1034" s="2375"/>
      <c r="F1034" s="2375"/>
      <c r="G1034" s="2375"/>
      <c r="H1034" s="2085"/>
      <c r="I1034" s="2086"/>
      <c r="J1034" s="2086"/>
      <c r="K1034" s="2086"/>
      <c r="L1034" s="2087"/>
      <c r="M1034" s="2087"/>
      <c r="N1034" s="2087"/>
      <c r="O1034" s="2087"/>
      <c r="P1034" s="2087"/>
      <c r="Q1034" s="2087"/>
    </row>
    <row r="1035" spans="1:17" ht="14.25">
      <c r="A1035" s="2084" t="str">
        <f>'Part VII-Threshold Criteria'!A192</f>
        <v xml:space="preserve">The development will comply with the required standards.  We are committed to providing 10% of our units for Supportive Services Referrals.  There will be 6 units adaptable under scoring requirements.  We are also committed to providing an additional 6 units that meet the mobility and sensory impairment requirements, with 6 being for mobility, 3 with curbless showers, and 2 more that are for hearing and sight-impaired residents.  </v>
      </c>
      <c r="B1035" s="2084"/>
      <c r="C1035" s="2084"/>
      <c r="D1035" s="2084"/>
      <c r="E1035" s="2084"/>
      <c r="F1035" s="2084"/>
      <c r="G1035" s="2084"/>
      <c r="H1035" s="2084"/>
      <c r="I1035" s="2084"/>
      <c r="J1035" s="2084"/>
      <c r="K1035" s="2084"/>
      <c r="L1035" s="2084"/>
      <c r="M1035" s="2084"/>
      <c r="N1035" s="2084"/>
      <c r="O1035" s="2084"/>
      <c r="P1035" s="2084"/>
      <c r="Q1035" s="2084"/>
    </row>
    <row r="1036" spans="1:17" ht="14.25">
      <c r="A1036" s="2084"/>
      <c r="B1036" s="2374" t="s">
        <v>1447</v>
      </c>
      <c r="C1036" s="2374"/>
      <c r="D1036" s="2085"/>
      <c r="E1036" s="2085"/>
      <c r="F1036" s="2085"/>
      <c r="G1036" s="2085"/>
      <c r="H1036" s="2085"/>
      <c r="I1036" s="2085"/>
      <c r="J1036" s="2085"/>
      <c r="K1036" s="2085"/>
      <c r="L1036" s="2085"/>
      <c r="M1036" s="2085"/>
      <c r="N1036" s="2085"/>
      <c r="O1036" s="2085"/>
      <c r="P1036" s="2085"/>
      <c r="Q1036" s="2085"/>
    </row>
    <row r="1037" spans="1:17" ht="14.25">
      <c r="A1037" s="2084"/>
      <c r="B1037" s="2084"/>
      <c r="C1037" s="2084"/>
      <c r="D1037" s="2084"/>
      <c r="E1037" s="2084"/>
      <c r="F1037" s="2084"/>
      <c r="G1037" s="2084"/>
      <c r="H1037" s="2084"/>
      <c r="I1037" s="2084"/>
      <c r="J1037" s="2084"/>
      <c r="K1037" s="2084"/>
      <c r="L1037" s="2084"/>
      <c r="M1037" s="2084"/>
      <c r="N1037" s="2084"/>
      <c r="O1037" s="2084"/>
      <c r="P1037" s="2084"/>
      <c r="Q1037" s="2084"/>
    </row>
    <row r="1038" spans="1:17" ht="14.25">
      <c r="A1038" s="2085"/>
      <c r="B1038" s="2085"/>
      <c r="C1038" s="2085"/>
      <c r="D1038" s="2085"/>
      <c r="E1038" s="2085"/>
      <c r="F1038" s="2085"/>
      <c r="G1038" s="2085"/>
      <c r="H1038" s="2085"/>
      <c r="I1038" s="2085"/>
      <c r="J1038" s="2085"/>
      <c r="K1038" s="2085"/>
      <c r="L1038" s="2085"/>
      <c r="M1038" s="2085"/>
      <c r="N1038" s="2085"/>
      <c r="O1038" s="2085"/>
      <c r="P1038" s="2085"/>
      <c r="Q1038" s="2085"/>
    </row>
    <row r="1039" spans="1:17" ht="14.25">
      <c r="A1039" s="2084"/>
      <c r="B1039" s="2085"/>
      <c r="C1039" s="2085"/>
      <c r="D1039" s="2085"/>
      <c r="E1039" s="2085"/>
      <c r="F1039" s="2085"/>
      <c r="G1039" s="2085"/>
      <c r="H1039" s="2085"/>
      <c r="I1039" s="2085"/>
      <c r="J1039" s="2085"/>
      <c r="K1039" s="2085"/>
      <c r="L1039" s="2085"/>
      <c r="M1039" s="2085"/>
      <c r="N1039" s="2085"/>
      <c r="O1039" s="2085"/>
      <c r="P1039" s="2085"/>
      <c r="Q1039" s="2085"/>
    </row>
    <row r="1040" spans="1:17" ht="15">
      <c r="A1040" s="2372" t="s">
        <v>1568</v>
      </c>
      <c r="B1040" s="2089" t="s">
        <v>1569</v>
      </c>
      <c r="C1040" s="2089"/>
      <c r="D1040" s="2089"/>
      <c r="E1040" s="2089"/>
      <c r="F1040" s="2089"/>
      <c r="G1040" s="2089"/>
      <c r="H1040" s="2085"/>
      <c r="I1040" s="2085"/>
      <c r="J1040" s="2085"/>
      <c r="K1040" s="2085"/>
      <c r="L1040" s="2085"/>
      <c r="M1040" s="2085"/>
      <c r="N1040" s="2084"/>
      <c r="O1040" s="2373" t="s">
        <v>1444</v>
      </c>
      <c r="P1040" s="2089"/>
      <c r="Q1040" s="2089"/>
    </row>
    <row r="1041" spans="1:17" ht="15">
      <c r="A1041" s="2084"/>
      <c r="B1041" s="2084" t="s">
        <v>1532</v>
      </c>
      <c r="C1041" s="2084"/>
      <c r="D1041" s="2084"/>
      <c r="E1041" s="2084"/>
      <c r="F1041" s="2084"/>
      <c r="G1041" s="2084"/>
      <c r="H1041" s="2084"/>
      <c r="I1041" s="2084"/>
      <c r="J1041" s="2084"/>
      <c r="K1041" s="2084"/>
      <c r="L1041" s="2084"/>
      <c r="M1041" s="2084"/>
      <c r="N1041" s="2084"/>
      <c r="O1041" s="2084"/>
      <c r="P1041" s="2089" t="str">
        <f>'Part VII-Threshold Criteria'!P198</f>
        <v>No</v>
      </c>
      <c r="Q1041" s="2089"/>
    </row>
    <row r="1042" spans="1:17" ht="14.1" customHeight="1">
      <c r="A1042" s="2084"/>
      <c r="B1042" s="2084" t="s">
        <v>1570</v>
      </c>
      <c r="C1042" s="2084"/>
      <c r="D1042" s="2084"/>
      <c r="E1042" s="2084"/>
      <c r="F1042" s="2084"/>
      <c r="G1042" s="2084"/>
      <c r="H1042" s="2084"/>
      <c r="I1042" s="2084"/>
      <c r="J1042" s="2084"/>
      <c r="K1042" s="2084"/>
      <c r="L1042" s="2084"/>
      <c r="M1042" s="2084"/>
      <c r="N1042" s="2084"/>
      <c r="O1042" s="2084"/>
      <c r="P1042" s="2089" t="str">
        <f>'Part VII-Threshold Criteria'!P199</f>
        <v>Yes</v>
      </c>
      <c r="Q1042" s="2089"/>
    </row>
    <row r="1043" spans="1:17" ht="15">
      <c r="A1043" s="2373" t="s">
        <v>197</v>
      </c>
      <c r="B1043" s="2089" t="s">
        <v>1571</v>
      </c>
      <c r="C1043" s="2084"/>
      <c r="D1043" s="2089"/>
      <c r="E1043" s="2089"/>
      <c r="F1043" s="2089"/>
      <c r="G1043" s="2089"/>
      <c r="H1043" s="2089"/>
      <c r="I1043" s="2089"/>
      <c r="J1043" s="2089"/>
      <c r="K1043" s="2089"/>
      <c r="L1043" s="2089"/>
      <c r="M1043" s="2089"/>
      <c r="N1043" s="2084"/>
      <c r="O1043" s="2378"/>
      <c r="P1043" s="2087"/>
      <c r="Q1043" s="2087"/>
    </row>
    <row r="1044" spans="1:17" ht="14.1" customHeight="1">
      <c r="A1044" s="2084"/>
      <c r="B1044" s="2384" t="s">
        <v>1521</v>
      </c>
      <c r="C1044" s="2371" t="s">
        <v>1572</v>
      </c>
      <c r="D1044" s="2371"/>
      <c r="E1044" s="2371"/>
      <c r="F1044" s="2371" t="str">
        <f>'Part VII-Threshold Criteria'!F201</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44" s="2371"/>
      <c r="H1044" s="2371"/>
      <c r="I1044" s="2371"/>
      <c r="J1044" s="2371"/>
      <c r="K1044" s="2371"/>
      <c r="L1044" s="2371"/>
      <c r="M1044" s="2371"/>
      <c r="N1044" s="2371"/>
      <c r="O1044" s="2371"/>
      <c r="P1044" s="2371"/>
      <c r="Q1044" s="2371"/>
    </row>
    <row r="1045" spans="1:17" ht="14.1" customHeight="1">
      <c r="A1045" s="2084"/>
      <c r="B1045" s="2384" t="s">
        <v>1524</v>
      </c>
      <c r="C1045" s="2371" t="s">
        <v>1574</v>
      </c>
      <c r="D1045" s="2371"/>
      <c r="E1045" s="2371"/>
      <c r="F1045" s="2371"/>
      <c r="G1045" s="2371"/>
      <c r="H1045" s="2371" t="str">
        <f>'Part VII-Threshold Criteria'!H202</f>
        <v xml:space="preserve">Fiber cement siding or other thirty year warranty product installed on all exterior wall surfaces not already required to be brick </v>
      </c>
      <c r="I1045" s="2371"/>
      <c r="J1045" s="2371"/>
      <c r="K1045" s="2371"/>
      <c r="L1045" s="2371"/>
      <c r="M1045" s="2371"/>
      <c r="N1045" s="2371"/>
      <c r="O1045" s="2371"/>
      <c r="P1045" s="2371"/>
      <c r="Q1045" s="2371"/>
    </row>
    <row r="1046" spans="1:17" ht="14.1" customHeight="1">
      <c r="A1046" s="2373"/>
      <c r="B1046" s="2384" t="s">
        <v>1526</v>
      </c>
      <c r="C1046" s="2084" t="s">
        <v>1576</v>
      </c>
      <c r="D1046" s="2084"/>
      <c r="E1046" s="2084"/>
      <c r="F1046" s="2084"/>
      <c r="G1046" s="2084"/>
      <c r="H1046" s="2084"/>
      <c r="I1046" s="2084"/>
      <c r="J1046" s="2084"/>
      <c r="K1046" s="2084"/>
      <c r="L1046" s="2084"/>
      <c r="M1046" s="2084"/>
      <c r="N1046" s="2084"/>
      <c r="O1046" s="2084"/>
      <c r="P1046" s="2084"/>
      <c r="Q1046" s="2084"/>
    </row>
    <row r="1047" spans="1:17" ht="15">
      <c r="A1047" s="2373"/>
      <c r="B1047" s="2378"/>
      <c r="C1047" s="2084" t="str">
        <f>'Part VII-Threshold Criteria'!C204</f>
        <v>N/A</v>
      </c>
      <c r="D1047" s="2084"/>
      <c r="E1047" s="2084"/>
      <c r="F1047" s="2084"/>
      <c r="G1047" s="2084"/>
      <c r="H1047" s="2084"/>
      <c r="I1047" s="2084"/>
      <c r="J1047" s="2084"/>
      <c r="K1047" s="2084"/>
      <c r="L1047" s="2084"/>
      <c r="M1047" s="2084"/>
      <c r="N1047" s="2084"/>
      <c r="O1047" s="2084"/>
      <c r="P1047" s="2084"/>
      <c r="Q1047" s="2084"/>
    </row>
    <row r="1048" spans="1:17" ht="15">
      <c r="A1048" s="2373"/>
      <c r="B1048" s="2378"/>
      <c r="C1048" s="2084">
        <f>'Part VII-Threshold Criteria'!C205</f>
        <v>0</v>
      </c>
      <c r="D1048" s="2084"/>
      <c r="E1048" s="2084"/>
      <c r="F1048" s="2084"/>
      <c r="G1048" s="2084"/>
      <c r="H1048" s="2084"/>
      <c r="I1048" s="2084"/>
      <c r="J1048" s="2084"/>
      <c r="K1048" s="2084"/>
      <c r="L1048" s="2084"/>
      <c r="M1048" s="2084"/>
      <c r="N1048" s="2084"/>
      <c r="O1048" s="2084"/>
      <c r="P1048" s="2084"/>
      <c r="Q1048" s="2084"/>
    </row>
    <row r="1049" spans="1:17" ht="15">
      <c r="A1049" s="2084"/>
      <c r="B1049" s="2375" t="s">
        <v>1450</v>
      </c>
      <c r="C1049" s="2084"/>
      <c r="D1049" s="2375"/>
      <c r="E1049" s="2375"/>
      <c r="F1049" s="2375"/>
      <c r="G1049" s="2375"/>
      <c r="H1049" s="2085"/>
      <c r="I1049" s="2086"/>
      <c r="J1049" s="2086"/>
      <c r="K1049" s="2086"/>
      <c r="L1049" s="2087"/>
      <c r="M1049" s="2087"/>
      <c r="N1049" s="2087"/>
      <c r="O1049" s="2087"/>
      <c r="P1049" s="2087"/>
      <c r="Q1049" s="2087"/>
    </row>
    <row r="1050" spans="1:17" ht="14.25">
      <c r="A1050" s="2084" t="str">
        <f>'Part VII-Threshold Criteria'!A207</f>
        <v>The development will comply with the required standards.</v>
      </c>
      <c r="B1050" s="2084"/>
      <c r="C1050" s="2084"/>
      <c r="D1050" s="2084"/>
      <c r="E1050" s="2084"/>
      <c r="F1050" s="2084"/>
      <c r="G1050" s="2084"/>
      <c r="H1050" s="2084"/>
      <c r="I1050" s="2084"/>
      <c r="J1050" s="2084"/>
      <c r="K1050" s="2084"/>
      <c r="L1050" s="2084"/>
      <c r="M1050" s="2084"/>
      <c r="N1050" s="2084"/>
      <c r="O1050" s="2084"/>
      <c r="P1050" s="2084"/>
      <c r="Q1050" s="2084"/>
    </row>
    <row r="1051" spans="1:17" ht="14.25">
      <c r="A1051" s="2084"/>
      <c r="B1051" s="2374" t="s">
        <v>1447</v>
      </c>
      <c r="C1051" s="2374"/>
      <c r="D1051" s="2085"/>
      <c r="E1051" s="2085"/>
      <c r="F1051" s="2085"/>
      <c r="G1051" s="2085"/>
      <c r="H1051" s="2085"/>
      <c r="I1051" s="2085"/>
      <c r="J1051" s="2085"/>
      <c r="K1051" s="2085"/>
      <c r="L1051" s="2085"/>
      <c r="M1051" s="2085"/>
      <c r="N1051" s="2085"/>
      <c r="O1051" s="2085"/>
      <c r="P1051" s="2085"/>
      <c r="Q1051" s="2085"/>
    </row>
    <row r="1052" spans="1:17" ht="14.25">
      <c r="A1052" s="2084"/>
      <c r="B1052" s="2084"/>
      <c r="C1052" s="2084"/>
      <c r="D1052" s="2084"/>
      <c r="E1052" s="2084"/>
      <c r="F1052" s="2084"/>
      <c r="G1052" s="2084"/>
      <c r="H1052" s="2084"/>
      <c r="I1052" s="2084"/>
      <c r="J1052" s="2084"/>
      <c r="K1052" s="2084"/>
      <c r="L1052" s="2084"/>
      <c r="M1052" s="2084"/>
      <c r="N1052" s="2084"/>
      <c r="O1052" s="2084"/>
      <c r="P1052" s="2084"/>
      <c r="Q1052" s="2084"/>
    </row>
    <row r="1053" spans="1:17" ht="14.25">
      <c r="A1053" s="2085"/>
      <c r="B1053" s="2085"/>
      <c r="C1053" s="2085"/>
      <c r="D1053" s="2085"/>
      <c r="E1053" s="2085"/>
      <c r="F1053" s="2085"/>
      <c r="G1053" s="2085"/>
      <c r="H1053" s="2085"/>
      <c r="I1053" s="2085"/>
      <c r="J1053" s="2085"/>
      <c r="K1053" s="2085"/>
      <c r="L1053" s="2085"/>
      <c r="M1053" s="2085"/>
      <c r="N1053" s="2085"/>
      <c r="O1053" s="2085"/>
      <c r="P1053" s="2085"/>
      <c r="Q1053" s="2085"/>
    </row>
    <row r="1054" spans="1:17" ht="14.25">
      <c r="A1054" s="2084"/>
      <c r="B1054" s="2085"/>
      <c r="C1054" s="2085"/>
      <c r="D1054" s="2085"/>
      <c r="E1054" s="2085"/>
      <c r="F1054" s="2085"/>
      <c r="G1054" s="2085"/>
      <c r="H1054" s="2085"/>
      <c r="I1054" s="2085"/>
      <c r="J1054" s="2085"/>
      <c r="K1054" s="2085"/>
      <c r="L1054" s="2085"/>
      <c r="M1054" s="2085"/>
      <c r="N1054" s="2085"/>
      <c r="O1054" s="2085"/>
      <c r="P1054" s="2085"/>
      <c r="Q1054" s="2085"/>
    </row>
    <row r="1055" spans="1:17" ht="15">
      <c r="A1055" s="2372" t="s">
        <v>1578</v>
      </c>
      <c r="B1055" s="2372" t="s">
        <v>1579</v>
      </c>
      <c r="C1055" s="2372"/>
      <c r="D1055" s="2085"/>
      <c r="E1055" s="2085"/>
      <c r="F1055" s="2085"/>
      <c r="G1055" s="2085"/>
      <c r="H1055" s="2085"/>
      <c r="I1055" s="2084"/>
      <c r="J1055" s="2084"/>
      <c r="K1055" s="2084"/>
      <c r="L1055" s="2084"/>
      <c r="M1055" s="2084"/>
      <c r="N1055" s="2084"/>
      <c r="O1055" s="2373" t="s">
        <v>1444</v>
      </c>
      <c r="P1055" s="2089"/>
      <c r="Q1055" s="2089"/>
    </row>
    <row r="1056" spans="1:17" ht="15">
      <c r="A1056" s="2373"/>
      <c r="B1056" s="2084" t="s">
        <v>1580</v>
      </c>
      <c r="C1056" s="2084"/>
      <c r="D1056" s="2084"/>
      <c r="E1056" s="2084"/>
      <c r="F1056" s="2084"/>
      <c r="G1056" s="2084"/>
      <c r="H1056" s="2084"/>
      <c r="I1056" s="2084"/>
      <c r="J1056" s="2084"/>
      <c r="K1056" s="2084"/>
      <c r="L1056" s="2084"/>
      <c r="M1056" s="2084"/>
      <c r="N1056" s="2084"/>
      <c r="O1056" s="2378"/>
      <c r="P1056" s="2084" t="str">
        <f>'Part VII-Threshold Criteria'!P213</f>
        <v>Yes - see Comment</v>
      </c>
      <c r="Q1056" s="2084"/>
    </row>
    <row r="1057" spans="1:17" ht="15">
      <c r="A1057" s="2373"/>
      <c r="B1057" s="2084" t="s">
        <v>1582</v>
      </c>
      <c r="C1057" s="2084"/>
      <c r="D1057" s="2084"/>
      <c r="E1057" s="2084"/>
      <c r="F1057" s="2084"/>
      <c r="G1057" s="2084"/>
      <c r="H1057" s="2084"/>
      <c r="I1057" s="2084"/>
      <c r="J1057" s="2084"/>
      <c r="K1057" s="2084"/>
      <c r="L1057" s="2084"/>
      <c r="M1057" s="2084"/>
      <c r="N1057" s="2084"/>
      <c r="O1057" s="2378"/>
      <c r="P1057" s="2084" t="str">
        <f>'Part VII-Threshold Criteria'!P214</f>
        <v>Yes - see Comment</v>
      </c>
      <c r="Q1057" s="2084"/>
    </row>
    <row r="1058" spans="1:17" ht="15">
      <c r="A1058" s="2373"/>
      <c r="B1058" s="2084" t="s">
        <v>1583</v>
      </c>
      <c r="C1058" s="2084"/>
      <c r="D1058" s="2084"/>
      <c r="E1058" s="2084"/>
      <c r="F1058" s="2084"/>
      <c r="G1058" s="2084"/>
      <c r="H1058" s="2084"/>
      <c r="I1058" s="2084"/>
      <c r="J1058" s="2084"/>
      <c r="K1058" s="2086"/>
      <c r="L1058" s="2084"/>
      <c r="M1058" s="2378"/>
      <c r="N1058" s="2084"/>
      <c r="O1058" s="2084"/>
      <c r="P1058" s="2084" t="str">
        <f>'Part VII-Threshold Criteria'!P215</f>
        <v>No</v>
      </c>
      <c r="Q1058" s="2084"/>
    </row>
    <row r="1059" spans="1:17" ht="14.1" customHeight="1">
      <c r="A1059" s="2373"/>
      <c r="B1059" s="2084" t="s">
        <v>1584</v>
      </c>
      <c r="C1059" s="2084"/>
      <c r="D1059" s="2084"/>
      <c r="E1059" s="2084"/>
      <c r="F1059" s="2084"/>
      <c r="G1059" s="2084"/>
      <c r="H1059" s="2084"/>
      <c r="I1059" s="2084"/>
      <c r="J1059" s="2084"/>
      <c r="K1059" s="2084"/>
      <c r="L1059" s="2084"/>
      <c r="M1059" s="2084"/>
      <c r="N1059" s="2084"/>
      <c r="O1059" s="2084"/>
      <c r="P1059" s="2084" t="str">
        <f>'Part VII-Threshold Criteria'!P216</f>
        <v>No</v>
      </c>
      <c r="Q1059" s="2084"/>
    </row>
    <row r="1060" spans="1:17" ht="15">
      <c r="A1060" s="2373"/>
      <c r="B1060" s="2084" t="s">
        <v>1585</v>
      </c>
      <c r="C1060" s="2084"/>
      <c r="D1060" s="2084"/>
      <c r="E1060" s="2084"/>
      <c r="F1060" s="2084"/>
      <c r="G1060" s="2084"/>
      <c r="H1060" s="2084"/>
      <c r="I1060" s="2084"/>
      <c r="J1060" s="2084"/>
      <c r="K1060" s="2084"/>
      <c r="L1060" s="2084"/>
      <c r="M1060" s="2084"/>
      <c r="N1060" s="2084"/>
      <c r="O1060" s="2084" t="str">
        <f>'Part VII-Threshold Criteria'!O217</f>
        <v>Qualified</v>
      </c>
      <c r="P1060" s="2084"/>
      <c r="Q1060" s="2084"/>
    </row>
    <row r="1061" spans="1:17" ht="15">
      <c r="A1061" s="2373"/>
      <c r="B1061" s="2089" t="s">
        <v>1587</v>
      </c>
      <c r="C1061" s="2084"/>
      <c r="D1061" s="2084"/>
      <c r="E1061" s="2084"/>
      <c r="F1061" s="2084"/>
      <c r="G1061" s="2089"/>
      <c r="H1061" s="2089"/>
      <c r="I1061" s="2089"/>
      <c r="J1061" s="2089"/>
      <c r="K1061" s="2089"/>
      <c r="L1061" s="2089"/>
      <c r="M1061" s="2084"/>
      <c r="N1061" s="2084"/>
      <c r="O1061" s="2084"/>
      <c r="P1061" s="2084"/>
      <c r="Q1061" s="2084"/>
    </row>
    <row r="1062" spans="1:17" ht="15">
      <c r="A1062" s="2084"/>
      <c r="B1062" s="2375" t="s">
        <v>1450</v>
      </c>
      <c r="C1062" s="2084"/>
      <c r="D1062" s="2375"/>
      <c r="E1062" s="2375"/>
      <c r="F1062" s="2375"/>
      <c r="G1062" s="2375"/>
      <c r="H1062" s="2085"/>
      <c r="I1062" s="2086"/>
      <c r="J1062" s="2086"/>
      <c r="K1062" s="2086"/>
      <c r="L1062" s="2087"/>
      <c r="M1062" s="2087"/>
      <c r="N1062" s="2087"/>
      <c r="O1062" s="2087"/>
      <c r="P1062" s="2087"/>
      <c r="Q1062" s="2087"/>
    </row>
    <row r="1063" spans="1:17" ht="14.25">
      <c r="A1063" s="2084" t="str">
        <f>'Part VII-Threshold Criteria'!A220</f>
        <v>Applicant was deemed qualified on its pre-application determination request. The Certifying Entity met the Experience requirements in 2023 with its Wilshire II Application. It was deemed Qualified with its Qualification Determination request for Finley Place during the Pre-Application round.</v>
      </c>
      <c r="B1063" s="2084"/>
      <c r="C1063" s="2084"/>
      <c r="D1063" s="2084"/>
      <c r="E1063" s="2084"/>
      <c r="F1063" s="2084"/>
      <c r="G1063" s="2084"/>
      <c r="H1063" s="2084"/>
      <c r="I1063" s="2084"/>
      <c r="J1063" s="2084"/>
      <c r="K1063" s="2084"/>
      <c r="L1063" s="2084"/>
      <c r="M1063" s="2084"/>
      <c r="N1063" s="2084"/>
      <c r="O1063" s="2084"/>
      <c r="P1063" s="2084"/>
      <c r="Q1063" s="2084"/>
    </row>
    <row r="1064" spans="1:17" ht="14.25">
      <c r="A1064" s="2084"/>
      <c r="B1064" s="2374" t="s">
        <v>1447</v>
      </c>
      <c r="C1064" s="2374"/>
      <c r="D1064" s="2085"/>
      <c r="E1064" s="2085"/>
      <c r="F1064" s="2085"/>
      <c r="G1064" s="2085"/>
      <c r="H1064" s="2085"/>
      <c r="I1064" s="2085"/>
      <c r="J1064" s="2085"/>
      <c r="K1064" s="2085"/>
      <c r="L1064" s="2085"/>
      <c r="M1064" s="2085"/>
      <c r="N1064" s="2085"/>
      <c r="O1064" s="2084"/>
      <c r="P1064" s="2085"/>
      <c r="Q1064" s="2085"/>
    </row>
    <row r="1065" spans="1:17" ht="14.25">
      <c r="A1065" s="2084"/>
      <c r="B1065" s="2084"/>
      <c r="C1065" s="2084"/>
      <c r="D1065" s="2084"/>
      <c r="E1065" s="2084"/>
      <c r="F1065" s="2084"/>
      <c r="G1065" s="2084"/>
      <c r="H1065" s="2084"/>
      <c r="I1065" s="2084"/>
      <c r="J1065" s="2084"/>
      <c r="K1065" s="2084"/>
      <c r="L1065" s="2084"/>
      <c r="M1065" s="2084"/>
      <c r="N1065" s="2084"/>
      <c r="O1065" s="2084"/>
      <c r="P1065" s="2084"/>
      <c r="Q1065" s="2084"/>
    </row>
    <row r="1066" spans="1:17" ht="15">
      <c r="A1066" s="2087"/>
      <c r="B1066" s="2086"/>
      <c r="C1066" s="2085"/>
      <c r="D1066" s="2085"/>
      <c r="E1066" s="2085"/>
      <c r="F1066" s="2085"/>
      <c r="G1066" s="2085"/>
      <c r="H1066" s="2085"/>
      <c r="I1066" s="2085"/>
      <c r="J1066" s="2085"/>
      <c r="K1066" s="2085"/>
      <c r="L1066" s="2085"/>
      <c r="M1066" s="2085"/>
      <c r="N1066" s="2085"/>
      <c r="O1066" s="2085"/>
      <c r="P1066" s="2085"/>
      <c r="Q1066" s="2087"/>
    </row>
    <row r="1067" spans="1:17" ht="15">
      <c r="A1067" s="2084"/>
      <c r="B1067" s="2086"/>
      <c r="C1067" s="2085"/>
      <c r="D1067" s="2085"/>
      <c r="E1067" s="2085"/>
      <c r="F1067" s="2085"/>
      <c r="G1067" s="2085"/>
      <c r="H1067" s="2085"/>
      <c r="I1067" s="2085"/>
      <c r="J1067" s="2085"/>
      <c r="K1067" s="2085"/>
      <c r="L1067" s="2085"/>
      <c r="M1067" s="2085"/>
      <c r="N1067" s="2085"/>
      <c r="O1067" s="2085"/>
      <c r="P1067" s="2085"/>
      <c r="Q1067" s="2087"/>
    </row>
    <row r="1068" spans="1:17" ht="15">
      <c r="A1068" s="2372" t="s">
        <v>1589</v>
      </c>
      <c r="B1068" s="2089" t="s">
        <v>1590</v>
      </c>
      <c r="C1068" s="2089"/>
      <c r="D1068" s="2089"/>
      <c r="E1068" s="2089"/>
      <c r="F1068" s="2089"/>
      <c r="G1068" s="2089"/>
      <c r="H1068" s="2085"/>
      <c r="I1068" s="2085"/>
      <c r="J1068" s="2085"/>
      <c r="K1068" s="2085"/>
      <c r="L1068" s="2085"/>
      <c r="M1068" s="2085"/>
      <c r="N1068" s="2378"/>
      <c r="O1068" s="2373" t="s">
        <v>1444</v>
      </c>
      <c r="P1068" s="2089"/>
      <c r="Q1068" s="2089"/>
    </row>
    <row r="1069" spans="1:17" ht="14.1" customHeight="1">
      <c r="A1069" s="2372"/>
      <c r="B1069" s="2084" t="s">
        <v>1591</v>
      </c>
      <c r="C1069" s="2084"/>
      <c r="D1069" s="2084"/>
      <c r="E1069" s="2084"/>
      <c r="F1069" s="2084"/>
      <c r="G1069" s="2084"/>
      <c r="H1069" s="2084"/>
      <c r="I1069" s="2084"/>
      <c r="J1069" s="2084"/>
      <c r="K1069" s="2084"/>
      <c r="L1069" s="2084"/>
      <c r="M1069" s="2084"/>
      <c r="N1069" s="2084"/>
      <c r="O1069" s="2084"/>
      <c r="P1069" s="2089">
        <f>'Part VII-Threshold Criteria'!P226</f>
        <v>0</v>
      </c>
      <c r="Q1069" s="2089"/>
    </row>
    <row r="1070" spans="1:17" ht="15">
      <c r="A1070" s="2114" t="s">
        <v>197</v>
      </c>
      <c r="B1070" s="2381" t="s">
        <v>1592</v>
      </c>
      <c r="C1070" s="2381"/>
      <c r="D1070" s="2381"/>
      <c r="E1070" s="2381"/>
      <c r="F1070" s="2381"/>
      <c r="G1070" s="2381"/>
      <c r="H1070" s="2381"/>
      <c r="I1070" s="2381"/>
      <c r="J1070" s="2381"/>
      <c r="K1070" s="2381"/>
      <c r="L1070" s="2381"/>
      <c r="M1070" s="2381"/>
      <c r="N1070" s="2381"/>
      <c r="O1070" s="2381"/>
      <c r="P1070" s="2381"/>
      <c r="Q1070" s="2381"/>
    </row>
    <row r="1071" spans="1:17" ht="14.1" customHeight="1">
      <c r="A1071" s="2114"/>
      <c r="B1071" s="2085"/>
      <c r="C1071" s="2568" t="s">
        <v>1593</v>
      </c>
      <c r="D1071" s="2382"/>
      <c r="E1071" s="2382"/>
      <c r="F1071" s="2085"/>
      <c r="G1071" s="2371" t="s">
        <v>1594</v>
      </c>
      <c r="H1071" s="2371"/>
      <c r="I1071" s="2371"/>
      <c r="J1071" s="2371"/>
      <c r="K1071" s="2371"/>
      <c r="L1071" s="2371"/>
      <c r="M1071" s="2371"/>
      <c r="N1071" s="2371"/>
      <c r="O1071" s="2371"/>
      <c r="P1071" s="2087">
        <f>'Part VII-Threshold Criteria'!P228</f>
        <v>0</v>
      </c>
      <c r="Q1071" s="2087"/>
    </row>
    <row r="1072" spans="1:17" ht="14.1" customHeight="1">
      <c r="A1072" s="2114"/>
      <c r="B1072" s="2085"/>
      <c r="C1072" s="2371" t="s">
        <v>1595</v>
      </c>
      <c r="D1072" s="2371"/>
      <c r="E1072" s="2371"/>
      <c r="F1072" s="2371"/>
      <c r="G1072" s="2371" t="s">
        <v>1596</v>
      </c>
      <c r="H1072" s="2371"/>
      <c r="I1072" s="2371"/>
      <c r="J1072" s="2371"/>
      <c r="K1072" s="2371"/>
      <c r="L1072" s="2371"/>
      <c r="M1072" s="2371"/>
      <c r="N1072" s="2371"/>
      <c r="O1072" s="2371"/>
      <c r="P1072" s="2087">
        <f>'Part VII-Threshold Criteria'!P229</f>
        <v>0</v>
      </c>
      <c r="Q1072" s="2087"/>
    </row>
    <row r="1073" spans="1:17" ht="14.1" customHeight="1">
      <c r="A1073" s="2114" t="s">
        <v>209</v>
      </c>
      <c r="B1073" s="2371" t="s">
        <v>2279</v>
      </c>
      <c r="C1073" s="2371"/>
      <c r="D1073" s="2371"/>
      <c r="E1073" s="2371"/>
      <c r="F1073" s="2371"/>
      <c r="G1073" s="2371"/>
      <c r="H1073" s="2371"/>
      <c r="I1073" s="2371"/>
      <c r="J1073" s="2371"/>
      <c r="K1073" s="2371"/>
      <c r="L1073" s="2371"/>
      <c r="M1073" s="2371"/>
      <c r="N1073" s="2371"/>
      <c r="O1073" s="2371"/>
      <c r="P1073" s="2087">
        <f>'Part VII-Threshold Criteria'!P230</f>
        <v>0</v>
      </c>
      <c r="Q1073" s="2087"/>
    </row>
    <row r="1074" spans="1:17" ht="15">
      <c r="A1074" s="2373" t="s">
        <v>230</v>
      </c>
      <c r="B1074" s="2084" t="s">
        <v>2280</v>
      </c>
      <c r="C1074" s="2084"/>
      <c r="D1074" s="2084"/>
      <c r="E1074" s="2084"/>
      <c r="F1074" s="2084"/>
      <c r="G1074" s="2084" t="s">
        <v>2281</v>
      </c>
      <c r="H1074" s="2084"/>
      <c r="I1074" s="2084"/>
      <c r="J1074" s="2084"/>
      <c r="K1074" s="2084"/>
      <c r="L1074" s="2084"/>
      <c r="M1074" s="2084"/>
      <c r="N1074" s="2084"/>
      <c r="O1074" s="2084"/>
      <c r="P1074" s="2087">
        <f>'Part VII-Threshold Criteria'!P231</f>
        <v>0</v>
      </c>
      <c r="Q1074" s="2087"/>
    </row>
    <row r="1075" spans="1:17" ht="14.1" customHeight="1">
      <c r="A1075" s="2114" t="s">
        <v>232</v>
      </c>
      <c r="B1075" s="2371" t="s">
        <v>2282</v>
      </c>
      <c r="C1075" s="2371"/>
      <c r="D1075" s="2371"/>
      <c r="E1075" s="2371"/>
      <c r="F1075" s="2371"/>
      <c r="G1075" s="2371"/>
      <c r="H1075" s="2371"/>
      <c r="I1075" s="2371"/>
      <c r="J1075" s="2371"/>
      <c r="K1075" s="2371"/>
      <c r="L1075" s="2371"/>
      <c r="M1075" s="2371"/>
      <c r="N1075" s="2371"/>
      <c r="O1075" s="2371"/>
      <c r="P1075" s="2087">
        <f>'Part VII-Threshold Criteria'!P232</f>
        <v>0</v>
      </c>
      <c r="Q1075" s="2087"/>
    </row>
    <row r="1076" spans="1:17" ht="15">
      <c r="A1076" s="2084"/>
      <c r="B1076" s="2375" t="s">
        <v>1450</v>
      </c>
      <c r="C1076" s="2084"/>
      <c r="D1076" s="2375"/>
      <c r="E1076" s="2375"/>
      <c r="F1076" s="2375"/>
      <c r="G1076" s="2375"/>
      <c r="H1076" s="2085"/>
      <c r="I1076" s="2086"/>
      <c r="J1076" s="2086"/>
      <c r="K1076" s="2086"/>
      <c r="L1076" s="2087"/>
      <c r="M1076" s="2087"/>
      <c r="N1076" s="2087"/>
      <c r="O1076" s="2087"/>
      <c r="P1076" s="2087"/>
      <c r="Q1076" s="2087"/>
    </row>
    <row r="1077" spans="1:17" ht="14.25">
      <c r="A1077" s="2084" t="str">
        <f>'Part VII-Threshold Criteria'!A234</f>
        <v>N/A</v>
      </c>
      <c r="B1077" s="2084"/>
      <c r="C1077" s="2084"/>
      <c r="D1077" s="2084"/>
      <c r="E1077" s="2084"/>
      <c r="F1077" s="2084"/>
      <c r="G1077" s="2084"/>
      <c r="H1077" s="2084"/>
      <c r="I1077" s="2084"/>
      <c r="J1077" s="2084"/>
      <c r="K1077" s="2084"/>
      <c r="L1077" s="2084"/>
      <c r="M1077" s="2084"/>
      <c r="N1077" s="2084"/>
      <c r="O1077" s="2084"/>
      <c r="P1077" s="2084"/>
      <c r="Q1077" s="2084"/>
    </row>
    <row r="1078" spans="1:17" ht="14.25">
      <c r="A1078" s="2084"/>
      <c r="B1078" s="2374" t="s">
        <v>1447</v>
      </c>
      <c r="C1078" s="2374"/>
      <c r="D1078" s="2085"/>
      <c r="E1078" s="2085"/>
      <c r="F1078" s="2085"/>
      <c r="G1078" s="2085"/>
      <c r="H1078" s="2085"/>
      <c r="I1078" s="2085"/>
      <c r="J1078" s="2085"/>
      <c r="K1078" s="2085"/>
      <c r="L1078" s="2085"/>
      <c r="M1078" s="2085"/>
      <c r="N1078" s="2085"/>
      <c r="O1078" s="2085"/>
      <c r="P1078" s="2085"/>
      <c r="Q1078" s="2085"/>
    </row>
    <row r="1079" spans="1:17" ht="14.25">
      <c r="A1079" s="2084"/>
      <c r="B1079" s="2084"/>
      <c r="C1079" s="2084"/>
      <c r="D1079" s="2084"/>
      <c r="E1079" s="2084"/>
      <c r="F1079" s="2084"/>
      <c r="G1079" s="2084"/>
      <c r="H1079" s="2084"/>
      <c r="I1079" s="2084"/>
      <c r="J1079" s="2084"/>
      <c r="K1079" s="2084"/>
      <c r="L1079" s="2084"/>
      <c r="M1079" s="2084"/>
      <c r="N1079" s="2084"/>
      <c r="O1079" s="2084"/>
      <c r="P1079" s="2084"/>
      <c r="Q1079" s="2084"/>
    </row>
    <row r="1080" spans="1:17" ht="15">
      <c r="A1080" s="2087"/>
      <c r="B1080" s="2086"/>
      <c r="C1080" s="2085"/>
      <c r="D1080" s="2085"/>
      <c r="E1080" s="2085"/>
      <c r="F1080" s="2085"/>
      <c r="G1080" s="2085"/>
      <c r="H1080" s="2085"/>
      <c r="I1080" s="2085"/>
      <c r="J1080" s="2085"/>
      <c r="K1080" s="2085"/>
      <c r="L1080" s="2085"/>
      <c r="M1080" s="2085"/>
      <c r="N1080" s="2085"/>
      <c r="O1080" s="2085"/>
      <c r="P1080" s="2085"/>
      <c r="Q1080" s="2087"/>
    </row>
    <row r="1081" spans="1:17" ht="15">
      <c r="A1081" s="2372"/>
      <c r="B1081" s="2086"/>
      <c r="C1081" s="2085"/>
      <c r="D1081" s="2085"/>
      <c r="E1081" s="2085"/>
      <c r="F1081" s="2085"/>
      <c r="G1081" s="2085"/>
      <c r="H1081" s="2085"/>
      <c r="I1081" s="2085"/>
      <c r="J1081" s="2085"/>
      <c r="K1081" s="2085"/>
      <c r="L1081" s="2085"/>
      <c r="M1081" s="2085"/>
      <c r="N1081" s="2085"/>
      <c r="O1081" s="2085"/>
      <c r="P1081" s="2085"/>
      <c r="Q1081" s="2087"/>
    </row>
    <row r="1082" spans="1:17" ht="15">
      <c r="A1082" s="2372" t="s">
        <v>1601</v>
      </c>
      <c r="B1082" s="2089" t="s">
        <v>1602</v>
      </c>
      <c r="C1082" s="2089"/>
      <c r="D1082" s="2089"/>
      <c r="E1082" s="2089"/>
      <c r="F1082" s="2089"/>
      <c r="G1082" s="2089"/>
      <c r="H1082" s="2085"/>
      <c r="I1082" s="2085"/>
      <c r="J1082" s="2085"/>
      <c r="K1082" s="2085"/>
      <c r="L1082" s="2085"/>
      <c r="M1082" s="2085"/>
      <c r="N1082" s="2373"/>
      <c r="O1082" s="2373" t="s">
        <v>1444</v>
      </c>
      <c r="P1082" s="2089"/>
      <c r="Q1082" s="2089"/>
    </row>
    <row r="1083" spans="1:17" ht="15">
      <c r="A1083" s="2373"/>
      <c r="B1083" s="2084" t="s">
        <v>1603</v>
      </c>
      <c r="C1083" s="2084"/>
      <c r="D1083" s="2084"/>
      <c r="E1083" s="2084"/>
      <c r="F1083" s="2084"/>
      <c r="G1083" s="2089">
        <f>'Part VII-Threshold Criteria'!G240</f>
        <v>0</v>
      </c>
      <c r="H1083" s="2089"/>
      <c r="I1083" s="2089"/>
      <c r="J1083" s="2089"/>
      <c r="K1083" s="2089"/>
      <c r="L1083" s="2089"/>
      <c r="M1083" s="2089"/>
      <c r="N1083" s="2089"/>
      <c r="O1083" s="2089"/>
      <c r="P1083" s="2089"/>
      <c r="Q1083" s="2089"/>
    </row>
    <row r="1084" spans="1:17" ht="15">
      <c r="A1084" s="2373"/>
      <c r="B1084" s="2084" t="s">
        <v>1604</v>
      </c>
      <c r="C1084" s="2084"/>
      <c r="D1084" s="2084"/>
      <c r="E1084" s="2084"/>
      <c r="F1084" s="2084"/>
      <c r="G1084" s="2089">
        <f>'Part VII-Threshold Criteria'!G241</f>
        <v>0</v>
      </c>
      <c r="H1084" s="2089"/>
      <c r="I1084" s="2089"/>
      <c r="J1084" s="2089"/>
      <c r="K1084" s="2089"/>
      <c r="L1084" s="2089"/>
      <c r="M1084" s="2089"/>
      <c r="N1084" s="2089"/>
      <c r="O1084" s="2089"/>
      <c r="P1084" s="2089"/>
      <c r="Q1084" s="2089"/>
    </row>
    <row r="1085" spans="1:17" ht="14.45" customHeight="1">
      <c r="A1085" s="2373"/>
      <c r="B1085" s="2371" t="s">
        <v>1605</v>
      </c>
      <c r="C1085" s="2371"/>
      <c r="D1085" s="2371"/>
      <c r="E1085" s="2371"/>
      <c r="F1085" s="2371"/>
      <c r="G1085" s="2371"/>
      <c r="H1085" s="2371"/>
      <c r="I1085" s="2371"/>
      <c r="J1085" s="2371"/>
      <c r="K1085" s="2371"/>
      <c r="L1085" s="2371"/>
      <c r="M1085" s="2371"/>
      <c r="N1085" s="2371"/>
      <c r="O1085" s="2371"/>
      <c r="P1085" s="2381">
        <f>'Part VII-Threshold Criteria'!P242</f>
        <v>0</v>
      </c>
      <c r="Q1085" s="2381"/>
    </row>
    <row r="1086" spans="1:17" ht="15">
      <c r="A1086" s="2084"/>
      <c r="B1086" s="2375" t="s">
        <v>1450</v>
      </c>
      <c r="C1086" s="2084"/>
      <c r="D1086" s="2375"/>
      <c r="E1086" s="2375"/>
      <c r="F1086" s="2375"/>
      <c r="G1086" s="2375"/>
      <c r="H1086" s="2085"/>
      <c r="I1086" s="2086"/>
      <c r="J1086" s="2086"/>
      <c r="K1086" s="2086"/>
      <c r="L1086" s="2087"/>
      <c r="M1086" s="2087"/>
      <c r="N1086" s="2087"/>
      <c r="O1086" s="2087"/>
      <c r="P1086" s="2087"/>
      <c r="Q1086" s="2087"/>
    </row>
    <row r="1087" spans="1:17" ht="14.25">
      <c r="A1087" s="2084" t="str">
        <f>'Part VII-Threshold Criteria'!A244</f>
        <v>N/A</v>
      </c>
      <c r="B1087" s="2084"/>
      <c r="C1087" s="2084"/>
      <c r="D1087" s="2084"/>
      <c r="E1087" s="2084"/>
      <c r="F1087" s="2084"/>
      <c r="G1087" s="2084"/>
      <c r="H1087" s="2084"/>
      <c r="I1087" s="2084"/>
      <c r="J1087" s="2084"/>
      <c r="K1087" s="2084"/>
      <c r="L1087" s="2084"/>
      <c r="M1087" s="2084"/>
      <c r="N1087" s="2084"/>
      <c r="O1087" s="2084"/>
      <c r="P1087" s="2084"/>
      <c r="Q1087" s="2084"/>
    </row>
    <row r="1088" spans="1:17" ht="14.25">
      <c r="A1088" s="2084"/>
      <c r="B1088" s="2374" t="s">
        <v>1447</v>
      </c>
      <c r="C1088" s="2374"/>
      <c r="D1088" s="2085"/>
      <c r="E1088" s="2085"/>
      <c r="F1088" s="2085"/>
      <c r="G1088" s="2085"/>
      <c r="H1088" s="2085"/>
      <c r="I1088" s="2085"/>
      <c r="J1088" s="2085"/>
      <c r="K1088" s="2085"/>
      <c r="L1088" s="2085"/>
      <c r="M1088" s="2085"/>
      <c r="N1088" s="2085"/>
      <c r="O1088" s="2085"/>
      <c r="P1088" s="2085"/>
      <c r="Q1088" s="2085"/>
    </row>
    <row r="1089" spans="1:17" ht="14.25">
      <c r="A1089" s="2084"/>
      <c r="B1089" s="2084"/>
      <c r="C1089" s="2084"/>
      <c r="D1089" s="2084"/>
      <c r="E1089" s="2084"/>
      <c r="F1089" s="2084"/>
      <c r="G1089" s="2084"/>
      <c r="H1089" s="2084"/>
      <c r="I1089" s="2084"/>
      <c r="J1089" s="2084"/>
      <c r="K1089" s="2084"/>
      <c r="L1089" s="2084"/>
      <c r="M1089" s="2084"/>
      <c r="N1089" s="2084"/>
      <c r="O1089" s="2084"/>
      <c r="P1089" s="2084"/>
      <c r="Q1089" s="2084"/>
    </row>
    <row r="1090" spans="1:17" ht="15">
      <c r="A1090" s="2087"/>
      <c r="B1090" s="2086"/>
      <c r="C1090" s="2085"/>
      <c r="D1090" s="2085"/>
      <c r="E1090" s="2085"/>
      <c r="F1090" s="2085"/>
      <c r="G1090" s="2085"/>
      <c r="H1090" s="2085"/>
      <c r="I1090" s="2085"/>
      <c r="J1090" s="2085"/>
      <c r="K1090" s="2085"/>
      <c r="L1090" s="2085"/>
      <c r="M1090" s="2085"/>
      <c r="N1090" s="2084"/>
      <c r="O1090" s="2084"/>
      <c r="P1090" s="2084"/>
      <c r="Q1090" s="2087"/>
    </row>
    <row r="1091" spans="1:17" ht="15">
      <c r="A1091" s="2084"/>
      <c r="B1091" s="2086"/>
      <c r="C1091" s="2085"/>
      <c r="D1091" s="2085"/>
      <c r="E1091" s="2085"/>
      <c r="F1091" s="2085"/>
      <c r="G1091" s="2085"/>
      <c r="H1091" s="2085"/>
      <c r="I1091" s="2085"/>
      <c r="J1091" s="2085"/>
      <c r="K1091" s="2085"/>
      <c r="L1091" s="2085"/>
      <c r="M1091" s="2085"/>
      <c r="N1091" s="2084"/>
      <c r="O1091" s="2084"/>
      <c r="P1091" s="2084"/>
      <c r="Q1091" s="2087"/>
    </row>
    <row r="1092" spans="1:17" ht="15">
      <c r="A1092" s="2372" t="s">
        <v>1606</v>
      </c>
      <c r="B1092" s="2089" t="s">
        <v>1607</v>
      </c>
      <c r="C1092" s="2089"/>
      <c r="D1092" s="2089"/>
      <c r="E1092" s="2085"/>
      <c r="F1092" s="2084"/>
      <c r="G1092" s="2084" t="s">
        <v>1608</v>
      </c>
      <c r="H1092" s="2085"/>
      <c r="I1092" s="2085"/>
      <c r="J1092" s="2085"/>
      <c r="K1092" s="2085"/>
      <c r="L1092" s="2085"/>
      <c r="M1092" s="2085"/>
      <c r="N1092" s="2084"/>
      <c r="O1092" s="2373" t="s">
        <v>1444</v>
      </c>
      <c r="P1092" s="2089"/>
      <c r="Q1092" s="2089"/>
    </row>
    <row r="1093" spans="1:17" ht="15">
      <c r="A1093" s="2373"/>
      <c r="B1093" s="2084" t="s">
        <v>1609</v>
      </c>
      <c r="C1093" s="2084"/>
      <c r="D1093" s="2084"/>
      <c r="E1093" s="2084"/>
      <c r="F1093" s="2084"/>
      <c r="G1093" s="2084"/>
      <c r="H1093" s="2084"/>
      <c r="I1093" s="2084"/>
      <c r="J1093" s="2084"/>
      <c r="K1093" s="2084"/>
      <c r="L1093" s="2084"/>
      <c r="M1093" s="2084"/>
      <c r="N1093" s="2084"/>
      <c r="O1093" s="2378"/>
      <c r="P1093" s="2089">
        <f>'Part VII-Threshold Criteria'!P250</f>
        <v>0</v>
      </c>
      <c r="Q1093" s="2089"/>
    </row>
    <row r="1094" spans="1:17" ht="15">
      <c r="A1094" s="2373"/>
      <c r="B1094" s="2084" t="s">
        <v>1610</v>
      </c>
      <c r="C1094" s="2084"/>
      <c r="D1094" s="2084"/>
      <c r="E1094" s="2084"/>
      <c r="F1094" s="2084"/>
      <c r="G1094" s="2084"/>
      <c r="H1094" s="2084"/>
      <c r="I1094" s="2084"/>
      <c r="J1094" s="2084"/>
      <c r="K1094" s="2084"/>
      <c r="L1094" s="2084"/>
      <c r="M1094" s="2084"/>
      <c r="N1094" s="2084"/>
      <c r="O1094" s="2378"/>
      <c r="P1094" s="2089">
        <f>'Part VII-Threshold Criteria'!P251</f>
        <v>0</v>
      </c>
      <c r="Q1094" s="2089"/>
    </row>
    <row r="1095" spans="1:17" ht="15">
      <c r="A1095" s="2373"/>
      <c r="B1095" s="2084" t="s">
        <v>450</v>
      </c>
      <c r="C1095" s="2084"/>
      <c r="D1095" s="2084" t="str">
        <f>'Part VII-Threshold Criteria'!D252</f>
        <v xml:space="preserve">Legal Opinion provided for Private Enterprise Agreement and Tax Exemption </v>
      </c>
      <c r="E1095" s="2084"/>
      <c r="F1095" s="2084"/>
      <c r="G1095" s="2084"/>
      <c r="H1095" s="2084"/>
      <c r="I1095" s="2084"/>
      <c r="J1095" s="2084"/>
      <c r="K1095" s="2084"/>
      <c r="L1095" s="2084"/>
      <c r="M1095" s="2084"/>
      <c r="N1095" s="2084"/>
      <c r="O1095" s="2084"/>
      <c r="P1095" s="2084"/>
      <c r="Q1095" s="2084"/>
    </row>
    <row r="1096" spans="1:17" ht="15">
      <c r="A1096" s="2084"/>
      <c r="B1096" s="2375" t="s">
        <v>1450</v>
      </c>
      <c r="C1096" s="2084"/>
      <c r="D1096" s="2375"/>
      <c r="E1096" s="2375"/>
      <c r="F1096" s="2375"/>
      <c r="G1096" s="2375"/>
      <c r="H1096" s="2085"/>
      <c r="I1096" s="2086"/>
      <c r="J1096" s="2086"/>
      <c r="K1096" s="2086"/>
      <c r="L1096" s="2087"/>
      <c r="M1096" s="2087"/>
      <c r="N1096" s="2087"/>
      <c r="O1096" s="2087"/>
      <c r="P1096" s="2087"/>
      <c r="Q1096" s="2087"/>
    </row>
    <row r="1097" spans="1:17" ht="14.25">
      <c r="A1097" s="2084" t="str">
        <f>'Part VII-Threshold Criteria'!A254</f>
        <v xml:space="preserve">A legal opinion is provided that confirms real estate tax exemption will be obtainable for the property due to the Private Enterprise Agreement.  </v>
      </c>
      <c r="B1097" s="2084"/>
      <c r="C1097" s="2084"/>
      <c r="D1097" s="2084"/>
      <c r="E1097" s="2084"/>
      <c r="F1097" s="2084"/>
      <c r="G1097" s="2084"/>
      <c r="H1097" s="2084"/>
      <c r="I1097" s="2084"/>
      <c r="J1097" s="2084"/>
      <c r="K1097" s="2084"/>
      <c r="L1097" s="2084"/>
      <c r="M1097" s="2084"/>
      <c r="N1097" s="2084"/>
      <c r="O1097" s="2084"/>
      <c r="P1097" s="2084"/>
      <c r="Q1097" s="2084"/>
    </row>
    <row r="1098" spans="1:17" ht="14.25">
      <c r="A1098" s="2084"/>
      <c r="B1098" s="2374" t="s">
        <v>1447</v>
      </c>
      <c r="C1098" s="2374"/>
      <c r="D1098" s="2085"/>
      <c r="E1098" s="2085"/>
      <c r="F1098" s="2085"/>
      <c r="G1098" s="2085"/>
      <c r="H1098" s="2085"/>
      <c r="I1098" s="2085"/>
      <c r="J1098" s="2085"/>
      <c r="K1098" s="2085"/>
      <c r="L1098" s="2085"/>
      <c r="M1098" s="2085"/>
      <c r="N1098" s="2085"/>
      <c r="O1098" s="2085"/>
      <c r="P1098" s="2085"/>
      <c r="Q1098" s="2085"/>
    </row>
    <row r="1099" spans="1:17" ht="14.25">
      <c r="A1099" s="2084"/>
      <c r="B1099" s="2084"/>
      <c r="C1099" s="2084"/>
      <c r="D1099" s="2084"/>
      <c r="E1099" s="2084"/>
      <c r="F1099" s="2084"/>
      <c r="G1099" s="2084"/>
      <c r="H1099" s="2084"/>
      <c r="I1099" s="2084"/>
      <c r="J1099" s="2084"/>
      <c r="K1099" s="2084"/>
      <c r="L1099" s="2084"/>
      <c r="M1099" s="2084"/>
      <c r="N1099" s="2084"/>
      <c r="O1099" s="2084"/>
      <c r="P1099" s="2084"/>
      <c r="Q1099" s="2084"/>
    </row>
    <row r="1100" spans="1:17" ht="15">
      <c r="A1100" s="2087"/>
      <c r="B1100" s="2086"/>
      <c r="C1100" s="2085"/>
      <c r="D1100" s="2085"/>
      <c r="E1100" s="2085"/>
      <c r="F1100" s="2085"/>
      <c r="G1100" s="2085"/>
      <c r="H1100" s="2085"/>
      <c r="I1100" s="2085"/>
      <c r="J1100" s="2085"/>
      <c r="K1100" s="2085"/>
      <c r="L1100" s="2085"/>
      <c r="M1100" s="2085"/>
      <c r="N1100" s="2085"/>
      <c r="O1100" s="2085"/>
      <c r="P1100" s="2085"/>
      <c r="Q1100" s="2087"/>
    </row>
    <row r="1101" spans="1:17" ht="15">
      <c r="A1101" s="2084"/>
      <c r="B1101" s="2086"/>
      <c r="C1101" s="2085"/>
      <c r="D1101" s="2085"/>
      <c r="E1101" s="2085"/>
      <c r="F1101" s="2085"/>
      <c r="G1101" s="2085"/>
      <c r="H1101" s="2085"/>
      <c r="I1101" s="2085"/>
      <c r="J1101" s="2085"/>
      <c r="K1101" s="2085"/>
      <c r="L1101" s="2085"/>
      <c r="M1101" s="2085"/>
      <c r="N1101" s="2085"/>
      <c r="O1101" s="2085"/>
      <c r="P1101" s="2085"/>
      <c r="Q1101" s="2087"/>
    </row>
    <row r="1102" spans="1:17" ht="15">
      <c r="A1102" s="2372" t="s">
        <v>1613</v>
      </c>
      <c r="B1102" s="2089" t="s">
        <v>1614</v>
      </c>
      <c r="C1102" s="2089"/>
      <c r="D1102" s="2089"/>
      <c r="E1102" s="2089"/>
      <c r="F1102" s="2089"/>
      <c r="G1102" s="2089"/>
      <c r="H1102" s="2085"/>
      <c r="I1102" s="2085"/>
      <c r="J1102" s="2085"/>
      <c r="K1102" s="2085"/>
      <c r="L1102" s="2085"/>
      <c r="M1102" s="2085"/>
      <c r="N1102" s="2084"/>
      <c r="O1102" s="2373" t="s">
        <v>1444</v>
      </c>
      <c r="P1102" s="2089"/>
      <c r="Q1102" s="2089"/>
    </row>
    <row r="1103" spans="1:17" ht="15">
      <c r="A1103" s="2084"/>
      <c r="B1103" s="2084" t="s">
        <v>1615</v>
      </c>
      <c r="C1103" s="2084"/>
      <c r="D1103" s="2084"/>
      <c r="E1103" s="2084"/>
      <c r="F1103" s="2084"/>
      <c r="G1103" s="2084"/>
      <c r="H1103" s="2084"/>
      <c r="I1103" s="2084"/>
      <c r="J1103" s="2084"/>
      <c r="K1103" s="2084"/>
      <c r="L1103" s="2084"/>
      <c r="M1103" s="2084"/>
      <c r="N1103" s="2084"/>
      <c r="O1103" s="2378"/>
      <c r="P1103" s="2089">
        <f>'Part VII-Threshold Criteria'!P260</f>
        <v>0</v>
      </c>
      <c r="Q1103" s="2089"/>
    </row>
    <row r="1104" spans="1:17" ht="15">
      <c r="A1104" s="2373"/>
      <c r="B1104" s="2084" t="s">
        <v>1616</v>
      </c>
      <c r="C1104" s="2084"/>
      <c r="D1104" s="2084"/>
      <c r="E1104" s="2084"/>
      <c r="F1104" s="2084"/>
      <c r="G1104" s="2084"/>
      <c r="H1104" s="2084"/>
      <c r="I1104" s="2084"/>
      <c r="J1104" s="2084"/>
      <c r="K1104" s="2084"/>
      <c r="L1104" s="2084"/>
      <c r="M1104" s="2084"/>
      <c r="N1104" s="2084"/>
      <c r="O1104" s="2084"/>
      <c r="P1104" s="2089" t="str">
        <f>'Part VII-Threshold Criteria'!P261</f>
        <v>No</v>
      </c>
      <c r="Q1104" s="2089"/>
    </row>
    <row r="1105" spans="1:17" ht="15">
      <c r="A1105" s="2084"/>
      <c r="B1105" s="2084" t="s">
        <v>1617</v>
      </c>
      <c r="C1105" s="2084"/>
      <c r="D1105" s="2084"/>
      <c r="E1105" s="2084"/>
      <c r="F1105" s="2084"/>
      <c r="G1105" s="2084"/>
      <c r="H1105" s="2084"/>
      <c r="I1105" s="2084"/>
      <c r="J1105" s="2084"/>
      <c r="K1105" s="2084"/>
      <c r="L1105" s="2084"/>
      <c r="M1105" s="2084"/>
      <c r="N1105" s="2084"/>
      <c r="O1105" s="2084"/>
      <c r="P1105" s="2089">
        <f>'Part VII-Threshold Criteria'!P262</f>
        <v>0</v>
      </c>
      <c r="Q1105" s="2089"/>
    </row>
    <row r="1106" spans="1:17" ht="14.1" customHeight="1">
      <c r="A1106" s="2373"/>
      <c r="B1106" s="2084" t="s">
        <v>1618</v>
      </c>
      <c r="C1106" s="2084"/>
      <c r="D1106" s="2084"/>
      <c r="E1106" s="2084"/>
      <c r="F1106" s="2084"/>
      <c r="G1106" s="2084"/>
      <c r="H1106" s="2084"/>
      <c r="I1106" s="2084"/>
      <c r="J1106" s="2084"/>
      <c r="K1106" s="2084"/>
      <c r="L1106" s="2084"/>
      <c r="M1106" s="2084"/>
      <c r="N1106" s="2084"/>
      <c r="O1106" s="2084"/>
      <c r="P1106" s="2089">
        <f>'Part VII-Threshold Criteria'!P263</f>
        <v>0</v>
      </c>
      <c r="Q1106" s="2089"/>
    </row>
    <row r="1107" spans="1:17" ht="14.25">
      <c r="A1107" s="2084"/>
      <c r="B1107" s="2375" t="s">
        <v>1450</v>
      </c>
      <c r="C1107" s="2084"/>
      <c r="D1107" s="2375"/>
      <c r="E1107" s="2375"/>
      <c r="F1107" s="2375"/>
      <c r="G1107" s="2375"/>
      <c r="H1107" s="2085"/>
      <c r="I1107" s="2086"/>
      <c r="J1107" s="2086"/>
      <c r="K1107" s="2086"/>
      <c r="L1107" s="2084"/>
      <c r="M1107" s="2084"/>
      <c r="N1107" s="2084"/>
      <c r="O1107" s="2084"/>
      <c r="P1107" s="2084"/>
      <c r="Q1107" s="2084"/>
    </row>
    <row r="1108" spans="1:17" ht="14.25">
      <c r="A1108" s="2084" t="str">
        <f>'Part VII-Threshold Criteria'!A265</f>
        <v xml:space="preserve">The site has no tenants on the property. No displacement will occur.  </v>
      </c>
      <c r="B1108" s="2084"/>
      <c r="C1108" s="2084"/>
      <c r="D1108" s="2084"/>
      <c r="E1108" s="2084"/>
      <c r="F1108" s="2084"/>
      <c r="G1108" s="2084"/>
      <c r="H1108" s="2084"/>
      <c r="I1108" s="2084"/>
      <c r="J1108" s="2084"/>
      <c r="K1108" s="2084"/>
      <c r="L1108" s="2084"/>
      <c r="M1108" s="2084"/>
      <c r="N1108" s="2084"/>
      <c r="O1108" s="2084"/>
      <c r="P1108" s="2084"/>
      <c r="Q1108" s="2084"/>
    </row>
    <row r="1109" spans="1:17" ht="14.25">
      <c r="A1109" s="2084"/>
      <c r="B1109" s="2374" t="s">
        <v>1447</v>
      </c>
      <c r="C1109" s="2374"/>
      <c r="D1109" s="2085"/>
      <c r="E1109" s="2085"/>
      <c r="F1109" s="2085"/>
      <c r="G1109" s="2085"/>
      <c r="H1109" s="2085"/>
      <c r="I1109" s="2085"/>
      <c r="J1109" s="2085"/>
      <c r="K1109" s="2085"/>
      <c r="L1109" s="2085"/>
      <c r="M1109" s="2085"/>
      <c r="N1109" s="2085"/>
      <c r="O1109" s="2085"/>
      <c r="P1109" s="2085"/>
      <c r="Q1109" s="2085"/>
    </row>
    <row r="1110" spans="1:17" ht="14.25">
      <c r="A1110" s="2084"/>
      <c r="B1110" s="2084"/>
      <c r="C1110" s="2084"/>
      <c r="D1110" s="2084"/>
      <c r="E1110" s="2084"/>
      <c r="F1110" s="2084"/>
      <c r="G1110" s="2084"/>
      <c r="H1110" s="2084"/>
      <c r="I1110" s="2084"/>
      <c r="J1110" s="2084"/>
      <c r="K1110" s="2084"/>
      <c r="L1110" s="2084"/>
      <c r="M1110" s="2084"/>
      <c r="N1110" s="2084"/>
      <c r="O1110" s="2084"/>
      <c r="P1110" s="2084"/>
      <c r="Q1110" s="2084"/>
    </row>
    <row r="1111" spans="1:17" ht="15">
      <c r="A1111" s="2087"/>
      <c r="B1111" s="2086"/>
      <c r="C1111" s="2085"/>
      <c r="D1111" s="2085"/>
      <c r="E1111" s="2085"/>
      <c r="F1111" s="2085"/>
      <c r="G1111" s="2085"/>
      <c r="H1111" s="2085"/>
      <c r="I1111" s="2085"/>
      <c r="J1111" s="2085"/>
      <c r="K1111" s="2085"/>
      <c r="L1111" s="2085"/>
      <c r="M1111" s="2085"/>
      <c r="N1111" s="2084"/>
      <c r="O1111" s="2084"/>
      <c r="P1111" s="2084"/>
      <c r="Q1111" s="2087"/>
    </row>
    <row r="1112" spans="1:17" ht="15">
      <c r="A1112" s="2084"/>
      <c r="B1112" s="2086"/>
      <c r="C1112" s="2085"/>
      <c r="D1112" s="2085"/>
      <c r="E1112" s="2085"/>
      <c r="F1112" s="2085"/>
      <c r="G1112" s="2085"/>
      <c r="H1112" s="2085"/>
      <c r="I1112" s="2085"/>
      <c r="J1112" s="2085"/>
      <c r="K1112" s="2085"/>
      <c r="L1112" s="2085"/>
      <c r="M1112" s="2085"/>
      <c r="N1112" s="2084"/>
      <c r="O1112" s="2084"/>
      <c r="P1112" s="2084"/>
      <c r="Q1112" s="2087"/>
    </row>
    <row r="1113" spans="1:17" ht="15">
      <c r="A1113" s="2372" t="s">
        <v>1620</v>
      </c>
      <c r="B1113" s="2089" t="s">
        <v>1621</v>
      </c>
      <c r="C1113" s="2089"/>
      <c r="D1113" s="2089"/>
      <c r="E1113" s="2085"/>
      <c r="F1113" s="2085"/>
      <c r="G1113" s="2085"/>
      <c r="H1113" s="2085"/>
      <c r="I1113" s="2084"/>
      <c r="J1113" s="2084"/>
      <c r="K1113" s="2084"/>
      <c r="L1113" s="2084"/>
      <c r="M1113" s="2084"/>
      <c r="N1113" s="2084"/>
      <c r="O1113" s="2373" t="s">
        <v>1444</v>
      </c>
      <c r="P1113" s="2089"/>
      <c r="Q1113" s="2089"/>
    </row>
    <row r="1114" spans="1:17" ht="14.1" customHeight="1">
      <c r="A1114" s="2084"/>
      <c r="B1114" s="2084" t="s">
        <v>1622</v>
      </c>
      <c r="C1114" s="2084"/>
      <c r="D1114" s="2084"/>
      <c r="E1114" s="2084"/>
      <c r="F1114" s="2084"/>
      <c r="G1114" s="2084"/>
      <c r="H1114" s="2084"/>
      <c r="I1114" s="2084"/>
      <c r="J1114" s="2084"/>
      <c r="K1114" s="2084"/>
      <c r="L1114" s="2084"/>
      <c r="M1114" s="2084"/>
      <c r="N1114" s="2084"/>
      <c r="O1114" s="2089"/>
      <c r="P1114" s="2089" t="str">
        <f>'Part VII-Threshold Criteria'!P271</f>
        <v>Agree</v>
      </c>
      <c r="Q1114" s="2089"/>
    </row>
    <row r="1115" spans="1:17" ht="14.1" customHeight="1">
      <c r="A1115" s="2114"/>
      <c r="B1115" s="2371" t="s">
        <v>1623</v>
      </c>
      <c r="C1115" s="2371"/>
      <c r="D1115" s="2371"/>
      <c r="E1115" s="2371"/>
      <c r="F1115" s="2371"/>
      <c r="G1115" s="2371"/>
      <c r="H1115" s="2371"/>
      <c r="I1115" s="2371"/>
      <c r="J1115" s="2371"/>
      <c r="K1115" s="2371"/>
      <c r="L1115" s="2371"/>
      <c r="M1115" s="2371"/>
      <c r="N1115" s="2371"/>
      <c r="O1115" s="2371"/>
      <c r="P1115" s="2089" t="str">
        <f>'Part VII-Threshold Criteria'!P272</f>
        <v>Agree</v>
      </c>
      <c r="Q1115" s="2089"/>
    </row>
    <row r="1116" spans="1:17" ht="15">
      <c r="A1116" s="2084"/>
      <c r="B1116" s="2375" t="s">
        <v>1450</v>
      </c>
      <c r="C1116" s="2084"/>
      <c r="D1116" s="2375"/>
      <c r="E1116" s="2375"/>
      <c r="F1116" s="2375"/>
      <c r="G1116" s="2375"/>
      <c r="H1116" s="2085"/>
      <c r="I1116" s="2086"/>
      <c r="J1116" s="2086"/>
      <c r="K1116" s="2086"/>
      <c r="L1116" s="2087"/>
      <c r="M1116" s="2087"/>
      <c r="N1116" s="2087"/>
      <c r="O1116" s="2087"/>
      <c r="P1116" s="2087"/>
      <c r="Q1116" s="2087"/>
    </row>
    <row r="1117" spans="1:17" ht="14.25">
      <c r="A1117" s="2084" t="str">
        <f>'Part VII-Threshold Criteria'!A274</f>
        <v>The development team agrees to prepare and submit an AFFH marketing plan that meets the requirements above, and agrees to provide reasonable accomodation for residents in the Property Management's tenant application.</v>
      </c>
      <c r="B1117" s="2084"/>
      <c r="C1117" s="2084"/>
      <c r="D1117" s="2084"/>
      <c r="E1117" s="2084"/>
      <c r="F1117" s="2084"/>
      <c r="G1117" s="2084"/>
      <c r="H1117" s="2084"/>
      <c r="I1117" s="2084"/>
      <c r="J1117" s="2084"/>
      <c r="K1117" s="2084"/>
      <c r="L1117" s="2084"/>
      <c r="M1117" s="2084"/>
      <c r="N1117" s="2084"/>
      <c r="O1117" s="2084"/>
      <c r="P1117" s="2084"/>
      <c r="Q1117" s="2084"/>
    </row>
    <row r="1118" spans="1:17" ht="14.25">
      <c r="A1118" s="2084"/>
      <c r="B1118" s="2374" t="s">
        <v>1447</v>
      </c>
      <c r="C1118" s="2374"/>
      <c r="D1118" s="2085"/>
      <c r="E1118" s="2085"/>
      <c r="F1118" s="2085"/>
      <c r="G1118" s="2085"/>
      <c r="H1118" s="2085"/>
      <c r="I1118" s="2085"/>
      <c r="J1118" s="2085"/>
      <c r="K1118" s="2085"/>
      <c r="L1118" s="2085"/>
      <c r="M1118" s="2085"/>
      <c r="N1118" s="2085"/>
      <c r="O1118" s="2085"/>
      <c r="P1118" s="2085"/>
      <c r="Q1118" s="2085"/>
    </row>
    <row r="1119" spans="1:17" ht="14.25">
      <c r="A1119" s="2084"/>
      <c r="B1119" s="2084"/>
      <c r="C1119" s="2084"/>
      <c r="D1119" s="2084"/>
      <c r="E1119" s="2084"/>
      <c r="F1119" s="2084"/>
      <c r="G1119" s="2084"/>
      <c r="H1119" s="2084"/>
      <c r="I1119" s="2084"/>
      <c r="J1119" s="2084"/>
      <c r="K1119" s="2084"/>
      <c r="L1119" s="2084"/>
      <c r="M1119" s="2084"/>
      <c r="N1119" s="2084"/>
      <c r="O1119" s="2084"/>
      <c r="P1119" s="2084"/>
      <c r="Q1119" s="2084"/>
    </row>
    <row r="1120" spans="1:17" ht="15">
      <c r="A1120" s="2087"/>
      <c r="B1120" s="2086"/>
      <c r="C1120" s="2085"/>
      <c r="D1120" s="2085"/>
      <c r="E1120" s="2085"/>
      <c r="F1120" s="2085"/>
      <c r="G1120" s="2085"/>
      <c r="H1120" s="2085"/>
      <c r="I1120" s="2085"/>
      <c r="J1120" s="2085"/>
      <c r="K1120" s="2085"/>
      <c r="L1120" s="2085"/>
      <c r="M1120" s="2085"/>
      <c r="N1120" s="2084"/>
      <c r="O1120" s="2084"/>
      <c r="P1120" s="2084"/>
      <c r="Q1120" s="2087"/>
    </row>
    <row r="1121" spans="1:17" ht="15">
      <c r="A1121" s="2087"/>
      <c r="B1121" s="2086"/>
      <c r="C1121" s="2085"/>
      <c r="D1121" s="2085"/>
      <c r="E1121" s="2085"/>
      <c r="F1121" s="2085"/>
      <c r="G1121" s="2085"/>
      <c r="H1121" s="2085"/>
      <c r="I1121" s="2085"/>
      <c r="J1121" s="2085"/>
      <c r="K1121" s="2085"/>
      <c r="L1121" s="2085"/>
      <c r="M1121" s="2085"/>
      <c r="N1121" s="2084"/>
      <c r="O1121" s="2084"/>
      <c r="P1121" s="2084"/>
      <c r="Q1121" s="2087"/>
    </row>
    <row r="1122" spans="1:17" ht="15">
      <c r="A1122" s="2372" t="s">
        <v>1625</v>
      </c>
      <c r="B1122" s="2372" t="s">
        <v>1626</v>
      </c>
      <c r="C1122" s="2085"/>
      <c r="D1122" s="2085"/>
      <c r="E1122" s="2085"/>
      <c r="F1122" s="2085"/>
      <c r="G1122" s="2085"/>
      <c r="H1122" s="2085"/>
      <c r="I1122" s="2085"/>
      <c r="J1122" s="2085"/>
      <c r="K1122" s="2085"/>
      <c r="L1122" s="2085"/>
      <c r="M1122" s="2085"/>
      <c r="N1122" s="2084"/>
      <c r="O1122" s="2373" t="s">
        <v>1444</v>
      </c>
      <c r="P1122" s="2089"/>
      <c r="Q1122" s="2089"/>
    </row>
    <row r="1123" spans="1:17" ht="15">
      <c r="A1123" s="2114" t="s">
        <v>197</v>
      </c>
      <c r="B1123" s="2372" t="s">
        <v>1627</v>
      </c>
      <c r="C1123" s="2372"/>
      <c r="D1123" s="2085"/>
      <c r="E1123" s="2085"/>
      <c r="F1123" s="2085"/>
      <c r="G1123" s="2085"/>
      <c r="H1123" s="2085"/>
      <c r="I1123" s="2085"/>
      <c r="J1123" s="2085"/>
      <c r="K1123" s="2085"/>
      <c r="L1123" s="2085"/>
      <c r="M1123" s="2085"/>
      <c r="N1123" s="2084"/>
      <c r="O1123" s="2084"/>
      <c r="P1123" s="2084"/>
      <c r="Q1123" s="2087"/>
    </row>
    <row r="1124" spans="1:17" ht="14.1" customHeight="1">
      <c r="A1124" s="2085"/>
      <c r="B1124" s="2371" t="s">
        <v>1628</v>
      </c>
      <c r="C1124" s="2371"/>
      <c r="D1124" s="2371"/>
      <c r="E1124" s="2371"/>
      <c r="F1124" s="2371"/>
      <c r="G1124" s="2371"/>
      <c r="H1124" s="2371"/>
      <c r="I1124" s="2371"/>
      <c r="J1124" s="2371"/>
      <c r="K1124" s="2371"/>
      <c r="L1124" s="2371"/>
      <c r="M1124" s="2371"/>
      <c r="N1124" s="2371"/>
      <c r="O1124" s="2371"/>
      <c r="P1124" s="2381" t="str">
        <f>'Part VII-Threshold Criteria'!P281</f>
        <v>Agree</v>
      </c>
      <c r="Q1124" s="2381"/>
    </row>
    <row r="1125" spans="1:17" ht="15">
      <c r="A1125" s="2114" t="s">
        <v>209</v>
      </c>
      <c r="B1125" s="2372" t="s">
        <v>1629</v>
      </c>
      <c r="C1125" s="2084"/>
      <c r="D1125" s="2085"/>
      <c r="E1125" s="2085"/>
      <c r="F1125" s="2085"/>
      <c r="G1125" s="2085"/>
      <c r="H1125" s="2085"/>
      <c r="I1125" s="2085"/>
      <c r="J1125" s="2085"/>
      <c r="K1125" s="2085"/>
      <c r="L1125" s="2085"/>
      <c r="M1125" s="2085"/>
      <c r="N1125" s="2084"/>
      <c r="O1125" s="2084"/>
      <c r="P1125" s="2084"/>
      <c r="Q1125" s="2087"/>
    </row>
    <row r="1126" spans="1:17" ht="14.1" customHeight="1">
      <c r="A1126" s="2085"/>
      <c r="B1126" s="2371" t="s">
        <v>1630</v>
      </c>
      <c r="C1126" s="2371"/>
      <c r="D1126" s="2371"/>
      <c r="E1126" s="2371"/>
      <c r="F1126" s="2371"/>
      <c r="G1126" s="2371"/>
      <c r="H1126" s="2371"/>
      <c r="I1126" s="2371"/>
      <c r="J1126" s="2371"/>
      <c r="K1126" s="2371"/>
      <c r="L1126" s="2371"/>
      <c r="M1126" s="2371"/>
      <c r="N1126" s="2371"/>
      <c r="O1126" s="2371"/>
      <c r="P1126" s="2381" t="str">
        <f>'Part VII-Threshold Criteria'!P283</f>
        <v>Agree</v>
      </c>
      <c r="Q1126" s="2381"/>
    </row>
    <row r="1127" spans="1:17" ht="15">
      <c r="A1127" s="2372"/>
      <c r="B1127" s="2375" t="s">
        <v>1450</v>
      </c>
      <c r="C1127" s="2084"/>
      <c r="D1127" s="2375"/>
      <c r="E1127" s="2375"/>
      <c r="F1127" s="2375"/>
      <c r="G1127" s="2375"/>
      <c r="H1127" s="2085"/>
      <c r="I1127" s="2086"/>
      <c r="J1127" s="2086"/>
      <c r="K1127" s="2086"/>
      <c r="L1127" s="2087"/>
      <c r="M1127" s="2087"/>
      <c r="N1127" s="2087"/>
      <c r="O1127" s="2087"/>
      <c r="P1127" s="2087"/>
      <c r="Q1127" s="2087"/>
    </row>
    <row r="1128" spans="1:17" ht="14.25">
      <c r="A1128" s="2084" t="str">
        <f>'Part VII-Threshold Criteria'!A285</f>
        <v>The development and management team will meet all requirements for Suportive Housing</v>
      </c>
      <c r="B1128" s="2084"/>
      <c r="C1128" s="2084"/>
      <c r="D1128" s="2084"/>
      <c r="E1128" s="2084"/>
      <c r="F1128" s="2084"/>
      <c r="G1128" s="2084"/>
      <c r="H1128" s="2084"/>
      <c r="I1128" s="2084"/>
      <c r="J1128" s="2084"/>
      <c r="K1128" s="2084"/>
      <c r="L1128" s="2084"/>
      <c r="M1128" s="2084"/>
      <c r="N1128" s="2084"/>
      <c r="O1128" s="2084"/>
      <c r="P1128" s="2084"/>
      <c r="Q1128" s="2084"/>
    </row>
    <row r="1129" spans="1:17" ht="14.25">
      <c r="A1129" s="2084"/>
      <c r="B1129" s="2374" t="s">
        <v>1447</v>
      </c>
      <c r="C1129" s="2374"/>
      <c r="D1129" s="2085"/>
      <c r="E1129" s="2085"/>
      <c r="F1129" s="2085"/>
      <c r="G1129" s="2085"/>
      <c r="H1129" s="2085"/>
      <c r="I1129" s="2085"/>
      <c r="J1129" s="2085"/>
      <c r="K1129" s="2085"/>
      <c r="L1129" s="2085"/>
      <c r="M1129" s="2085"/>
      <c r="N1129" s="2085"/>
      <c r="O1129" s="2085"/>
      <c r="P1129" s="2085"/>
      <c r="Q1129" s="2085"/>
    </row>
    <row r="1130" spans="1:17" ht="14.25">
      <c r="A1130" s="2084"/>
      <c r="B1130" s="2084"/>
      <c r="C1130" s="2084"/>
      <c r="D1130" s="2084"/>
      <c r="E1130" s="2084"/>
      <c r="F1130" s="2084"/>
      <c r="G1130" s="2084"/>
      <c r="H1130" s="2084"/>
      <c r="I1130" s="2084"/>
      <c r="J1130" s="2084"/>
      <c r="K1130" s="2084"/>
      <c r="L1130" s="2084"/>
      <c r="M1130" s="2084"/>
      <c r="N1130" s="2084"/>
      <c r="O1130" s="2084"/>
      <c r="P1130" s="2084"/>
      <c r="Q1130" s="2084"/>
    </row>
    <row r="1131" spans="1:17" ht="15">
      <c r="A1131" s="2372"/>
      <c r="B1131" s="2086"/>
      <c r="C1131" s="2085"/>
      <c r="D1131" s="2085"/>
      <c r="E1131" s="2085"/>
      <c r="F1131" s="2085"/>
      <c r="G1131" s="2085"/>
      <c r="H1131" s="2085"/>
      <c r="I1131" s="2085"/>
      <c r="J1131" s="2085"/>
      <c r="K1131" s="2085"/>
      <c r="L1131" s="2085"/>
      <c r="M1131" s="2085"/>
      <c r="N1131" s="2084"/>
      <c r="O1131" s="2084"/>
      <c r="P1131" s="2084"/>
      <c r="Q1131" s="2087"/>
    </row>
    <row r="1132" spans="1:17" ht="15">
      <c r="A1132" s="2372"/>
      <c r="B1132" s="2086"/>
      <c r="C1132" s="2085"/>
      <c r="D1132" s="2085"/>
      <c r="E1132" s="2085"/>
      <c r="F1132" s="2085"/>
      <c r="G1132" s="2085"/>
      <c r="H1132" s="2085"/>
      <c r="I1132" s="2085"/>
      <c r="J1132" s="2085"/>
      <c r="K1132" s="2085"/>
      <c r="L1132" s="2085"/>
      <c r="M1132" s="2085"/>
      <c r="N1132" s="2084"/>
      <c r="O1132" s="2084"/>
      <c r="P1132" s="2084"/>
      <c r="Q1132" s="2087"/>
    </row>
    <row r="1133" spans="1:17" ht="15">
      <c r="A1133" s="2372" t="s">
        <v>1632</v>
      </c>
      <c r="B1133" s="2372" t="s">
        <v>1633</v>
      </c>
      <c r="C1133" s="2085"/>
      <c r="D1133" s="2085"/>
      <c r="E1133" s="2085"/>
      <c r="F1133" s="2085"/>
      <c r="G1133" s="2085"/>
      <c r="H1133" s="2085"/>
      <c r="I1133" s="2085"/>
      <c r="J1133" s="2085"/>
      <c r="K1133" s="2085"/>
      <c r="L1133" s="2085"/>
      <c r="M1133" s="2085"/>
      <c r="N1133" s="2084"/>
      <c r="O1133" s="2373" t="s">
        <v>1444</v>
      </c>
      <c r="P1133" s="2089"/>
      <c r="Q1133" s="2089"/>
    </row>
    <row r="1134" spans="1:17" ht="14.1" customHeight="1">
      <c r="A1134" s="2372"/>
      <c r="B1134" s="2084" t="s">
        <v>1634</v>
      </c>
      <c r="C1134" s="2084"/>
      <c r="D1134" s="2084"/>
      <c r="E1134" s="2084"/>
      <c r="F1134" s="2084"/>
      <c r="G1134" s="2084"/>
      <c r="H1134" s="2084"/>
      <c r="I1134" s="2084"/>
      <c r="J1134" s="2084"/>
      <c r="K1134" s="2084"/>
      <c r="L1134" s="2084"/>
      <c r="M1134" s="2084"/>
      <c r="N1134" s="2084"/>
      <c r="O1134" s="2084"/>
      <c r="P1134" s="2089" t="str">
        <f>'Part VII-Threshold Criteria'!P291</f>
        <v>Yes</v>
      </c>
      <c r="Q1134" s="2089"/>
    </row>
    <row r="1135" spans="1:17" ht="15">
      <c r="A1135" s="2372"/>
      <c r="B1135" s="2375" t="s">
        <v>1450</v>
      </c>
      <c r="C1135" s="2084"/>
      <c r="D1135" s="2375"/>
      <c r="E1135" s="2375"/>
      <c r="F1135" s="2375"/>
      <c r="G1135" s="2375"/>
      <c r="H1135" s="2085"/>
      <c r="I1135" s="2086"/>
      <c r="J1135" s="2086"/>
      <c r="K1135" s="2086"/>
      <c r="L1135" s="2087"/>
      <c r="M1135" s="2087"/>
      <c r="N1135" s="2087"/>
      <c r="O1135" s="2087"/>
      <c r="P1135" s="2087"/>
      <c r="Q1135" s="2087"/>
    </row>
    <row r="1136" spans="1:17" ht="14.25">
      <c r="A1136" s="2084" t="str">
        <f>'Part VII-Threshold Criteria'!A293</f>
        <v>This development tenancy will be Housing For Older Persons and will meet all associated requirements within the QAP including elevators, interior conditioned and furnished gathering areas.</v>
      </c>
      <c r="B1136" s="2084"/>
      <c r="C1136" s="2084"/>
      <c r="D1136" s="2084"/>
      <c r="E1136" s="2084"/>
      <c r="F1136" s="2084"/>
      <c r="G1136" s="2084"/>
      <c r="H1136" s="2084"/>
      <c r="I1136" s="2084"/>
      <c r="J1136" s="2084"/>
      <c r="K1136" s="2084"/>
      <c r="L1136" s="2084"/>
      <c r="M1136" s="2084"/>
      <c r="N1136" s="2084"/>
      <c r="O1136" s="2084"/>
      <c r="P1136" s="2084"/>
      <c r="Q1136" s="2084"/>
    </row>
    <row r="1137" spans="1:17" ht="14.25">
      <c r="A1137" s="2084"/>
      <c r="B1137" s="2374" t="s">
        <v>1447</v>
      </c>
      <c r="C1137" s="2374"/>
      <c r="D1137" s="2085"/>
      <c r="E1137" s="2085"/>
      <c r="F1137" s="2085"/>
      <c r="G1137" s="2085"/>
      <c r="H1137" s="2085"/>
      <c r="I1137" s="2085"/>
      <c r="J1137" s="2085"/>
      <c r="K1137" s="2085"/>
      <c r="L1137" s="2085"/>
      <c r="M1137" s="2085"/>
      <c r="N1137" s="2085"/>
      <c r="O1137" s="2085"/>
      <c r="P1137" s="2085"/>
      <c r="Q1137" s="2085"/>
    </row>
    <row r="1138" spans="1:17" ht="14.25">
      <c r="A1138" s="2084"/>
      <c r="B1138" s="2084"/>
      <c r="C1138" s="2084"/>
      <c r="D1138" s="2084"/>
      <c r="E1138" s="2084"/>
      <c r="F1138" s="2084"/>
      <c r="G1138" s="2084"/>
      <c r="H1138" s="2084"/>
      <c r="I1138" s="2084"/>
      <c r="J1138" s="2084"/>
      <c r="K1138" s="2084"/>
      <c r="L1138" s="2084"/>
      <c r="M1138" s="2084"/>
      <c r="N1138" s="2084"/>
      <c r="O1138" s="2084"/>
      <c r="P1138" s="2084"/>
      <c r="Q1138" s="2084"/>
    </row>
    <row r="1139" spans="1:17" ht="15">
      <c r="A1139" s="2372"/>
      <c r="B1139" s="2086"/>
      <c r="C1139" s="2085"/>
      <c r="D1139" s="2085"/>
      <c r="E1139" s="2085"/>
      <c r="F1139" s="2085"/>
      <c r="G1139" s="2085"/>
      <c r="H1139" s="2085"/>
      <c r="I1139" s="2085"/>
      <c r="J1139" s="2085"/>
      <c r="K1139" s="2085"/>
      <c r="L1139" s="2085"/>
      <c r="M1139" s="2085"/>
      <c r="N1139" s="2084"/>
      <c r="O1139" s="2084"/>
      <c r="P1139" s="2084"/>
      <c r="Q1139" s="2087"/>
    </row>
    <row r="1140" spans="1:17" ht="15">
      <c r="A1140" s="2372"/>
      <c r="B1140" s="2086"/>
      <c r="C1140" s="2085"/>
      <c r="D1140" s="2085"/>
      <c r="E1140" s="2085"/>
      <c r="F1140" s="2085"/>
      <c r="G1140" s="2085"/>
      <c r="H1140" s="2085"/>
      <c r="I1140" s="2085"/>
      <c r="J1140" s="2085"/>
      <c r="K1140" s="2085"/>
      <c r="L1140" s="2085"/>
      <c r="M1140" s="2085"/>
      <c r="N1140" s="2084"/>
      <c r="O1140" s="2084"/>
      <c r="P1140" s="2084"/>
      <c r="Q1140" s="2087"/>
    </row>
    <row r="1141" spans="1:17" ht="15">
      <c r="A1141" s="2372" t="s">
        <v>1636</v>
      </c>
      <c r="B1141" s="2089" t="s">
        <v>1637</v>
      </c>
      <c r="C1141" s="2084"/>
      <c r="D1141" s="2089"/>
      <c r="E1141" s="2085"/>
      <c r="F1141" s="2085"/>
      <c r="G1141" s="2085"/>
      <c r="H1141" s="2085"/>
      <c r="I1141" s="2084"/>
      <c r="J1141" s="2085"/>
      <c r="K1141" s="2085"/>
      <c r="L1141" s="2085"/>
      <c r="M1141" s="2085"/>
      <c r="N1141" s="2084"/>
      <c r="O1141" s="2373" t="s">
        <v>1444</v>
      </c>
      <c r="P1141" s="2089"/>
      <c r="Q1141" s="2089"/>
    </row>
    <row r="1142" spans="1:17" ht="14.1" customHeight="1">
      <c r="A1142" s="2372"/>
      <c r="B1142" s="2084" t="s">
        <v>1638</v>
      </c>
      <c r="C1142" s="2084"/>
      <c r="D1142" s="2084"/>
      <c r="E1142" s="2084"/>
      <c r="F1142" s="2084"/>
      <c r="G1142" s="2084"/>
      <c r="H1142" s="2084"/>
      <c r="I1142" s="2084"/>
      <c r="J1142" s="2084"/>
      <c r="K1142" s="2084"/>
      <c r="L1142" s="2084"/>
      <c r="M1142" s="2084"/>
      <c r="N1142" s="2084"/>
      <c r="O1142" s="2084"/>
      <c r="P1142" s="2089" t="str">
        <f>'Part VII-Threshold Criteria'!P299</f>
        <v>Yes</v>
      </c>
      <c r="Q1142" s="2089"/>
    </row>
    <row r="1143" spans="1:17" ht="14.1" customHeight="1">
      <c r="A1143" s="2372"/>
      <c r="B1143" s="2371" t="s">
        <v>1639</v>
      </c>
      <c r="C1143" s="2371"/>
      <c r="D1143" s="2371"/>
      <c r="E1143" s="2371"/>
      <c r="F1143" s="2371"/>
      <c r="G1143" s="2371"/>
      <c r="H1143" s="2371"/>
      <c r="I1143" s="2371"/>
      <c r="J1143" s="2371"/>
      <c r="K1143" s="2371"/>
      <c r="L1143" s="2371"/>
      <c r="M1143" s="2371"/>
      <c r="N1143" s="2371"/>
      <c r="O1143" s="2371"/>
      <c r="P1143" s="2089" t="str">
        <f>'Part VII-Threshold Criteria'!P300</f>
        <v>Yes</v>
      </c>
      <c r="Q1143" s="2089"/>
    </row>
    <row r="1144" spans="1:17" ht="15">
      <c r="A1144" s="2372"/>
      <c r="B1144" s="2375" t="s">
        <v>1450</v>
      </c>
      <c r="C1144" s="2084"/>
      <c r="D1144" s="2375"/>
      <c r="E1144" s="2375"/>
      <c r="F1144" s="2375"/>
      <c r="G1144" s="2375"/>
      <c r="H1144" s="2085"/>
      <c r="I1144" s="2086"/>
      <c r="J1144" s="2086"/>
      <c r="K1144" s="2086"/>
      <c r="L1144" s="2087"/>
      <c r="M1144" s="2087"/>
      <c r="N1144" s="2087"/>
      <c r="O1144" s="2087"/>
      <c r="P1144" s="2087"/>
      <c r="Q1144" s="2087"/>
    </row>
    <row r="1145" spans="1:17" ht="14.25">
      <c r="A1145" s="2084" t="str">
        <f>'Part VII-Threshold Criteria'!A302</f>
        <v>Applicant agrees to DCA PBRA agreements and will meet all requirements.</v>
      </c>
      <c r="B1145" s="2084"/>
      <c r="C1145" s="2084"/>
      <c r="D1145" s="2084"/>
      <c r="E1145" s="2084"/>
      <c r="F1145" s="2084"/>
      <c r="G1145" s="2084"/>
      <c r="H1145" s="2084"/>
      <c r="I1145" s="2084"/>
      <c r="J1145" s="2084"/>
      <c r="K1145" s="2084"/>
      <c r="L1145" s="2084"/>
      <c r="M1145" s="2084"/>
      <c r="N1145" s="2084"/>
      <c r="O1145" s="2084"/>
      <c r="P1145" s="2084"/>
      <c r="Q1145" s="2084"/>
    </row>
    <row r="1146" spans="1:17" ht="14.25">
      <c r="A1146" s="2084"/>
      <c r="B1146" s="2374" t="s">
        <v>1447</v>
      </c>
      <c r="C1146" s="2374"/>
      <c r="D1146" s="2085"/>
      <c r="E1146" s="2085"/>
      <c r="F1146" s="2085"/>
      <c r="G1146" s="2085"/>
      <c r="H1146" s="2085"/>
      <c r="I1146" s="2085"/>
      <c r="J1146" s="2085"/>
      <c r="K1146" s="2085"/>
      <c r="L1146" s="2085"/>
      <c r="M1146" s="2085"/>
      <c r="N1146" s="2085"/>
      <c r="O1146" s="2085"/>
      <c r="P1146" s="2085"/>
      <c r="Q1146" s="2085"/>
    </row>
    <row r="1147" spans="1:17" ht="14.25">
      <c r="A1147" s="2084"/>
      <c r="B1147" s="2084"/>
      <c r="C1147" s="2084"/>
      <c r="D1147" s="2084"/>
      <c r="E1147" s="2084"/>
      <c r="F1147" s="2084"/>
      <c r="G1147" s="2084"/>
      <c r="H1147" s="2084"/>
      <c r="I1147" s="2084"/>
      <c r="J1147" s="2084"/>
      <c r="K1147" s="2084"/>
      <c r="L1147" s="2084"/>
      <c r="M1147" s="2084"/>
      <c r="N1147" s="2084"/>
      <c r="O1147" s="2084"/>
      <c r="P1147" s="2084"/>
      <c r="Q1147" s="2084"/>
    </row>
    <row r="1148" spans="1:17" ht="15">
      <c r="A1148" s="2087"/>
      <c r="B1148" s="2086"/>
      <c r="C1148" s="2085"/>
      <c r="D1148" s="2085"/>
      <c r="E1148" s="2085"/>
      <c r="F1148" s="2085"/>
      <c r="G1148" s="2085"/>
      <c r="H1148" s="2085"/>
      <c r="I1148" s="2085"/>
      <c r="J1148" s="2085"/>
      <c r="K1148" s="2085"/>
      <c r="L1148" s="2085"/>
      <c r="M1148" s="2085"/>
      <c r="N1148" s="2085"/>
      <c r="O1148" s="2085"/>
      <c r="P1148" s="2085"/>
      <c r="Q1148" s="2087"/>
    </row>
    <row r="1149" spans="1:17" ht="15">
      <c r="A1149" s="2372"/>
      <c r="B1149" s="2086"/>
      <c r="C1149" s="2085"/>
      <c r="D1149" s="2085"/>
      <c r="E1149" s="2085"/>
      <c r="F1149" s="2085"/>
      <c r="G1149" s="2085"/>
      <c r="H1149" s="2085"/>
      <c r="I1149" s="2085"/>
      <c r="J1149" s="2085"/>
      <c r="K1149" s="2085"/>
      <c r="L1149" s="2085"/>
      <c r="M1149" s="2085"/>
      <c r="N1149" s="2084"/>
      <c r="O1149" s="2084"/>
      <c r="P1149" s="2084"/>
      <c r="Q1149" s="2087"/>
    </row>
    <row r="1150" spans="1:17" ht="15">
      <c r="A1150" s="2372" t="s">
        <v>1641</v>
      </c>
      <c r="B1150" s="2089" t="s">
        <v>1642</v>
      </c>
      <c r="C1150" s="2084"/>
      <c r="D1150" s="2089"/>
      <c r="E1150" s="2085"/>
      <c r="F1150" s="2085"/>
      <c r="G1150" s="2085"/>
      <c r="H1150" s="2085"/>
      <c r="I1150" s="2084"/>
      <c r="J1150" s="2085"/>
      <c r="K1150" s="2085"/>
      <c r="L1150" s="2085"/>
      <c r="M1150" s="2085"/>
      <c r="N1150" s="2084"/>
      <c r="O1150" s="2373" t="s">
        <v>1444</v>
      </c>
      <c r="P1150" s="2089"/>
      <c r="Q1150" s="2089"/>
    </row>
    <row r="1151" spans="1:17" ht="15">
      <c r="A1151" s="2372"/>
      <c r="B1151" s="2375" t="s">
        <v>1450</v>
      </c>
      <c r="C1151" s="2084"/>
      <c r="D1151" s="2375"/>
      <c r="E1151" s="2375"/>
      <c r="F1151" s="2375"/>
      <c r="G1151" s="2375"/>
      <c r="H1151" s="2085"/>
      <c r="I1151" s="2086"/>
      <c r="J1151" s="2086"/>
      <c r="K1151" s="2086"/>
      <c r="L1151" s="2087"/>
      <c r="M1151" s="2087"/>
      <c r="N1151" s="2087"/>
      <c r="O1151" s="2087"/>
      <c r="P1151" s="2087"/>
      <c r="Q1151" s="2087"/>
    </row>
    <row r="1152" spans="1:17" ht="14.25">
      <c r="A1152" s="2084" t="str">
        <f>'Part VII-Threshold Criteria'!A309</f>
        <v>The development is an effective, efficient, and lawful allocation and utilization of the Housing Credit Program.</v>
      </c>
      <c r="B1152" s="2084"/>
      <c r="C1152" s="2084"/>
      <c r="D1152" s="2084"/>
      <c r="E1152" s="2084"/>
      <c r="F1152" s="2084"/>
      <c r="G1152" s="2084"/>
      <c r="H1152" s="2084"/>
      <c r="I1152" s="2084"/>
      <c r="J1152" s="2084"/>
      <c r="K1152" s="2084"/>
      <c r="L1152" s="2084"/>
      <c r="M1152" s="2084"/>
      <c r="N1152" s="2084"/>
      <c r="O1152" s="2084"/>
      <c r="P1152" s="2084"/>
      <c r="Q1152" s="2084"/>
    </row>
    <row r="1153" spans="1:32" ht="14.25">
      <c r="A1153" s="2084"/>
      <c r="B1153" s="2374" t="s">
        <v>1447</v>
      </c>
      <c r="C1153" s="2374"/>
      <c r="D1153" s="2085"/>
      <c r="E1153" s="2085"/>
      <c r="F1153" s="2085"/>
      <c r="G1153" s="2085"/>
      <c r="H1153" s="2085"/>
      <c r="I1153" s="2085"/>
      <c r="J1153" s="2085"/>
      <c r="K1153" s="2085"/>
      <c r="L1153" s="2085"/>
      <c r="M1153" s="2085"/>
      <c r="N1153" s="2085"/>
      <c r="O1153" s="2085"/>
      <c r="P1153" s="2085"/>
      <c r="Q1153" s="2085"/>
    </row>
    <row r="1154" spans="1:32" ht="14.25">
      <c r="A1154" s="2084"/>
      <c r="B1154" s="2084"/>
      <c r="C1154" s="2084"/>
      <c r="D1154" s="2084"/>
      <c r="E1154" s="2084"/>
      <c r="F1154" s="2084"/>
      <c r="G1154" s="2084"/>
      <c r="H1154" s="2084"/>
      <c r="I1154" s="2084"/>
      <c r="J1154" s="2084"/>
      <c r="K1154" s="2084"/>
      <c r="L1154" s="2084"/>
      <c r="M1154" s="2084"/>
      <c r="N1154" s="2084"/>
      <c r="O1154" s="2084"/>
      <c r="P1154" s="2084"/>
      <c r="Q1154" s="2084"/>
    </row>
    <row r="1158" spans="1:32" ht="15">
      <c r="A1158" s="1628" t="str">
        <f>CONCATENATE("PART EIGHT - SCORING CRITERIA","  -  ",'Part I-Project Identification'!$O$7," ",'Part I-Project Identification'!$F$26,", ",'Part I-Project Identification'!F1100,", ",'Part I-Project Identification'!J1100," County")</f>
        <v>PART EIGHT - SCORING CRITERIA  -  2024-0 Finley Place, ,  County</v>
      </c>
      <c r="B1158" s="1628"/>
      <c r="C1158" s="1628"/>
      <c r="D1158" s="1628"/>
      <c r="E1158" s="1628"/>
      <c r="F1158" s="1628"/>
      <c r="G1158" s="1628"/>
      <c r="H1158" s="1628"/>
      <c r="I1158" s="1628"/>
      <c r="J1158" s="1628"/>
      <c r="K1158" s="1628"/>
      <c r="L1158" s="1628"/>
      <c r="M1158" s="1628"/>
      <c r="N1158" s="1628"/>
      <c r="O1158" s="1628"/>
      <c r="P1158" s="1628"/>
      <c r="Q1158" s="1628"/>
      <c r="R1158" s="1628"/>
      <c r="S1158" s="1628"/>
      <c r="T1158" s="1628"/>
      <c r="U1158" s="1628"/>
      <c r="V1158" s="1628"/>
      <c r="W1158" s="1628"/>
      <c r="X1158" s="2401"/>
      <c r="Y1158" s="1658"/>
      <c r="Z1158" s="1658"/>
      <c r="AA1158" s="1658"/>
      <c r="AB1158" s="1658"/>
      <c r="AC1158" s="1658"/>
      <c r="AD1158" s="1658"/>
      <c r="AE1158" s="1658"/>
      <c r="AF1158" s="1658"/>
    </row>
    <row r="1159" spans="1:32" ht="15">
      <c r="A1159" s="1629"/>
      <c r="B1159" s="1629"/>
      <c r="C1159" s="2402"/>
      <c r="D1159" s="1629"/>
      <c r="E1159" s="1629"/>
      <c r="F1159" s="1629"/>
      <c r="G1159" s="1629"/>
      <c r="H1159" s="1629"/>
      <c r="I1159" s="1629"/>
      <c r="J1159" s="1629"/>
      <c r="K1159" s="1629"/>
      <c r="L1159" s="1629"/>
      <c r="M1159" s="1643"/>
      <c r="N1159" s="1643"/>
      <c r="O1159" s="2555"/>
      <c r="P1159" s="2555"/>
      <c r="Q1159" s="1628"/>
      <c r="R1159" s="1628"/>
      <c r="S1159" s="1628"/>
      <c r="T1159" s="1628"/>
      <c r="U1159" s="1628"/>
      <c r="V1159" s="1628"/>
      <c r="W1159" s="1628"/>
      <c r="X1159" s="2401"/>
      <c r="Y1159" s="1658"/>
      <c r="Z1159" s="1658"/>
      <c r="AA1159" s="1658"/>
      <c r="AB1159" s="1658"/>
      <c r="AC1159" s="1658"/>
      <c r="AD1159" s="1658"/>
      <c r="AE1159" s="1658"/>
      <c r="AF1159" s="1658"/>
    </row>
    <row r="1160" spans="1:32" ht="14.1" customHeight="1">
      <c r="A1160" s="2403" t="s">
        <v>1746</v>
      </c>
      <c r="B1160" s="2403"/>
      <c r="C1160" s="2403"/>
      <c r="D1160" s="2403"/>
      <c r="E1160" s="2403"/>
      <c r="F1160" s="2403"/>
      <c r="G1160" s="2403"/>
      <c r="H1160" s="2403"/>
      <c r="I1160" s="2403"/>
      <c r="J1160" s="2403"/>
      <c r="K1160" s="2403"/>
      <c r="L1160" s="2403"/>
      <c r="M1160" s="2555" t="s">
        <v>1747</v>
      </c>
      <c r="N1160" s="1643"/>
      <c r="O1160" s="2555" t="s">
        <v>1748</v>
      </c>
      <c r="P1160" s="2555" t="s">
        <v>1749</v>
      </c>
      <c r="Q1160" s="1628"/>
      <c r="R1160" s="1628"/>
      <c r="S1160" s="1628"/>
      <c r="T1160" s="1628"/>
      <c r="U1160" s="1628"/>
      <c r="V1160" s="1628"/>
      <c r="W1160" s="1628"/>
      <c r="X1160" s="2401"/>
      <c r="Y1160" s="1629"/>
      <c r="Z1160" s="1629"/>
      <c r="AA1160" s="1629"/>
      <c r="AB1160" s="1629"/>
      <c r="AC1160" s="1629"/>
      <c r="AD1160" s="1629"/>
      <c r="AE1160" s="1629"/>
      <c r="AF1160" s="1629"/>
    </row>
    <row r="1161" spans="1:32" ht="14.1" customHeight="1">
      <c r="A1161" s="2403"/>
      <c r="B1161" s="2403"/>
      <c r="C1161" s="2403"/>
      <c r="D1161" s="2403"/>
      <c r="E1161" s="2403"/>
      <c r="F1161" s="2403"/>
      <c r="G1161" s="2403"/>
      <c r="H1161" s="2403"/>
      <c r="I1161" s="2403"/>
      <c r="J1161" s="2403"/>
      <c r="K1161" s="2403"/>
      <c r="L1161" s="2403"/>
      <c r="M1161" s="2555" t="s">
        <v>1750</v>
      </c>
      <c r="N1161" s="1628"/>
      <c r="O1161" s="2555" t="s">
        <v>1750</v>
      </c>
      <c r="P1161" s="2555" t="s">
        <v>1750</v>
      </c>
      <c r="Q1161" s="1628"/>
      <c r="R1161" s="1628"/>
      <c r="S1161" s="1628"/>
      <c r="T1161" s="1628"/>
      <c r="U1161" s="1628"/>
      <c r="V1161" s="1628"/>
      <c r="W1161" s="1629"/>
      <c r="X1161" s="1629"/>
      <c r="Y1161" s="1629"/>
      <c r="Z1161" s="1629"/>
      <c r="AA1161" s="1629"/>
      <c r="AB1161" s="1629"/>
      <c r="AC1161" s="1629"/>
      <c r="AD1161" s="1629"/>
      <c r="AE1161" s="1629"/>
      <c r="AF1161" s="1629"/>
    </row>
    <row r="1162" spans="1:32" ht="15">
      <c r="A1162" s="1629"/>
      <c r="B1162" s="1629"/>
      <c r="C1162" s="1629"/>
      <c r="D1162" s="1629"/>
      <c r="E1162" s="1629"/>
      <c r="F1162" s="1629"/>
      <c r="G1162" s="1629"/>
      <c r="H1162" s="1629"/>
      <c r="I1162" s="1629"/>
      <c r="J1162" s="1629"/>
      <c r="K1162" s="1629"/>
      <c r="L1162" s="1629"/>
      <c r="M1162" s="2557"/>
      <c r="N1162" s="1628"/>
      <c r="O1162" s="2555"/>
      <c r="P1162" s="2557"/>
      <c r="Q1162" s="1628"/>
      <c r="R1162" s="1628"/>
      <c r="S1162" s="1628"/>
      <c r="T1162" s="1628"/>
      <c r="U1162" s="1628"/>
      <c r="V1162" s="1628"/>
      <c r="W1162" s="1629"/>
      <c r="X1162" s="1629"/>
      <c r="Y1162" s="1629"/>
      <c r="Z1162" s="1629"/>
      <c r="AA1162" s="1629"/>
      <c r="AB1162" s="1629"/>
      <c r="AC1162" s="1629"/>
      <c r="AD1162" s="1629"/>
      <c r="AE1162" s="1629"/>
      <c r="AF1162" s="1629"/>
    </row>
    <row r="1163" spans="1:32" ht="15">
      <c r="A1163" s="1629"/>
      <c r="B1163" s="2404" t="str">
        <f>'Part I-Project Identification'!$A$6</f>
        <v>2024 May 7</v>
      </c>
      <c r="C1163" s="2404"/>
      <c r="D1163" s="2404"/>
      <c r="E1163" s="2404"/>
      <c r="F1163" s="2404"/>
      <c r="G1163" s="1629"/>
      <c r="H1163" s="1629"/>
      <c r="I1163" s="1629"/>
      <c r="J1163" s="1629"/>
      <c r="K1163" s="1629"/>
      <c r="L1163" s="2555" t="s">
        <v>1751</v>
      </c>
      <c r="M1163" s="1657"/>
      <c r="N1163" s="2405"/>
      <c r="O1163" s="2406">
        <f>O1556</f>
        <v>86.5</v>
      </c>
      <c r="P1163" s="2406">
        <f>P1556</f>
        <v>12</v>
      </c>
      <c r="Q1163" s="1628" t="s">
        <v>1752</v>
      </c>
      <c r="R1163" s="1629"/>
      <c r="S1163" s="1629"/>
      <c r="T1163" s="1629"/>
      <c r="U1163" s="1629"/>
      <c r="V1163" s="1629"/>
      <c r="W1163" s="1629"/>
      <c r="X1163" s="1629"/>
      <c r="Y1163" s="1629"/>
      <c r="Z1163" s="1629"/>
      <c r="AA1163" s="1629"/>
      <c r="AB1163" s="1629"/>
      <c r="AC1163" s="1629"/>
      <c r="AD1163" s="1629"/>
      <c r="AE1163" s="1629"/>
      <c r="AF1163" s="1629"/>
    </row>
    <row r="1164" spans="1:32" ht="15">
      <c r="A1164" s="1629"/>
      <c r="B1164" s="2071"/>
      <c r="C1164" s="1629"/>
      <c r="D1164" s="1629"/>
      <c r="E1164" s="1629"/>
      <c r="F1164" s="1629"/>
      <c r="G1164" s="1629"/>
      <c r="H1164" s="1629"/>
      <c r="I1164" s="1629"/>
      <c r="J1164" s="1629"/>
      <c r="K1164" s="1629"/>
      <c r="L1164" s="1629"/>
      <c r="M1164" s="1643"/>
      <c r="N1164" s="2556"/>
      <c r="O1164" s="1657"/>
      <c r="P1164" s="2555"/>
      <c r="Q1164" s="1629"/>
      <c r="R1164" s="1629"/>
      <c r="S1164" s="1629"/>
      <c r="T1164" s="1629"/>
      <c r="U1164" s="1629"/>
      <c r="V1164" s="1629"/>
      <c r="W1164" s="1629"/>
      <c r="X1164" s="1629"/>
      <c r="Y1164" s="1629"/>
      <c r="Z1164" s="1658"/>
      <c r="AA1164" s="1658"/>
      <c r="AB1164" s="1658"/>
      <c r="AC1164" s="1658"/>
      <c r="AD1164" s="1658"/>
      <c r="AE1164" s="1658"/>
      <c r="AF1164" s="1658"/>
    </row>
    <row r="1165" spans="1:32" ht="15">
      <c r="A1165" s="2064" t="s">
        <v>25</v>
      </c>
      <c r="B1165" s="2065" t="s">
        <v>1753</v>
      </c>
      <c r="C1165" s="1628"/>
      <c r="D1165" s="1629"/>
      <c r="E1165" s="1629"/>
      <c r="F1165" s="1629"/>
      <c r="G1165" s="2407"/>
      <c r="H1165" s="1629"/>
      <c r="I1165" s="2407"/>
      <c r="J1165" s="2407"/>
      <c r="K1165" s="2407"/>
      <c r="L1165" s="2407"/>
      <c r="M1165" s="2407"/>
      <c r="N1165" s="2407"/>
      <c r="O1165" s="2407"/>
      <c r="P1165" s="2407"/>
      <c r="Q1165" s="1629"/>
      <c r="R1165" s="1629"/>
      <c r="S1165" s="1629"/>
      <c r="T1165" s="1629"/>
      <c r="U1165" s="1629"/>
      <c r="V1165" s="1629"/>
      <c r="W1165" s="1629"/>
      <c r="X1165" s="1629"/>
      <c r="Y1165" s="1629"/>
      <c r="Z1165" s="1629"/>
      <c r="AA1165" s="1629"/>
      <c r="AB1165" s="1629"/>
      <c r="AC1165" s="1629"/>
      <c r="AD1165" s="1629"/>
      <c r="AE1165" s="1629"/>
      <c r="AF1165" s="1629"/>
    </row>
    <row r="1166" spans="1:32" ht="15">
      <c r="A1166" s="1658"/>
      <c r="B1166" s="1658"/>
      <c r="C1166" s="1658"/>
      <c r="D1166" s="1658"/>
      <c r="E1166" s="1658"/>
      <c r="F1166" s="1658"/>
      <c r="G1166" s="1658"/>
      <c r="H1166" s="1658"/>
      <c r="I1166" s="1658"/>
      <c r="J1166" s="1658"/>
      <c r="K1166" s="1658"/>
      <c r="L1166" s="1658"/>
      <c r="M1166" s="1658"/>
      <c r="N1166" s="2556"/>
      <c r="O1166" s="2557"/>
      <c r="P1166" s="2557"/>
      <c r="Q1166" s="1658"/>
      <c r="R1166" s="1658"/>
      <c r="S1166" s="1658"/>
      <c r="T1166" s="1658"/>
      <c r="U1166" s="1658"/>
      <c r="V1166" s="1658"/>
      <c r="W1166" s="1658"/>
      <c r="X1166" s="1658"/>
      <c r="Y1166" s="1658"/>
      <c r="Z1166" s="1658"/>
      <c r="AA1166" s="1658"/>
      <c r="AB1166" s="1658"/>
      <c r="AC1166" s="1658"/>
      <c r="AD1166" s="1658"/>
      <c r="AE1166" s="1658"/>
      <c r="AF1166" s="1658"/>
    </row>
    <row r="1167" spans="1:32" ht="14.1" customHeight="1">
      <c r="A1167" s="1658" t="s">
        <v>1754</v>
      </c>
      <c r="B1167" s="1658"/>
      <c r="C1167" s="1658"/>
      <c r="D1167" s="1658"/>
      <c r="E1167" s="2408" t="str">
        <f>IF(OR((C1169-A1169&gt;0),(D1169-A1169&gt;0)),"Points Exceed Max!","")</f>
        <v/>
      </c>
      <c r="F1167" s="1628" t="s">
        <v>1755</v>
      </c>
      <c r="G1167" s="1628"/>
      <c r="H1167" s="1628"/>
      <c r="I1167" s="1628"/>
      <c r="J1167" s="1628" t="s">
        <v>1756</v>
      </c>
      <c r="K1167" s="1628"/>
      <c r="L1167" s="1628"/>
      <c r="M1167" s="1628"/>
      <c r="N1167" s="2556"/>
      <c r="O1167" s="1629" t="s">
        <v>1757</v>
      </c>
      <c r="P1167" s="1629"/>
      <c r="Q1167" s="1658"/>
      <c r="R1167" s="1658"/>
      <c r="S1167" s="1658"/>
      <c r="T1167" s="1658"/>
      <c r="U1167" s="1658"/>
      <c r="V1167" s="1658"/>
      <c r="W1167" s="1658"/>
      <c r="X1167" s="1658"/>
      <c r="Y1167" s="1658"/>
      <c r="Z1167" s="1658"/>
      <c r="AA1167" s="1658"/>
      <c r="AB1167" s="1658"/>
      <c r="AC1167" s="1658"/>
      <c r="AD1167" s="1658"/>
      <c r="AE1167" s="1658"/>
      <c r="AF1167" s="1658"/>
    </row>
    <row r="1168" spans="1:32" ht="15">
      <c r="A1168" s="1629" t="s">
        <v>1747</v>
      </c>
      <c r="B1168" s="1629"/>
      <c r="C1168" s="1643" t="s">
        <v>1758</v>
      </c>
      <c r="D1168" s="1643" t="s">
        <v>1749</v>
      </c>
      <c r="E1168" s="2408"/>
      <c r="F1168" s="1628"/>
      <c r="G1168" s="1628"/>
      <c r="H1168" s="1628"/>
      <c r="I1168" s="1628"/>
      <c r="J1168" s="1628"/>
      <c r="K1168" s="1628"/>
      <c r="L1168" s="1628"/>
      <c r="M1168" s="1628"/>
      <c r="N1168" s="2556"/>
      <c r="O1168" s="1629"/>
      <c r="P1168" s="1629"/>
      <c r="Q1168" s="1658"/>
      <c r="R1168" s="1658"/>
      <c r="S1168" s="1658"/>
      <c r="T1168" s="1658"/>
      <c r="U1168" s="1658"/>
      <c r="V1168" s="1658"/>
      <c r="W1168" s="1658"/>
      <c r="X1168" s="1658"/>
      <c r="Y1168" s="1658"/>
      <c r="Z1168" s="1658"/>
      <c r="AA1168" s="1658"/>
      <c r="AB1168" s="1658"/>
      <c r="AC1168" s="1658"/>
      <c r="AD1168" s="1658"/>
      <c r="AE1168" s="1658"/>
      <c r="AF1168" s="1658"/>
    </row>
    <row r="1169" spans="1:32" ht="15">
      <c r="A1169" s="1628">
        <v>33</v>
      </c>
      <c r="B1169" s="1628"/>
      <c r="C1169" s="1628">
        <f>IF($O$12="4%",O1317+O1326+O1347+O1363+O1395+O1414,0)</f>
        <v>0</v>
      </c>
      <c r="D1169" s="1628">
        <f>IF($O$12="4%",P1317+P1326+P1347+P1363+P1395+P1414,0)</f>
        <v>0</v>
      </c>
      <c r="E1169" s="2408"/>
      <c r="F1169" s="1628" t="str">
        <f>'Part VIII Scoring Criteria'!F12</f>
        <v>New Affordability</v>
      </c>
      <c r="G1169" s="1628"/>
      <c r="H1169" s="1628" t="s">
        <v>1759</v>
      </c>
      <c r="I1169" s="1628"/>
      <c r="J1169" s="1628" t="str">
        <f>'Part VIII Scoring Criteria'!J12</f>
        <v>Atlanta Metro</v>
      </c>
      <c r="K1169" s="1628"/>
      <c r="L1169" s="1628" t="s">
        <v>1761</v>
      </c>
      <c r="M1169" s="1628"/>
      <c r="N1169" s="2556"/>
      <c r="O1169" s="162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628"/>
      <c r="Q1169" s="1658"/>
      <c r="R1169" s="1658"/>
      <c r="S1169" s="1658"/>
      <c r="T1169" s="1658"/>
      <c r="U1169" s="1658"/>
      <c r="V1169" s="1658"/>
      <c r="W1169" s="1658"/>
      <c r="X1169" s="1658"/>
      <c r="Y1169" s="1658"/>
      <c r="Z1169" s="1658"/>
      <c r="AA1169" s="1658"/>
      <c r="AB1169" s="1658"/>
      <c r="AC1169" s="1658"/>
      <c r="AD1169" s="1658"/>
      <c r="AE1169" s="1658"/>
      <c r="AF1169" s="1658"/>
    </row>
    <row r="1170" spans="1:32" ht="15">
      <c r="A1170" s="1628"/>
      <c r="B1170" s="1628"/>
      <c r="C1170" s="1628"/>
      <c r="D1170" s="1628"/>
      <c r="E1170" s="2408"/>
      <c r="F1170" s="1628"/>
      <c r="G1170" s="1628"/>
      <c r="H1170" s="1628"/>
      <c r="I1170" s="1628"/>
      <c r="J1170" s="1628"/>
      <c r="K1170" s="1628"/>
      <c r="L1170" s="1628"/>
      <c r="M1170" s="1628"/>
      <c r="N1170" s="2556"/>
      <c r="O1170" s="1628"/>
      <c r="P1170" s="1628"/>
      <c r="Q1170" s="1658"/>
      <c r="R1170" s="1658"/>
      <c r="S1170" s="1658"/>
      <c r="T1170" s="1658"/>
      <c r="U1170" s="1658"/>
      <c r="V1170" s="1658"/>
      <c r="W1170" s="1658"/>
      <c r="X1170" s="1658"/>
      <c r="Y1170" s="1658"/>
      <c r="Z1170" s="1658"/>
      <c r="AA1170" s="1658"/>
      <c r="AB1170" s="1658"/>
      <c r="AC1170" s="1658"/>
      <c r="AD1170" s="1658"/>
      <c r="AE1170" s="1658"/>
      <c r="AF1170" s="1658"/>
    </row>
    <row r="1171" spans="1:32" ht="15">
      <c r="A1171" s="1629"/>
      <c r="B1171" s="2071"/>
      <c r="C1171" s="1629"/>
      <c r="D1171" s="1628"/>
      <c r="E1171" s="1629"/>
      <c r="F1171" s="1629"/>
      <c r="G1171" s="2072"/>
      <c r="H1171" s="2072"/>
      <c r="I1171" s="2072"/>
      <c r="J1171" s="2072"/>
      <c r="K1171" s="2072"/>
      <c r="L1171" s="2072"/>
      <c r="M1171" s="1643"/>
      <c r="N1171" s="2556"/>
      <c r="O1171" s="1657"/>
      <c r="P1171" s="2555"/>
      <c r="Q1171" s="1658"/>
      <c r="R1171" s="1629"/>
      <c r="S1171" s="1629"/>
      <c r="T1171" s="1629"/>
      <c r="U1171" s="1629"/>
      <c r="V1171" s="1629"/>
      <c r="W1171" s="1629"/>
      <c r="X1171" s="2073"/>
      <c r="Y1171" s="2073"/>
      <c r="Z1171" s="2073"/>
      <c r="AA1171" s="2073"/>
      <c r="AB1171" s="2073"/>
      <c r="AC1171" s="2073"/>
      <c r="AD1171" s="2073"/>
      <c r="AE1171" s="2073"/>
      <c r="AF1171" s="2073"/>
    </row>
    <row r="1172" spans="1:32" ht="15">
      <c r="A1172" s="1629"/>
      <c r="B1172" s="2071"/>
      <c r="C1172" s="1628" t="s">
        <v>1762</v>
      </c>
      <c r="D1172" s="1628"/>
      <c r="E1172" s="1628"/>
      <c r="F1172" s="1628"/>
      <c r="G1172" s="1628"/>
      <c r="H1172" s="1628"/>
      <c r="I1172" s="1628"/>
      <c r="J1172" s="1628"/>
      <c r="K1172" s="1628"/>
      <c r="L1172" s="1628"/>
      <c r="M1172" s="1643"/>
      <c r="N1172" s="2556"/>
      <c r="O1172" s="1657"/>
      <c r="P1172" s="2555"/>
      <c r="Q1172" s="1629"/>
      <c r="R1172" s="1629"/>
      <c r="S1172" s="1629"/>
      <c r="T1172" s="1629"/>
      <c r="U1172" s="1629"/>
      <c r="V1172" s="1629"/>
      <c r="W1172" s="1629"/>
      <c r="X1172" s="1629"/>
      <c r="Y1172" s="1629"/>
      <c r="Z1172" s="1629"/>
      <c r="AA1172" s="1629"/>
      <c r="AB1172" s="1629"/>
      <c r="AC1172" s="1629"/>
      <c r="AD1172" s="1629"/>
      <c r="AE1172" s="1629"/>
      <c r="AF1172" s="2073"/>
    </row>
    <row r="1173" spans="1:32" ht="15">
      <c r="A1173" s="1629"/>
      <c r="B1173" s="2071"/>
      <c r="C1173" s="1628" t="str">
        <f>'Part VIII Scoring Criteria'!C16</f>
        <v>Stable Communities</v>
      </c>
      <c r="D1173" s="1628"/>
      <c r="E1173" s="1628"/>
      <c r="F1173" s="1628"/>
      <c r="G1173" s="1628"/>
      <c r="H1173" s="1628" t="s">
        <v>1764</v>
      </c>
      <c r="I1173" s="1628"/>
      <c r="J1173" s="1628"/>
      <c r="K1173" s="1628"/>
      <c r="L1173" s="1628"/>
      <c r="M1173" s="1643"/>
      <c r="N1173" s="2556"/>
      <c r="O1173" s="1657"/>
      <c r="P1173" s="2555"/>
      <c r="Q1173" s="1629"/>
      <c r="R1173" s="1629"/>
      <c r="S1173" s="1629"/>
      <c r="T1173" s="1629"/>
      <c r="U1173" s="1629"/>
      <c r="V1173" s="1629"/>
      <c r="W1173" s="1629"/>
      <c r="X1173" s="1629"/>
      <c r="Y1173" s="1629"/>
      <c r="Z1173" s="1629"/>
      <c r="AA1173" s="1629"/>
      <c r="AB1173" s="1629"/>
      <c r="AC1173" s="1629"/>
      <c r="AD1173" s="1629"/>
      <c r="AE1173" s="1629"/>
      <c r="AF1173" s="2073"/>
    </row>
    <row r="1174" spans="1:32" ht="15">
      <c r="A1174" s="1658"/>
      <c r="B1174" s="1658"/>
      <c r="C1174" s="1658"/>
      <c r="D1174" s="1658"/>
      <c r="E1174" s="1658"/>
      <c r="F1174" s="1658"/>
      <c r="G1174" s="1658"/>
      <c r="H1174" s="1658"/>
      <c r="I1174" s="1658"/>
      <c r="J1174" s="1658"/>
      <c r="K1174" s="1658"/>
      <c r="L1174" s="1658"/>
      <c r="M1174" s="1658"/>
      <c r="N1174" s="2556"/>
      <c r="O1174" s="2557"/>
      <c r="P1174" s="2557"/>
      <c r="Q1174" s="1629"/>
      <c r="R1174" s="1629"/>
      <c r="S1174" s="1629"/>
      <c r="T1174" s="1629"/>
      <c r="U1174" s="1629"/>
      <c r="V1174" s="1629"/>
      <c r="W1174" s="1629"/>
      <c r="X1174" s="1629"/>
      <c r="Y1174" s="1629"/>
      <c r="Z1174" s="1629"/>
      <c r="AA1174" s="1629"/>
      <c r="AB1174" s="1629"/>
      <c r="AC1174" s="1629"/>
      <c r="AD1174" s="1629"/>
      <c r="AE1174" s="1629"/>
      <c r="AF1174" s="1658"/>
    </row>
    <row r="1175" spans="1:32" ht="14.1" customHeight="1">
      <c r="A1175" s="1658"/>
      <c r="B1175" s="1658"/>
      <c r="C1175" s="1629" t="s">
        <v>2283</v>
      </c>
      <c r="D1175" s="1629"/>
      <c r="E1175" s="1629"/>
      <c r="F1175" s="1629"/>
      <c r="G1175" s="1629"/>
      <c r="H1175" s="1629"/>
      <c r="I1175" s="1629"/>
      <c r="J1175" s="1629"/>
      <c r="K1175" s="1629"/>
      <c r="L1175" s="1629"/>
      <c r="M1175" s="1629"/>
      <c r="N1175" s="2556"/>
      <c r="O1175" s="2557"/>
      <c r="P1175" s="2557"/>
      <c r="Q1175" s="1629"/>
      <c r="R1175" s="1629"/>
      <c r="S1175" s="1629"/>
      <c r="T1175" s="1629"/>
      <c r="U1175" s="1629"/>
      <c r="V1175" s="1629"/>
      <c r="W1175" s="1629"/>
      <c r="X1175" s="1629"/>
      <c r="Y1175" s="1629"/>
      <c r="Z1175" s="1629"/>
      <c r="AA1175" s="1629"/>
      <c r="AB1175" s="1629"/>
      <c r="AC1175" s="1629"/>
      <c r="AD1175" s="1629"/>
      <c r="AE1175" s="1629"/>
      <c r="AF1175" s="1658"/>
    </row>
    <row r="1176" spans="1:32" ht="15">
      <c r="A1176" s="1658"/>
      <c r="B1176" s="1658"/>
      <c r="C1176" s="1658"/>
      <c r="D1176" s="1658"/>
      <c r="E1176" s="1658"/>
      <c r="F1176" s="1658"/>
      <c r="G1176" s="1658"/>
      <c r="H1176" s="1658"/>
      <c r="I1176" s="1658"/>
      <c r="J1176" s="1658"/>
      <c r="K1176" s="1658"/>
      <c r="L1176" s="1658"/>
      <c r="M1176" s="1658"/>
      <c r="N1176" s="2556"/>
      <c r="O1176" s="2557"/>
      <c r="P1176" s="2557"/>
      <c r="Q1176" s="1629"/>
      <c r="R1176" s="1629"/>
      <c r="S1176" s="1629"/>
      <c r="T1176" s="1629"/>
      <c r="U1176" s="1629"/>
      <c r="V1176" s="1629"/>
      <c r="W1176" s="1629"/>
      <c r="X1176" s="1629"/>
      <c r="Y1176" s="1629"/>
      <c r="Z1176" s="1629"/>
      <c r="AA1176" s="1629"/>
      <c r="AB1176" s="1629"/>
      <c r="AC1176" s="1629"/>
      <c r="AD1176" s="1629"/>
      <c r="AE1176" s="1629"/>
      <c r="AF1176" s="1658"/>
    </row>
    <row r="1177" spans="1:32" ht="15">
      <c r="A1177" s="2064" t="s">
        <v>32</v>
      </c>
      <c r="B1177" s="2065" t="s">
        <v>1766</v>
      </c>
      <c r="C1177" s="1658"/>
      <c r="D1177" s="1658"/>
      <c r="E1177" s="1658"/>
      <c r="F1177" s="1658"/>
      <c r="G1177" s="1658"/>
      <c r="H1177" s="1660"/>
      <c r="I1177" s="1658"/>
      <c r="J1177" s="1643"/>
      <c r="K1177" s="1629"/>
      <c r="L1177" s="2409" t="s">
        <v>1767</v>
      </c>
      <c r="M1177" s="2555">
        <v>6</v>
      </c>
      <c r="N1177" s="1643"/>
      <c r="O1177" s="1657">
        <f>'Part VIII Scoring Criteria'!O20</f>
        <v>6</v>
      </c>
      <c r="P1177" s="1657">
        <f>'Part VIII Scoring Criteria'!P20</f>
        <v>0</v>
      </c>
      <c r="Q1177" s="2555" t="s">
        <v>795</v>
      </c>
      <c r="R1177" s="1658"/>
      <c r="S1177" s="1658"/>
      <c r="T1177" s="2065"/>
      <c r="U1177" s="2065"/>
      <c r="V1177" s="1658"/>
      <c r="W1177" s="1658"/>
      <c r="X1177" s="1658"/>
      <c r="Y1177" s="1658"/>
      <c r="Z1177" s="1658"/>
      <c r="AA1177" s="1658"/>
      <c r="AB1177" s="1658"/>
      <c r="AC1177" s="1658"/>
      <c r="AD1177" s="1658"/>
      <c r="AE1177" s="1658"/>
      <c r="AF1177" s="1658"/>
    </row>
    <row r="1178" spans="1:32" ht="15">
      <c r="A1178" s="2555" t="s">
        <v>197</v>
      </c>
      <c r="B1178" s="1628" t="s">
        <v>1768</v>
      </c>
      <c r="C1178" s="1629"/>
      <c r="D1178" s="2410"/>
      <c r="E1178" s="2410"/>
      <c r="F1178" s="1629"/>
      <c r="G1178" s="1658"/>
      <c r="H1178" s="1629"/>
      <c r="I1178" s="1629"/>
      <c r="J1178" s="1629"/>
      <c r="K1178" s="1629"/>
      <c r="L1178" s="2411"/>
      <c r="M1178" s="1643">
        <v>5</v>
      </c>
      <c r="N1178" s="2067"/>
      <c r="O1178" s="1657">
        <f>'Part VIII Scoring Criteria'!O21</f>
        <v>5</v>
      </c>
      <c r="P1178" s="1657">
        <f>'Part VIII Scoring Criteria'!P21</f>
        <v>0</v>
      </c>
      <c r="Q1178" s="2412"/>
      <c r="R1178" s="2413"/>
      <c r="S1178" s="1629"/>
      <c r="T1178" s="2065"/>
      <c r="U1178" s="2065"/>
      <c r="V1178" s="1629"/>
      <c r="W1178" s="1629"/>
      <c r="X1178" s="1629"/>
      <c r="Y1178" s="1629"/>
      <c r="Z1178" s="1629"/>
      <c r="AA1178" s="1629"/>
      <c r="AB1178" s="1629"/>
      <c r="AC1178" s="1629"/>
      <c r="AD1178" s="1629"/>
      <c r="AE1178" s="1629"/>
      <c r="AF1178" s="1629"/>
    </row>
    <row r="1179" spans="1:32" ht="15">
      <c r="A1179" s="2555"/>
      <c r="B1179" s="2414" t="s">
        <v>212</v>
      </c>
      <c r="C1179" s="1660" t="s">
        <v>1769</v>
      </c>
      <c r="D1179" s="2410"/>
      <c r="E1179" s="2410"/>
      <c r="F1179" s="1629"/>
      <c r="G1179" s="1658"/>
      <c r="H1179" s="1629"/>
      <c r="I1179" s="1629"/>
      <c r="J1179" s="1629"/>
      <c r="K1179" s="1629"/>
      <c r="L1179" s="2411"/>
      <c r="M1179" s="1643">
        <v>5</v>
      </c>
      <c r="N1179" s="2415"/>
      <c r="O1179" s="2555" t="str">
        <f>'Part VIII Scoring Criteria'!O22</f>
        <v>Yes</v>
      </c>
      <c r="P1179" s="2555"/>
      <c r="Q1179" s="2412"/>
      <c r="R1179" s="2413"/>
      <c r="S1179" s="1629"/>
      <c r="T1179" s="2065"/>
      <c r="U1179" s="2065"/>
      <c r="V1179" s="1629"/>
      <c r="W1179" s="1629"/>
      <c r="X1179" s="1629"/>
      <c r="Y1179" s="1629"/>
      <c r="Z1179" s="1629"/>
      <c r="AA1179" s="1629"/>
      <c r="AB1179" s="1629"/>
      <c r="AC1179" s="1629"/>
      <c r="AD1179" s="1629"/>
      <c r="AE1179" s="1629"/>
      <c r="AF1179" s="1629"/>
    </row>
    <row r="1180" spans="1:32" ht="15">
      <c r="A1180" s="2555"/>
      <c r="B1180" s="2416" t="s">
        <v>220</v>
      </c>
      <c r="C1180" s="1660" t="s">
        <v>1770</v>
      </c>
      <c r="D1180" s="2410"/>
      <c r="E1180" s="2410"/>
      <c r="F1180" s="1629"/>
      <c r="G1180" s="1658"/>
      <c r="H1180" s="1629"/>
      <c r="I1180" s="1629"/>
      <c r="J1180" s="1629"/>
      <c r="K1180" s="1629"/>
      <c r="L1180" s="2411"/>
      <c r="M1180" s="1643">
        <v>3</v>
      </c>
      <c r="N1180" s="2415"/>
      <c r="O1180" s="2555">
        <f>'Part VIII Scoring Criteria'!O23</f>
        <v>0</v>
      </c>
      <c r="P1180" s="2555"/>
      <c r="Q1180" s="2412"/>
      <c r="R1180" s="2413"/>
      <c r="S1180" s="1629"/>
      <c r="T1180" s="2065"/>
      <c r="U1180" s="2065"/>
      <c r="V1180" s="1629"/>
      <c r="W1180" s="1629"/>
      <c r="X1180" s="1629"/>
      <c r="Y1180" s="1629"/>
      <c r="Z1180" s="1629"/>
      <c r="AA1180" s="1629"/>
      <c r="AB1180" s="1629"/>
      <c r="AC1180" s="1629"/>
      <c r="AD1180" s="1629"/>
      <c r="AE1180" s="1629"/>
      <c r="AF1180" s="1629"/>
    </row>
    <row r="1181" spans="1:32" ht="15">
      <c r="A1181" s="2555"/>
      <c r="B1181" s="2416" t="s">
        <v>224</v>
      </c>
      <c r="C1181" s="1660" t="s">
        <v>1771</v>
      </c>
      <c r="D1181" s="2410"/>
      <c r="E1181" s="2410"/>
      <c r="F1181" s="1629"/>
      <c r="G1181" s="1658"/>
      <c r="H1181" s="1629"/>
      <c r="I1181" s="1629"/>
      <c r="J1181" s="1629"/>
      <c r="K1181" s="2067"/>
      <c r="L1181" s="1629"/>
      <c r="M1181" s="1643">
        <v>1</v>
      </c>
      <c r="N1181" s="2415"/>
      <c r="O1181" s="2555">
        <f>'Part VIII Scoring Criteria'!O24</f>
        <v>0</v>
      </c>
      <c r="P1181" s="2555"/>
      <c r="Q1181" s="1629"/>
      <c r="R1181" s="1658"/>
      <c r="S1181" s="1629"/>
      <c r="T1181" s="2065"/>
      <c r="U1181" s="2065"/>
      <c r="V1181" s="1629"/>
      <c r="W1181" s="1629"/>
      <c r="X1181" s="1629"/>
      <c r="Y1181" s="1629"/>
      <c r="Z1181" s="1629"/>
      <c r="AA1181" s="1629"/>
      <c r="AB1181" s="1629"/>
      <c r="AC1181" s="1629"/>
      <c r="AD1181" s="1629"/>
      <c r="AE1181" s="1629"/>
      <c r="AF1181" s="1629"/>
    </row>
    <row r="1182" spans="1:32" ht="15">
      <c r="A1182" s="2555" t="s">
        <v>209</v>
      </c>
      <c r="B1182" s="1628" t="s">
        <v>1772</v>
      </c>
      <c r="C1182" s="1658"/>
      <c r="D1182" s="1629"/>
      <c r="E1182" s="1658"/>
      <c r="F1182" s="1658"/>
      <c r="G1182" s="1658"/>
      <c r="H1182" s="1658"/>
      <c r="I1182" s="1658"/>
      <c r="J1182" s="1658"/>
      <c r="K1182" s="1629"/>
      <c r="L1182" s="2411" t="str">
        <f>IF(OR($O1182=$M1182,$O1182=0,$O1182=""),"","* * Check Score! * *")</f>
        <v/>
      </c>
      <c r="M1182" s="1643">
        <v>1</v>
      </c>
      <c r="N1182" s="2067"/>
      <c r="O1182" s="1657">
        <f>'Part VIII Scoring Criteria'!O25</f>
        <v>0</v>
      </c>
      <c r="P1182" s="1657">
        <f>'Part VIII Scoring Criteria'!P25</f>
        <v>0</v>
      </c>
      <c r="Q1182" s="2412" t="str">
        <f>IF(OR($O1182=$M1182,$O1182=0,$O1182=""),"","*CHECK!*")</f>
        <v/>
      </c>
      <c r="R1182" s="2413"/>
      <c r="S1182" s="1658"/>
      <c r="T1182" s="2065"/>
      <c r="U1182" s="2065"/>
      <c r="V1182" s="1658"/>
      <c r="W1182" s="1658"/>
      <c r="X1182" s="1658"/>
      <c r="Y1182" s="1658"/>
      <c r="Z1182" s="1658"/>
      <c r="AA1182" s="1658"/>
      <c r="AB1182" s="1658"/>
      <c r="AC1182" s="1658"/>
      <c r="AD1182" s="1658"/>
      <c r="AE1182" s="1658"/>
      <c r="AF1182" s="1658"/>
    </row>
    <row r="1183" spans="1:32" ht="14.45" customHeight="1">
      <c r="A1183" s="2417"/>
      <c r="B1183" s="1629" t="s">
        <v>1773</v>
      </c>
      <c r="C1183" s="1629"/>
      <c r="D1183" s="1629"/>
      <c r="E1183" s="1629"/>
      <c r="F1183" s="1629"/>
      <c r="G1183" s="1629"/>
      <c r="H1183" s="1629"/>
      <c r="I1183" s="1629"/>
      <c r="J1183" s="1629"/>
      <c r="K1183" s="1629"/>
      <c r="L1183" s="1629"/>
      <c r="M1183" s="1643"/>
      <c r="N1183" s="2067"/>
      <c r="O1183" s="2555" t="str">
        <f>'Part VIII Scoring Criteria'!O26</f>
        <v>N/a</v>
      </c>
      <c r="P1183" s="2418"/>
      <c r="Q1183" s="1658"/>
      <c r="R1183" s="2411"/>
      <c r="S1183" s="1658"/>
      <c r="T1183" s="2065"/>
      <c r="U1183" s="2065"/>
      <c r="V1183" s="1658"/>
      <c r="W1183" s="1658"/>
      <c r="X1183" s="1658"/>
      <c r="Y1183" s="1658"/>
      <c r="Z1183" s="1658"/>
      <c r="AA1183" s="1658"/>
      <c r="AB1183" s="1658"/>
      <c r="AC1183" s="1658"/>
      <c r="AD1183" s="1658"/>
      <c r="AE1183" s="1658"/>
      <c r="AF1183" s="1658"/>
    </row>
    <row r="1184" spans="1:32" ht="15">
      <c r="A1184" s="2555" t="s">
        <v>230</v>
      </c>
      <c r="B1184" s="1628" t="s">
        <v>2284</v>
      </c>
      <c r="C1184" s="1658"/>
      <c r="D1184" s="1629"/>
      <c r="E1184" s="1658"/>
      <c r="F1184" s="1658"/>
      <c r="G1184" s="1658"/>
      <c r="H1184" s="1629"/>
      <c r="I1184" s="1658"/>
      <c r="J1184" s="1658"/>
      <c r="K1184" s="1629"/>
      <c r="L1184" s="2411"/>
      <c r="M1184" s="1643">
        <v>1</v>
      </c>
      <c r="N1184" s="2067"/>
      <c r="O1184" s="1657">
        <f>'Part VIII Scoring Criteria'!O27</f>
        <v>1</v>
      </c>
      <c r="P1184" s="1657">
        <f>'Part VIII Scoring Criteria'!P27</f>
        <v>0</v>
      </c>
      <c r="Q1184" s="2412" t="str">
        <f>IF(OR($O1184=$M1184,$O1184=0,$O1184=""),"","*CHECK!*")</f>
        <v/>
      </c>
      <c r="R1184" s="2413"/>
      <c r="S1184" s="1658"/>
      <c r="T1184" s="2065"/>
      <c r="U1184" s="2065"/>
      <c r="V1184" s="1658"/>
      <c r="W1184" s="1658"/>
      <c r="X1184" s="1658"/>
      <c r="Y1184" s="1658"/>
      <c r="Z1184" s="1658"/>
      <c r="AA1184" s="1658"/>
      <c r="AB1184" s="1658"/>
      <c r="AC1184" s="1658"/>
      <c r="AD1184" s="1658"/>
      <c r="AE1184" s="1658"/>
      <c r="AF1184" s="1658"/>
    </row>
    <row r="1185" spans="1:32" ht="14.1" customHeight="1">
      <c r="A1185" s="1658"/>
      <c r="B1185" s="1663" t="s">
        <v>2285</v>
      </c>
      <c r="C1185" s="1663"/>
      <c r="D1185" s="1663"/>
      <c r="E1185" s="1663"/>
      <c r="F1185" s="1663"/>
      <c r="G1185" s="1663"/>
      <c r="H1185" s="1663"/>
      <c r="I1185" s="1663"/>
      <c r="J1185" s="1663"/>
      <c r="K1185" s="1663"/>
      <c r="L1185" s="1663"/>
      <c r="M1185" s="1643"/>
      <c r="N1185" s="1643"/>
      <c r="O1185" s="1643"/>
      <c r="P1185" s="1643"/>
      <c r="Q1185" s="1658"/>
      <c r="R1185" s="2411"/>
      <c r="S1185" s="1658"/>
      <c r="T1185" s="2065"/>
      <c r="U1185" s="2065"/>
      <c r="V1185" s="1658"/>
      <c r="W1185" s="1658"/>
      <c r="X1185" s="1658"/>
      <c r="Y1185" s="1658"/>
      <c r="Z1185" s="1658"/>
      <c r="AA1185" s="1658"/>
      <c r="AB1185" s="1658"/>
      <c r="AC1185" s="1658"/>
      <c r="AD1185" s="1658"/>
      <c r="AE1185" s="1658"/>
      <c r="AF1185" s="1658"/>
    </row>
    <row r="1186" spans="1:32" ht="15">
      <c r="A1186" s="1663"/>
      <c r="B1186" s="2416" t="s">
        <v>212</v>
      </c>
      <c r="C1186" s="1664" t="s">
        <v>1776</v>
      </c>
      <c r="D1186" s="1664"/>
      <c r="E1186" s="1664"/>
      <c r="F1186" s="1664"/>
      <c r="G1186" s="1664"/>
      <c r="H1186" s="1664"/>
      <c r="I1186" s="1664"/>
      <c r="J1186" s="1664"/>
      <c r="K1186" s="1664"/>
      <c r="L1186" s="1664"/>
      <c r="M1186" s="1662"/>
      <c r="N1186" s="2419"/>
      <c r="O1186" s="2555">
        <f>'Part VIII Scoring Criteria'!O29</f>
        <v>0</v>
      </c>
      <c r="P1186" s="2418"/>
      <c r="Q1186" s="1663"/>
      <c r="R1186" s="2420"/>
      <c r="S1186" s="1663"/>
      <c r="T1186" s="2421"/>
      <c r="U1186" s="2421"/>
      <c r="V1186" s="1663"/>
      <c r="W1186" s="1663"/>
      <c r="X1186" s="1663"/>
      <c r="Y1186" s="1663"/>
      <c r="Z1186" s="1663"/>
      <c r="AA1186" s="1663"/>
      <c r="AB1186" s="1663"/>
      <c r="AC1186" s="1663"/>
      <c r="AD1186" s="1663"/>
      <c r="AE1186" s="1663"/>
      <c r="AF1186" s="1663"/>
    </row>
    <row r="1187" spans="1:32" ht="15">
      <c r="A1187" s="1663"/>
      <c r="B1187" s="2416" t="s">
        <v>220</v>
      </c>
      <c r="C1187" s="1664" t="s">
        <v>1777</v>
      </c>
      <c r="D1187" s="1664"/>
      <c r="E1187" s="1664"/>
      <c r="F1187" s="1664"/>
      <c r="G1187" s="1664"/>
      <c r="H1187" s="1664"/>
      <c r="I1187" s="1664"/>
      <c r="J1187" s="1664"/>
      <c r="K1187" s="1664"/>
      <c r="L1187" s="1664"/>
      <c r="M1187" s="1662"/>
      <c r="N1187" s="2419"/>
      <c r="O1187" s="2555">
        <f>'Part VIII Scoring Criteria'!O30</f>
        <v>0</v>
      </c>
      <c r="P1187" s="2418"/>
      <c r="Q1187" s="1663"/>
      <c r="R1187" s="2420"/>
      <c r="S1187" s="1663"/>
      <c r="T1187" s="2421"/>
      <c r="U1187" s="2421"/>
      <c r="V1187" s="1663"/>
      <c r="W1187" s="1663"/>
      <c r="X1187" s="1663"/>
      <c r="Y1187" s="1663"/>
      <c r="Z1187" s="1663"/>
      <c r="AA1187" s="1663"/>
      <c r="AB1187" s="1663"/>
      <c r="AC1187" s="1663"/>
      <c r="AD1187" s="1663"/>
      <c r="AE1187" s="1663"/>
      <c r="AF1187" s="1663"/>
    </row>
    <row r="1188" spans="1:32" ht="15">
      <c r="A1188" s="1663"/>
      <c r="B1188" s="1664" t="s">
        <v>1778</v>
      </c>
      <c r="C1188" s="1663"/>
      <c r="D1188" s="1664"/>
      <c r="E1188" s="1664"/>
      <c r="F1188" s="1664"/>
      <c r="G1188" s="1664"/>
      <c r="H1188" s="1664"/>
      <c r="I1188" s="1663"/>
      <c r="J1188" s="1628">
        <f>'Part VIII Scoring Criteria'!J31</f>
        <v>0</v>
      </c>
      <c r="K1188" s="1628"/>
      <c r="L1188" s="1628"/>
      <c r="M1188" s="1628"/>
      <c r="N1188" s="2419"/>
      <c r="O1188" s="2419"/>
      <c r="P1188" s="2419"/>
      <c r="Q1188" s="1663"/>
      <c r="R1188" s="2420"/>
      <c r="S1188" s="1663"/>
      <c r="T1188" s="2421"/>
      <c r="U1188" s="2421"/>
      <c r="V1188" s="1663"/>
      <c r="W1188" s="1663"/>
      <c r="X1188" s="1663"/>
      <c r="Y1188" s="1663"/>
      <c r="Z1188" s="1663"/>
      <c r="AA1188" s="1663"/>
      <c r="AB1188" s="1663"/>
      <c r="AC1188" s="1663"/>
      <c r="AD1188" s="1663"/>
      <c r="AE1188" s="1663"/>
      <c r="AF1188" s="1663"/>
    </row>
    <row r="1189" spans="1:32" ht="14.1" customHeight="1">
      <c r="A1189" s="1663"/>
      <c r="B1189" s="2416" t="s">
        <v>224</v>
      </c>
      <c r="C1189" s="1663" t="s">
        <v>1779</v>
      </c>
      <c r="D1189" s="1663"/>
      <c r="E1189" s="1663"/>
      <c r="F1189" s="1663"/>
      <c r="G1189" s="1663"/>
      <c r="H1189" s="1663"/>
      <c r="I1189" s="1663"/>
      <c r="J1189" s="1663"/>
      <c r="K1189" s="1663"/>
      <c r="L1189" s="1663"/>
      <c r="M1189" s="1662"/>
      <c r="N1189" s="2419"/>
      <c r="O1189" s="2555" t="str">
        <f>'Part VIII Scoring Criteria'!O32</f>
        <v>Yes</v>
      </c>
      <c r="P1189" s="2418"/>
      <c r="Q1189" s="1663"/>
      <c r="R1189" s="2420"/>
      <c r="S1189" s="1663"/>
      <c r="T1189" s="2421"/>
      <c r="U1189" s="2421"/>
      <c r="V1189" s="1663"/>
      <c r="W1189" s="1663"/>
      <c r="X1189" s="1663"/>
      <c r="Y1189" s="1663"/>
      <c r="Z1189" s="1663"/>
      <c r="AA1189" s="1663"/>
      <c r="AB1189" s="1663"/>
      <c r="AC1189" s="1663"/>
      <c r="AD1189" s="1663"/>
      <c r="AE1189" s="1663"/>
      <c r="AF1189" s="1663"/>
    </row>
    <row r="1190" spans="1:32" ht="15">
      <c r="A1190" s="1629"/>
      <c r="B1190" s="2422" t="s">
        <v>1447</v>
      </c>
      <c r="C1190" s="1629"/>
      <c r="D1190" s="2422"/>
      <c r="E1190" s="1664"/>
      <c r="F1190" s="1664"/>
      <c r="G1190" s="1664"/>
      <c r="H1190" s="1664"/>
      <c r="I1190" s="1664"/>
      <c r="J1190" s="1664"/>
      <c r="K1190" s="1664"/>
      <c r="L1190" s="1664"/>
      <c r="M1190" s="1664"/>
      <c r="N1190" s="1662"/>
      <c r="O1190" s="2418"/>
      <c r="P1190" s="2555"/>
      <c r="Q1190" s="1658"/>
      <c r="R1190" s="1658"/>
      <c r="S1190" s="1658"/>
      <c r="T1190" s="1658"/>
      <c r="U1190" s="1658"/>
      <c r="V1190" s="1658"/>
      <c r="W1190" s="1658"/>
      <c r="X1190" s="1658"/>
      <c r="Y1190" s="1658"/>
      <c r="Z1190" s="1658"/>
      <c r="AA1190" s="1658"/>
      <c r="AB1190" s="1658"/>
      <c r="AC1190" s="1658"/>
      <c r="AD1190" s="1658"/>
      <c r="AE1190" s="1658"/>
      <c r="AF1190" s="1658"/>
    </row>
    <row r="1191" spans="1:32" ht="15">
      <c r="A1191" s="1663"/>
      <c r="B1191" s="1663"/>
      <c r="C1191" s="1663"/>
      <c r="D1191" s="1663"/>
      <c r="E1191" s="1663"/>
      <c r="F1191" s="1663"/>
      <c r="G1191" s="1663"/>
      <c r="H1191" s="1663"/>
      <c r="I1191" s="1663"/>
      <c r="J1191" s="1663"/>
      <c r="K1191" s="1663"/>
      <c r="L1191" s="1663"/>
      <c r="M1191" s="1663"/>
      <c r="N1191" s="1663"/>
      <c r="O1191" s="1663"/>
      <c r="P1191" s="1663"/>
      <c r="Q1191" s="1628"/>
      <c r="R1191" s="1658"/>
      <c r="S1191" s="1658"/>
      <c r="T1191" s="1658"/>
      <c r="U1191" s="1658"/>
      <c r="V1191" s="1658"/>
      <c r="W1191" s="1658"/>
      <c r="X1191" s="1658"/>
      <c r="Y1191" s="1658"/>
      <c r="Z1191" s="1658"/>
      <c r="AA1191" s="1658"/>
      <c r="AB1191" s="1658"/>
      <c r="AC1191" s="1658"/>
      <c r="AD1191" s="1658"/>
      <c r="AE1191" s="1658"/>
      <c r="AF1191" s="1658"/>
    </row>
    <row r="1192" spans="1:32" ht="15">
      <c r="A1192" s="1629"/>
      <c r="B1192" s="2071"/>
      <c r="C1192" s="1629"/>
      <c r="D1192" s="1628"/>
      <c r="E1192" s="1629"/>
      <c r="F1192" s="1629"/>
      <c r="G1192" s="2072"/>
      <c r="H1192" s="2072"/>
      <c r="I1192" s="2072"/>
      <c r="J1192" s="2072"/>
      <c r="K1192" s="2072"/>
      <c r="L1192" s="2072"/>
      <c r="M1192" s="1643"/>
      <c r="N1192" s="2556"/>
      <c r="O1192" s="1657"/>
      <c r="P1192" s="2555"/>
      <c r="Q1192" s="1658"/>
      <c r="R1192" s="1629"/>
      <c r="S1192" s="1629"/>
      <c r="T1192" s="1629"/>
      <c r="U1192" s="1629"/>
      <c r="V1192" s="1629"/>
      <c r="W1192" s="1629"/>
      <c r="X1192" s="2073"/>
      <c r="Y1192" s="2073"/>
      <c r="Z1192" s="2073"/>
      <c r="AA1192" s="2073"/>
      <c r="AB1192" s="2073"/>
      <c r="AC1192" s="2073"/>
      <c r="AD1192" s="2073"/>
      <c r="AE1192" s="2073"/>
      <c r="AF1192" s="2073"/>
    </row>
    <row r="1193" spans="1:32" ht="15">
      <c r="A1193" s="1658"/>
      <c r="B1193" s="1658"/>
      <c r="C1193" s="1658"/>
      <c r="D1193" s="1658"/>
      <c r="E1193" s="1658"/>
      <c r="F1193" s="1658"/>
      <c r="G1193" s="1658"/>
      <c r="H1193" s="1658"/>
      <c r="I1193" s="1658"/>
      <c r="J1193" s="1658"/>
      <c r="K1193" s="1658"/>
      <c r="L1193" s="1658"/>
      <c r="M1193" s="1658"/>
      <c r="N1193" s="2556"/>
      <c r="O1193" s="2557"/>
      <c r="P1193" s="2557"/>
      <c r="Q1193" s="1658"/>
      <c r="R1193" s="1658"/>
      <c r="S1193" s="1658"/>
      <c r="T1193" s="2065"/>
      <c r="U1193" s="2065"/>
      <c r="V1193" s="1658"/>
      <c r="W1193" s="1658"/>
      <c r="X1193" s="1658"/>
      <c r="Y1193" s="1658"/>
      <c r="Z1193" s="1658"/>
      <c r="AA1193" s="1658"/>
      <c r="AB1193" s="1658"/>
      <c r="AC1193" s="1658"/>
      <c r="AD1193" s="1658"/>
      <c r="AE1193" s="1658"/>
      <c r="AF1193" s="1658"/>
    </row>
    <row r="1194" spans="1:32" ht="15">
      <c r="A1194" s="2064" t="s">
        <v>51</v>
      </c>
      <c r="B1194" s="2065" t="s">
        <v>1780</v>
      </c>
      <c r="C1194" s="1629"/>
      <c r="D1194" s="2065"/>
      <c r="E1194" s="2065"/>
      <c r="F1194" s="1629"/>
      <c r="G1194" s="2423"/>
      <c r="H1194" s="1629"/>
      <c r="I1194" s="1629"/>
      <c r="J1194" s="1629"/>
      <c r="K1194" s="1629"/>
      <c r="L1194" s="2071" t="str">
        <f>IF(AND(O1201&gt;0,O1203&gt;0), "Choose only one option!","")</f>
        <v/>
      </c>
      <c r="M1194" s="2555">
        <v>2</v>
      </c>
      <c r="N1194" s="1643"/>
      <c r="O1194" s="1657">
        <f>'Part VIII Scoring Criteria'!O37</f>
        <v>2</v>
      </c>
      <c r="P1194" s="1657">
        <f>'Part VIII Scoring Criteria'!P37</f>
        <v>0</v>
      </c>
      <c r="Q1194" s="2555" t="s">
        <v>795</v>
      </c>
      <c r="R1194" s="1628"/>
      <c r="S1194" s="1628"/>
      <c r="T1194" s="1628"/>
      <c r="U1194" s="1628"/>
      <c r="V1194" s="1628"/>
      <c r="W1194" s="1629"/>
      <c r="X1194" s="1629"/>
      <c r="Y1194" s="1629"/>
      <c r="Z1194" s="1629"/>
      <c r="AA1194" s="1629"/>
      <c r="AB1194" s="1629"/>
      <c r="AC1194" s="1629"/>
      <c r="AD1194" s="1629"/>
      <c r="AE1194" s="1629"/>
      <c r="AF1194" s="1629"/>
    </row>
    <row r="1195" spans="1:32" ht="14.1" customHeight="1">
      <c r="A1195" s="2064"/>
      <c r="B1195" s="1629" t="s">
        <v>1781</v>
      </c>
      <c r="C1195" s="1629"/>
      <c r="D1195" s="2065"/>
      <c r="E1195" s="2065"/>
      <c r="F1195" s="1629"/>
      <c r="G1195" s="1629"/>
      <c r="H1195" s="1629"/>
      <c r="I1195" s="1629"/>
      <c r="J1195" s="2424"/>
      <c r="K1195" s="1629"/>
      <c r="L1195" s="1629"/>
      <c r="M1195" s="2555"/>
      <c r="N1195" s="1629"/>
      <c r="O1195" s="2425" t="s">
        <v>1782</v>
      </c>
      <c r="P1195" s="2425" t="s">
        <v>1783</v>
      </c>
      <c r="Q1195" s="2555"/>
      <c r="R1195" s="1628"/>
      <c r="S1195" s="1628"/>
      <c r="T1195" s="1628"/>
      <c r="U1195" s="1628"/>
      <c r="V1195" s="1628"/>
      <c r="W1195" s="1658"/>
      <c r="X1195" s="1658"/>
      <c r="Y1195" s="1629"/>
      <c r="Z1195" s="1629"/>
      <c r="AA1195" s="1629"/>
      <c r="AB1195" s="1629"/>
      <c r="AC1195" s="1629"/>
      <c r="AD1195" s="1629"/>
      <c r="AE1195" s="1629"/>
      <c r="AF1195" s="1629"/>
    </row>
    <row r="1196" spans="1:32" ht="15">
      <c r="A1196" s="2064"/>
      <c r="B1196" s="1629"/>
      <c r="C1196" s="1629" t="s">
        <v>1784</v>
      </c>
      <c r="D1196" s="1629"/>
      <c r="E1196" s="1629"/>
      <c r="F1196" s="1629"/>
      <c r="G1196" s="1629" t="str">
        <f>'Part VIII Scoring Criteria'!G39</f>
        <v>TBD</v>
      </c>
      <c r="H1196" s="1629"/>
      <c r="I1196" s="1629"/>
      <c r="J1196" s="1629"/>
      <c r="K1196" s="1629"/>
      <c r="L1196" s="1629"/>
      <c r="M1196" s="2555"/>
      <c r="N1196" s="1629"/>
      <c r="O1196" s="2425"/>
      <c r="P1196" s="2425"/>
      <c r="Q1196" s="2555"/>
      <c r="R1196" s="1629"/>
      <c r="S1196" s="1629"/>
      <c r="T1196" s="1629"/>
      <c r="U1196" s="1629"/>
      <c r="V1196" s="1628"/>
      <c r="W1196" s="1658"/>
      <c r="X1196" s="1658"/>
      <c r="Y1196" s="1629"/>
      <c r="Z1196" s="1629"/>
      <c r="AA1196" s="1629"/>
      <c r="AB1196" s="1629"/>
      <c r="AC1196" s="1629"/>
      <c r="AD1196" s="1629"/>
      <c r="AE1196" s="1629"/>
      <c r="AF1196" s="1629"/>
    </row>
    <row r="1197" spans="1:32" ht="15">
      <c r="A1197" s="2064"/>
      <c r="B1197" s="1629"/>
      <c r="C1197" s="1629" t="s">
        <v>1786</v>
      </c>
      <c r="D1197" s="1629"/>
      <c r="E1197" s="1629"/>
      <c r="F1197" s="1629"/>
      <c r="G1197" s="1629" t="str">
        <f>'Part VIII Scoring Criteria'!G40</f>
        <v>&lt;&lt;Select&gt;&gt;</v>
      </c>
      <c r="H1197" s="1629"/>
      <c r="I1197" s="1629"/>
      <c r="J1197" s="1629"/>
      <c r="K1197" s="1629"/>
      <c r="L1197" s="1629"/>
      <c r="M1197" s="2555"/>
      <c r="N1197" s="1629"/>
      <c r="O1197" s="2425"/>
      <c r="P1197" s="2425"/>
      <c r="Q1197" s="2555"/>
      <c r="R1197" s="1629"/>
      <c r="S1197" s="1629"/>
      <c r="T1197" s="1629"/>
      <c r="U1197" s="1629"/>
      <c r="V1197" s="1628"/>
      <c r="W1197" s="1658"/>
      <c r="X1197" s="1658"/>
      <c r="Y1197" s="1629"/>
      <c r="Z1197" s="1629"/>
      <c r="AA1197" s="1629"/>
      <c r="AB1197" s="1629"/>
      <c r="AC1197" s="1629"/>
      <c r="AD1197" s="1629"/>
      <c r="AE1197" s="1629"/>
      <c r="AF1197" s="1629"/>
    </row>
    <row r="1198" spans="1:32" ht="15">
      <c r="A1198" s="2064"/>
      <c r="B1198" s="1629"/>
      <c r="C1198" s="1629" t="s">
        <v>1787</v>
      </c>
      <c r="D1198" s="1629"/>
      <c r="E1198" s="1629"/>
      <c r="F1198" s="1629"/>
      <c r="G1198" s="1629">
        <f>'Part VIII Scoring Criteria'!G41</f>
        <v>0</v>
      </c>
      <c r="H1198" s="1629"/>
      <c r="I1198" s="1629"/>
      <c r="J1198" s="1629"/>
      <c r="K1198" s="1629"/>
      <c r="L1198" s="1629"/>
      <c r="M1198" s="2555"/>
      <c r="N1198" s="1629"/>
      <c r="O1198" s="2425"/>
      <c r="P1198" s="2425"/>
      <c r="Q1198" s="2555"/>
      <c r="R1198" s="1629"/>
      <c r="S1198" s="1629"/>
      <c r="T1198" s="1629"/>
      <c r="U1198" s="1629"/>
      <c r="V1198" s="1628"/>
      <c r="W1198" s="1658"/>
      <c r="X1198" s="1658"/>
      <c r="Y1198" s="1629"/>
      <c r="Z1198" s="1629"/>
      <c r="AA1198" s="1629"/>
      <c r="AB1198" s="1629"/>
      <c r="AC1198" s="1629"/>
      <c r="AD1198" s="1629"/>
      <c r="AE1198" s="1629"/>
      <c r="AF1198" s="1629"/>
    </row>
    <row r="1199" spans="1:32" ht="14.1" customHeight="1">
      <c r="A1199" s="2426"/>
      <c r="B1199" s="2067"/>
      <c r="C1199" s="1629" t="s">
        <v>1788</v>
      </c>
      <c r="D1199" s="1629"/>
      <c r="E1199" s="1629"/>
      <c r="F1199" s="1629"/>
      <c r="G1199" s="1629"/>
      <c r="H1199" s="1629"/>
      <c r="I1199" s="1629"/>
      <c r="J1199" s="1629"/>
      <c r="K1199" s="1629"/>
      <c r="L1199" s="1629"/>
      <c r="M1199" s="1629"/>
      <c r="N1199" s="2067"/>
      <c r="O1199" s="1643" t="str">
        <f>'Part VIII Scoring Criteria'!O42</f>
        <v>TBD</v>
      </c>
      <c r="P1199" s="1643"/>
      <c r="Q1199" s="2555"/>
      <c r="R1199" s="1629"/>
      <c r="S1199" s="1629"/>
      <c r="T1199" s="1629"/>
      <c r="U1199" s="1629"/>
      <c r="V1199" s="1658"/>
      <c r="W1199" s="1658"/>
      <c r="X1199" s="1658"/>
      <c r="Y1199" s="1658"/>
      <c r="Z1199" s="1658"/>
      <c r="AA1199" s="1658"/>
      <c r="AB1199" s="1658"/>
      <c r="AC1199" s="1658"/>
      <c r="AD1199" s="1658"/>
      <c r="AE1199" s="1658"/>
      <c r="AF1199" s="1658"/>
    </row>
    <row r="1200" spans="1:32" ht="15">
      <c r="A1200" s="1629"/>
      <c r="B1200" s="1658"/>
      <c r="C1200" s="1658"/>
      <c r="D1200" s="1629"/>
      <c r="E1200" s="1629"/>
      <c r="F1200" s="2555"/>
      <c r="G1200" s="2555"/>
      <c r="H1200" s="2555"/>
      <c r="I1200" s="2555"/>
      <c r="J1200" s="1660"/>
      <c r="K1200" s="1660"/>
      <c r="L1200" s="1660"/>
      <c r="M1200" s="1643"/>
      <c r="N1200" s="2555"/>
      <c r="O1200" s="2557"/>
      <c r="P1200" s="1657"/>
      <c r="Q1200" s="1658"/>
      <c r="R1200" s="1658"/>
      <c r="S1200" s="1658"/>
      <c r="T1200" s="1658"/>
      <c r="U1200" s="1658"/>
      <c r="V1200" s="1658"/>
      <c r="W1200" s="1658"/>
      <c r="X1200" s="1658"/>
      <c r="Y1200" s="1658"/>
      <c r="Z1200" s="1658"/>
      <c r="AA1200" s="1658"/>
      <c r="AB1200" s="1658"/>
      <c r="AC1200" s="1658"/>
      <c r="AD1200" s="1658"/>
      <c r="AE1200" s="1658"/>
      <c r="AF1200" s="1658"/>
    </row>
    <row r="1201" spans="1:32" ht="15">
      <c r="A1201" s="2555" t="s">
        <v>197</v>
      </c>
      <c r="B1201" s="2427" t="s">
        <v>1789</v>
      </c>
      <c r="C1201" s="1658"/>
      <c r="D1201" s="1664"/>
      <c r="E1201" s="1664"/>
      <c r="F1201" s="1658"/>
      <c r="G1201" s="1658"/>
      <c r="H1201" s="1664"/>
      <c r="I1201" s="1658"/>
      <c r="J1201" s="1658"/>
      <c r="K1201" s="1658"/>
      <c r="L1201" s="1664"/>
      <c r="M1201" s="2556">
        <v>2</v>
      </c>
      <c r="N1201" s="2067"/>
      <c r="O1201" s="1657">
        <f>'Part VIII Scoring Criteria'!O44</f>
        <v>2</v>
      </c>
      <c r="P1201" s="1657">
        <f>'Part VIII Scoring Criteria'!P44</f>
        <v>0</v>
      </c>
      <c r="Q1201" s="2557" t="str">
        <f>IF(OR(O1201=0,O1201="",O1201=$M1201),"","Check!")</f>
        <v/>
      </c>
      <c r="R1201" s="2413"/>
      <c r="S1201" s="1628"/>
      <c r="T1201" s="1628"/>
      <c r="U1201" s="1628"/>
      <c r="V1201" s="1628"/>
      <c r="W1201" s="1658"/>
      <c r="X1201" s="1658"/>
      <c r="Y1201" s="1658"/>
      <c r="Z1201" s="1658"/>
      <c r="AA1201" s="1658"/>
      <c r="AB1201" s="1658"/>
      <c r="AC1201" s="1658"/>
      <c r="AD1201" s="1658"/>
      <c r="AE1201" s="1658"/>
      <c r="AF1201" s="1658"/>
    </row>
    <row r="1202" spans="1:32" ht="15">
      <c r="A1202" s="2428"/>
      <c r="B1202" s="1664" t="s">
        <v>1790</v>
      </c>
      <c r="C1202" s="1663"/>
      <c r="D1202" s="1663"/>
      <c r="E1202" s="1663"/>
      <c r="F1202" s="1663"/>
      <c r="G1202" s="1663"/>
      <c r="H1202" s="1663"/>
      <c r="I1202" s="1663"/>
      <c r="J1202" s="1663"/>
      <c r="K1202" s="1663"/>
      <c r="L1202" s="1663"/>
      <c r="M1202" s="1663"/>
      <c r="N1202" s="2415"/>
      <c r="O1202" s="1643" t="str">
        <f>'Part VIII Scoring Criteria'!O45</f>
        <v>Yes</v>
      </c>
      <c r="P1202" s="1643"/>
      <c r="Q1202" s="2418"/>
      <c r="R1202" s="1663"/>
      <c r="S1202" s="1663"/>
      <c r="T1202" s="1663"/>
      <c r="U1202" s="1663"/>
      <c r="V1202" s="1663"/>
      <c r="W1202" s="1663"/>
      <c r="X1202" s="1663"/>
      <c r="Y1202" s="1663"/>
      <c r="Z1202" s="1663"/>
      <c r="AA1202" s="1663"/>
      <c r="AB1202" s="1663"/>
      <c r="AC1202" s="1663"/>
      <c r="AD1202" s="1663"/>
      <c r="AE1202" s="1663"/>
      <c r="AF1202" s="1663"/>
    </row>
    <row r="1203" spans="1:32" ht="15">
      <c r="A1203" s="2555" t="s">
        <v>209</v>
      </c>
      <c r="B1203" s="2427" t="s">
        <v>1791</v>
      </c>
      <c r="C1203" s="1658"/>
      <c r="D1203" s="1664"/>
      <c r="E1203" s="1658"/>
      <c r="F1203" s="1658"/>
      <c r="G1203" s="1658"/>
      <c r="H1203" s="1658"/>
      <c r="I1203" s="1658"/>
      <c r="J1203" s="1658"/>
      <c r="K1203" s="1658"/>
      <c r="L1203" s="1664"/>
      <c r="M1203" s="2556">
        <v>2</v>
      </c>
      <c r="N1203" s="2067"/>
      <c r="O1203" s="1657">
        <f>'Part VIII Scoring Criteria'!O46</f>
        <v>0</v>
      </c>
      <c r="P1203" s="1657">
        <f>'Part VIII Scoring Criteria'!P46</f>
        <v>0</v>
      </c>
      <c r="Q1203" s="2557" t="str">
        <f>IF(OR(O1203=0,O1203="",O1203=$M1203),"","Check!")</f>
        <v/>
      </c>
      <c r="R1203" s="2413"/>
      <c r="S1203" s="1628"/>
      <c r="T1203" s="1628"/>
      <c r="U1203" s="1628"/>
      <c r="V1203" s="1628"/>
      <c r="W1203" s="1658"/>
      <c r="X1203" s="1658"/>
      <c r="Y1203" s="1658"/>
      <c r="Z1203" s="1658"/>
      <c r="AA1203" s="1658"/>
      <c r="AB1203" s="1658"/>
      <c r="AC1203" s="1658"/>
      <c r="AD1203" s="1658"/>
      <c r="AE1203" s="1658"/>
      <c r="AF1203" s="1658"/>
    </row>
    <row r="1204" spans="1:32" ht="15">
      <c r="A1204" s="2555"/>
      <c r="B1204" s="1629" t="s">
        <v>1792</v>
      </c>
      <c r="C1204" s="1658"/>
      <c r="D1204" s="1664"/>
      <c r="E1204" s="1658"/>
      <c r="F1204" s="1658"/>
      <c r="G1204" s="1658"/>
      <c r="H1204" s="1658"/>
      <c r="I1204" s="1658"/>
      <c r="J1204" s="1658"/>
      <c r="K1204" s="1658"/>
      <c r="L1204" s="1664"/>
      <c r="M1204" s="2556"/>
      <c r="N1204" s="2067"/>
      <c r="O1204" s="1643" t="str">
        <f>'Part VIII Scoring Criteria'!O47</f>
        <v>N/a</v>
      </c>
      <c r="P1204" s="1643"/>
      <c r="Q1204" s="2557"/>
      <c r="R1204" s="2413"/>
      <c r="S1204" s="1628"/>
      <c r="T1204" s="1628"/>
      <c r="U1204" s="1628"/>
      <c r="V1204" s="1628"/>
      <c r="W1204" s="1658"/>
      <c r="X1204" s="1658"/>
      <c r="Y1204" s="1658"/>
      <c r="Z1204" s="1658"/>
      <c r="AA1204" s="1658"/>
      <c r="AB1204" s="1658"/>
      <c r="AC1204" s="1658"/>
      <c r="AD1204" s="1658"/>
      <c r="AE1204" s="1658"/>
      <c r="AF1204" s="1658"/>
    </row>
    <row r="1205" spans="1:32" ht="14.1" customHeight="1">
      <c r="A1205" s="2555"/>
      <c r="B1205" s="1663" t="s">
        <v>1793</v>
      </c>
      <c r="C1205" s="1663"/>
      <c r="D1205" s="1663"/>
      <c r="E1205" s="1663"/>
      <c r="F1205" s="1663"/>
      <c r="G1205" s="1663"/>
      <c r="H1205" s="1663"/>
      <c r="I1205" s="1663"/>
      <c r="J1205" s="1663"/>
      <c r="K1205" s="1663"/>
      <c r="L1205" s="1663"/>
      <c r="M1205" s="1663"/>
      <c r="N1205" s="2067"/>
      <c r="O1205" s="1643" t="str">
        <f>'Part VIII Scoring Criteria'!O48</f>
        <v>N/a</v>
      </c>
      <c r="P1205" s="1662"/>
      <c r="Q1205" s="2557"/>
      <c r="R1205" s="2413"/>
      <c r="S1205" s="1628"/>
      <c r="T1205" s="1628"/>
      <c r="U1205" s="1628"/>
      <c r="V1205" s="1628"/>
      <c r="W1205" s="1658"/>
      <c r="X1205" s="1658"/>
      <c r="Y1205" s="1658"/>
      <c r="Z1205" s="1658"/>
      <c r="AA1205" s="1658"/>
      <c r="AB1205" s="1658"/>
      <c r="AC1205" s="1658"/>
      <c r="AD1205" s="1658"/>
      <c r="AE1205" s="1658"/>
      <c r="AF1205" s="1658"/>
    </row>
    <row r="1206" spans="1:32" ht="15">
      <c r="A1206" s="1629"/>
      <c r="B1206" s="2407" t="s">
        <v>2286</v>
      </c>
      <c r="C1206" s="1629"/>
      <c r="D1206" s="1629"/>
      <c r="E1206" s="1629"/>
      <c r="F1206" s="1629"/>
      <c r="G1206" s="1629"/>
      <c r="H1206" s="1629"/>
      <c r="I1206" s="1629"/>
      <c r="J1206" s="1629"/>
      <c r="K1206" s="1629"/>
      <c r="L1206" s="1658"/>
      <c r="M1206" s="1643"/>
      <c r="N1206" s="2556"/>
      <c r="O1206" s="1657"/>
      <c r="P1206" s="2557"/>
      <c r="Q1206" s="1658"/>
      <c r="R1206" s="1628"/>
      <c r="S1206" s="1628"/>
      <c r="T1206" s="1628"/>
      <c r="U1206" s="1628"/>
      <c r="V1206" s="1628"/>
      <c r="W1206" s="1658"/>
      <c r="X1206" s="1658"/>
      <c r="Y1206" s="1658"/>
      <c r="Z1206" s="1658"/>
      <c r="AA1206" s="1658"/>
      <c r="AB1206" s="1658"/>
      <c r="AC1206" s="1658"/>
      <c r="AD1206" s="1658"/>
      <c r="AE1206" s="1658"/>
      <c r="AF1206" s="1658"/>
    </row>
    <row r="1207" spans="1:32" ht="15">
      <c r="A1207" s="2422" t="str">
        <f>'Part VIII Scoring Criteria'!A50</f>
        <v>The Applicant commits to engage QBs in the development or operation of Finley Place in the amount greater than or equal to 10%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B1207" s="2422"/>
      <c r="C1207" s="2422"/>
      <c r="D1207" s="2422"/>
      <c r="E1207" s="2422"/>
      <c r="F1207" s="2422"/>
      <c r="G1207" s="2422"/>
      <c r="H1207" s="2422"/>
      <c r="I1207" s="2422"/>
      <c r="J1207" s="2422"/>
      <c r="K1207" s="2422"/>
      <c r="L1207" s="2422"/>
      <c r="M1207" s="2422"/>
      <c r="N1207" s="2422"/>
      <c r="O1207" s="2422"/>
      <c r="P1207" s="2422"/>
      <c r="Q1207" s="1628"/>
      <c r="R1207" s="1658"/>
      <c r="S1207" s="1658"/>
      <c r="T1207" s="1658"/>
      <c r="U1207" s="1658"/>
      <c r="V1207" s="1658"/>
      <c r="W1207" s="1658"/>
      <c r="X1207" s="1658"/>
      <c r="Y1207" s="1658"/>
      <c r="Z1207" s="1658"/>
      <c r="AA1207" s="1658"/>
      <c r="AB1207" s="1658"/>
      <c r="AC1207" s="1658"/>
      <c r="AD1207" s="1658"/>
      <c r="AE1207" s="1658"/>
      <c r="AF1207" s="1658"/>
    </row>
    <row r="1208" spans="1:32" ht="15">
      <c r="A1208" s="1629"/>
      <c r="B1208" s="2422" t="s">
        <v>1447</v>
      </c>
      <c r="C1208" s="1629"/>
      <c r="D1208" s="2422"/>
      <c r="E1208" s="1664"/>
      <c r="F1208" s="1664"/>
      <c r="G1208" s="1664"/>
      <c r="H1208" s="1664"/>
      <c r="I1208" s="1664"/>
      <c r="J1208" s="1664"/>
      <c r="K1208" s="1664"/>
      <c r="L1208" s="1664"/>
      <c r="M1208" s="1664"/>
      <c r="N1208" s="1662"/>
      <c r="O1208" s="2418"/>
      <c r="P1208" s="2555"/>
      <c r="Q1208" s="1658"/>
      <c r="R1208" s="1658"/>
      <c r="S1208" s="1658"/>
      <c r="T1208" s="1658"/>
      <c r="U1208" s="1658"/>
      <c r="V1208" s="1658"/>
      <c r="W1208" s="1658"/>
      <c r="X1208" s="1658"/>
      <c r="Y1208" s="1658"/>
      <c r="Z1208" s="1658"/>
      <c r="AA1208" s="1658"/>
      <c r="AB1208" s="1658"/>
      <c r="AC1208" s="1658"/>
      <c r="AD1208" s="1658"/>
      <c r="AE1208" s="1658"/>
      <c r="AF1208" s="1658"/>
    </row>
    <row r="1209" spans="1:32" ht="15">
      <c r="A1209" s="1663"/>
      <c r="B1209" s="1663"/>
      <c r="C1209" s="1663"/>
      <c r="D1209" s="1663"/>
      <c r="E1209" s="1663"/>
      <c r="F1209" s="1663"/>
      <c r="G1209" s="1663"/>
      <c r="H1209" s="1663"/>
      <c r="I1209" s="1663"/>
      <c r="J1209" s="1663"/>
      <c r="K1209" s="1663"/>
      <c r="L1209" s="1663"/>
      <c r="M1209" s="1663"/>
      <c r="N1209" s="1663"/>
      <c r="O1209" s="1663"/>
      <c r="P1209" s="1663"/>
      <c r="Q1209" s="1628"/>
      <c r="R1209" s="1658"/>
      <c r="S1209" s="1658"/>
      <c r="T1209" s="1658"/>
      <c r="U1209" s="1658"/>
      <c r="V1209" s="1658"/>
      <c r="W1209" s="1658"/>
      <c r="X1209" s="1658"/>
      <c r="Y1209" s="1658"/>
      <c r="Z1209" s="1658"/>
      <c r="AA1209" s="1658"/>
      <c r="AB1209" s="1658"/>
      <c r="AC1209" s="1658"/>
      <c r="AD1209" s="1658"/>
      <c r="AE1209" s="1658"/>
      <c r="AF1209" s="1658"/>
    </row>
    <row r="1210" spans="1:32" ht="15">
      <c r="A1210" s="1629"/>
      <c r="B1210" s="2071"/>
      <c r="C1210" s="1629"/>
      <c r="D1210" s="1628"/>
      <c r="E1210" s="1629"/>
      <c r="F1210" s="1629"/>
      <c r="G1210" s="2072"/>
      <c r="H1210" s="2072"/>
      <c r="I1210" s="2072"/>
      <c r="J1210" s="2072"/>
      <c r="K1210" s="2072"/>
      <c r="L1210" s="2072"/>
      <c r="M1210" s="1643"/>
      <c r="N1210" s="2556"/>
      <c r="O1210" s="1657"/>
      <c r="P1210" s="2555"/>
      <c r="Q1210" s="1658"/>
      <c r="R1210" s="1629"/>
      <c r="S1210" s="1629"/>
      <c r="T1210" s="1629"/>
      <c r="U1210" s="1629"/>
      <c r="V1210" s="1629"/>
      <c r="W1210" s="1629"/>
      <c r="X1210" s="2073"/>
      <c r="Y1210" s="2073"/>
      <c r="Z1210" s="2073"/>
      <c r="AA1210" s="2073"/>
      <c r="AB1210" s="2073"/>
      <c r="AC1210" s="2073"/>
      <c r="AD1210" s="2073"/>
      <c r="AE1210" s="2073"/>
      <c r="AF1210" s="2073"/>
    </row>
    <row r="1211" spans="1:32" ht="15">
      <c r="A1211" s="1658"/>
      <c r="B1211" s="1658"/>
      <c r="C1211" s="1658"/>
      <c r="D1211" s="1658"/>
      <c r="E1211" s="1658"/>
      <c r="F1211" s="1658"/>
      <c r="G1211" s="1658"/>
      <c r="H1211" s="1658"/>
      <c r="I1211" s="1658"/>
      <c r="J1211" s="1658"/>
      <c r="K1211" s="1658"/>
      <c r="L1211" s="1658"/>
      <c r="M1211" s="1658"/>
      <c r="N1211" s="2556"/>
      <c r="O1211" s="2557"/>
      <c r="P1211" s="2557"/>
      <c r="Q1211" s="1658"/>
      <c r="R1211" s="1658"/>
      <c r="S1211" s="1658"/>
      <c r="T1211" s="2065"/>
      <c r="U1211" s="2065"/>
      <c r="V1211" s="1658"/>
      <c r="W1211" s="1658"/>
      <c r="X1211" s="1658"/>
      <c r="Y1211" s="1658"/>
      <c r="Z1211" s="1658"/>
      <c r="AA1211" s="1658"/>
      <c r="AB1211" s="1658"/>
      <c r="AC1211" s="1658"/>
      <c r="AD1211" s="1658"/>
      <c r="AE1211" s="1658"/>
      <c r="AF1211" s="1658"/>
    </row>
    <row r="1212" spans="1:32" ht="15">
      <c r="A1212" s="2064" t="s">
        <v>68</v>
      </c>
      <c r="B1212" s="2065" t="s">
        <v>1796</v>
      </c>
      <c r="C1212" s="1658"/>
      <c r="D1212" s="1665"/>
      <c r="E1212" s="1665"/>
      <c r="F1212" s="1629"/>
      <c r="G1212" s="1629"/>
      <c r="H1212" s="1629"/>
      <c r="I1212" s="1658"/>
      <c r="J1212" s="2429"/>
      <c r="K1212" s="2555"/>
      <c r="L1212" s="2409" t="s">
        <v>1767</v>
      </c>
      <c r="M1212" s="1657">
        <v>5</v>
      </c>
      <c r="N1212" s="1643"/>
      <c r="O1212" s="2406">
        <f>'Part VIII Scoring Criteria'!O55</f>
        <v>3.5</v>
      </c>
      <c r="P1212" s="2406">
        <f>'Part VIII Scoring Criteria'!P55</f>
        <v>0</v>
      </c>
      <c r="Q1212" s="2555" t="s">
        <v>795</v>
      </c>
      <c r="R1212" s="1658"/>
      <c r="S1212" s="1658"/>
      <c r="T1212" s="1658"/>
      <c r="U1212" s="1658"/>
      <c r="V1212" s="1658"/>
      <c r="W1212" s="1658"/>
      <c r="X1212" s="1658"/>
      <c r="Y1212" s="1658"/>
      <c r="Z1212" s="1658"/>
      <c r="AA1212" s="1658"/>
      <c r="AB1212" s="1658"/>
      <c r="AC1212" s="1658"/>
      <c r="AD1212" s="1658"/>
      <c r="AE1212" s="1658"/>
      <c r="AF1212" s="1658"/>
    </row>
    <row r="1213" spans="1:32" ht="15">
      <c r="A1213" s="2430" t="s">
        <v>197</v>
      </c>
      <c r="B1213" s="1628" t="s">
        <v>1797</v>
      </c>
      <c r="C1213" s="1658"/>
      <c r="D1213" s="1658"/>
      <c r="E1213" s="1658"/>
      <c r="F1213" s="1658"/>
      <c r="G1213" s="1658"/>
      <c r="H1213" s="1658"/>
      <c r="I1213" s="1658"/>
      <c r="J1213" s="1658"/>
      <c r="K1213" s="1658"/>
      <c r="L1213" s="2411" t="str">
        <f>IF(O1213&lt;=M1213,"","* * Check Score! * *")</f>
        <v/>
      </c>
      <c r="M1213" s="1643">
        <v>4</v>
      </c>
      <c r="N1213" s="2067"/>
      <c r="O1213" s="1657">
        <f>'Part VIII Scoring Criteria'!O56</f>
        <v>3</v>
      </c>
      <c r="P1213" s="1657"/>
      <c r="Q1213" s="2412" t="str">
        <f>IF(O1213&lt;=M1213,"","*CHECK!*")</f>
        <v/>
      </c>
      <c r="R1213" s="1628"/>
      <c r="S1213" s="1628"/>
      <c r="T1213" s="2401"/>
      <c r="U1213" s="1658"/>
      <c r="V1213" s="1658"/>
      <c r="W1213" s="1658"/>
      <c r="X1213" s="1658"/>
      <c r="Y1213" s="1658"/>
      <c r="Z1213" s="1658"/>
      <c r="AA1213" s="1658"/>
      <c r="AB1213" s="1658"/>
      <c r="AC1213" s="1658"/>
      <c r="AD1213" s="1658"/>
      <c r="AE1213" s="1658"/>
      <c r="AF1213" s="1658"/>
    </row>
    <row r="1214" spans="1:32" ht="14.1" customHeight="1">
      <c r="A1214" s="2430"/>
      <c r="B1214" s="2426" t="s">
        <v>1798</v>
      </c>
      <c r="C1214" s="2426"/>
      <c r="D1214" s="2426"/>
      <c r="E1214" s="2426"/>
      <c r="F1214" s="2426"/>
      <c r="G1214" s="2426"/>
      <c r="H1214" s="2426"/>
      <c r="I1214" s="2426"/>
      <c r="J1214" s="2426"/>
      <c r="K1214" s="2426"/>
      <c r="L1214" s="2426"/>
      <c r="M1214" s="1658"/>
      <c r="N1214" s="1658"/>
      <c r="O1214" s="2555" t="str">
        <f>'Part VIII Scoring Criteria'!O57</f>
        <v>Yes</v>
      </c>
      <c r="P1214" s="2555"/>
      <c r="Q1214" s="1658"/>
      <c r="R1214" s="1628"/>
      <c r="S1214" s="1628"/>
      <c r="T1214" s="2401"/>
      <c r="U1214" s="1658"/>
      <c r="V1214" s="1658"/>
      <c r="W1214" s="1658"/>
      <c r="X1214" s="1658"/>
      <c r="Y1214" s="1658"/>
      <c r="Z1214" s="1658"/>
      <c r="AA1214" s="1658"/>
      <c r="AB1214" s="1658"/>
      <c r="AC1214" s="1658"/>
      <c r="AD1214" s="1658"/>
      <c r="AE1214" s="1658"/>
      <c r="AF1214" s="1658"/>
    </row>
    <row r="1215" spans="1:32" ht="15">
      <c r="A1215" s="2430"/>
      <c r="B1215" s="2431"/>
      <c r="C1215" s="1663"/>
      <c r="D1215" s="1663"/>
      <c r="E1215" s="1663"/>
      <c r="F1215" s="1663"/>
      <c r="G1215" s="1663"/>
      <c r="H1215" s="1663"/>
      <c r="I1215" s="1663"/>
      <c r="J1215" s="2432" t="s">
        <v>1799</v>
      </c>
      <c r="K1215" s="2432"/>
      <c r="L1215" s="1658"/>
      <c r="M1215" s="2432" t="s">
        <v>1799</v>
      </c>
      <c r="N1215" s="2432"/>
      <c r="O1215" s="2432"/>
      <c r="P1215" s="2432"/>
      <c r="Q1215" s="1658"/>
      <c r="R1215" s="2413"/>
      <c r="S1215" s="2413"/>
      <c r="T1215" s="2401"/>
      <c r="U1215" s="1658"/>
      <c r="V1215" s="1658"/>
      <c r="W1215" s="1658"/>
      <c r="X1215" s="1658"/>
      <c r="Y1215" s="1658"/>
      <c r="Z1215" s="1658"/>
      <c r="AA1215" s="1658"/>
      <c r="AB1215" s="1658"/>
      <c r="AC1215" s="1658"/>
      <c r="AD1215" s="1658"/>
      <c r="AE1215" s="1658"/>
      <c r="AF1215" s="1658"/>
    </row>
    <row r="1216" spans="1:32" ht="15">
      <c r="A1216" s="2067"/>
      <c r="B1216" s="2414" t="s">
        <v>212</v>
      </c>
      <c r="C1216" s="1629" t="s">
        <v>1800</v>
      </c>
      <c r="D1216" s="1658"/>
      <c r="E1216" s="1658"/>
      <c r="F1216" s="1658"/>
      <c r="G1216" s="1658"/>
      <c r="H1216" s="1658"/>
      <c r="I1216" s="2067"/>
      <c r="J1216" s="2433">
        <f>'Part VIII Scoring Criteria'!J59</f>
        <v>0</v>
      </c>
      <c r="K1216" s="2433"/>
      <c r="L1216" s="2067"/>
      <c r="M1216" s="2433"/>
      <c r="N1216" s="2433"/>
      <c r="O1216" s="2433"/>
      <c r="P1216" s="2433"/>
      <c r="Q1216" s="1658"/>
      <c r="R1216" s="2411"/>
      <c r="S1216" s="1658"/>
      <c r="T1216" s="1658"/>
      <c r="U1216" s="1658"/>
      <c r="V1216" s="1658"/>
      <c r="W1216" s="1658"/>
      <c r="X1216" s="1658"/>
      <c r="Y1216" s="1658"/>
      <c r="Z1216" s="1658"/>
      <c r="AA1216" s="1658"/>
      <c r="AB1216" s="1658"/>
      <c r="AC1216" s="1658"/>
      <c r="AD1216" s="1658"/>
      <c r="AE1216" s="1658"/>
      <c r="AF1216" s="1658"/>
    </row>
    <row r="1217" spans="1:32" ht="15">
      <c r="A1217" s="2409"/>
      <c r="B1217" s="2416" t="s">
        <v>220</v>
      </c>
      <c r="C1217" s="1629" t="s">
        <v>1801</v>
      </c>
      <c r="D1217" s="1658"/>
      <c r="E1217" s="1658"/>
      <c r="F1217" s="1658"/>
      <c r="G1217" s="1658"/>
      <c r="H1217" s="1658"/>
      <c r="I1217" s="2419"/>
      <c r="J1217" s="2433">
        <f>'Part VIII Scoring Criteria'!J60</f>
        <v>0</v>
      </c>
      <c r="K1217" s="2433"/>
      <c r="L1217" s="2419"/>
      <c r="M1217" s="2433"/>
      <c r="N1217" s="2433"/>
      <c r="O1217" s="2433"/>
      <c r="P1217" s="2433"/>
      <c r="Q1217" s="1658"/>
      <c r="R1217" s="1658"/>
      <c r="S1217" s="1658"/>
      <c r="T1217" s="1658"/>
      <c r="U1217" s="1658"/>
      <c r="V1217" s="1658"/>
      <c r="W1217" s="1658"/>
      <c r="X1217" s="1658"/>
      <c r="Y1217" s="1658"/>
      <c r="Z1217" s="1658"/>
      <c r="AA1217" s="1658"/>
      <c r="AB1217" s="1658"/>
      <c r="AC1217" s="1658"/>
      <c r="AD1217" s="1658"/>
      <c r="AE1217" s="1658"/>
      <c r="AF1217" s="1658"/>
    </row>
    <row r="1218" spans="1:32" ht="15">
      <c r="A1218" s="1658"/>
      <c r="B1218" s="2414" t="s">
        <v>224</v>
      </c>
      <c r="C1218" s="1629" t="s">
        <v>1802</v>
      </c>
      <c r="D1218" s="1658"/>
      <c r="E1218" s="1658"/>
      <c r="F1218" s="1658"/>
      <c r="G1218" s="1658"/>
      <c r="H1218" s="1658"/>
      <c r="I1218" s="2067"/>
      <c r="J1218" s="2433">
        <f>'Part VIII Scoring Criteria'!J61</f>
        <v>0</v>
      </c>
      <c r="K1218" s="2433"/>
      <c r="L1218" s="2067"/>
      <c r="M1218" s="2433"/>
      <c r="N1218" s="2433"/>
      <c r="O1218" s="2433"/>
      <c r="P1218" s="2433"/>
      <c r="Q1218" s="1658"/>
      <c r="R1218" s="1658"/>
      <c r="S1218" s="1658"/>
      <c r="T1218" s="1658"/>
      <c r="U1218" s="1658"/>
      <c r="V1218" s="1658"/>
      <c r="W1218" s="1658"/>
      <c r="X1218" s="1658"/>
      <c r="Y1218" s="1658"/>
      <c r="Z1218" s="1658"/>
      <c r="AA1218" s="1658"/>
      <c r="AB1218" s="1658"/>
      <c r="AC1218" s="1658"/>
      <c r="AD1218" s="1658"/>
      <c r="AE1218" s="1658"/>
      <c r="AF1218" s="1658"/>
    </row>
    <row r="1219" spans="1:32" ht="15">
      <c r="A1219" s="1658"/>
      <c r="B1219" s="2414" t="s">
        <v>264</v>
      </c>
      <c r="C1219" s="1629" t="s">
        <v>1803</v>
      </c>
      <c r="D1219" s="1658"/>
      <c r="E1219" s="1658"/>
      <c r="F1219" s="1658"/>
      <c r="G1219" s="1658"/>
      <c r="H1219" s="1658"/>
      <c r="I1219" s="2067"/>
      <c r="J1219" s="2433">
        <f>'Part VIII Scoring Criteria'!J62</f>
        <v>0</v>
      </c>
      <c r="K1219" s="2433"/>
      <c r="L1219" s="2067"/>
      <c r="M1219" s="2433"/>
      <c r="N1219" s="2433"/>
      <c r="O1219" s="2433"/>
      <c r="P1219" s="2433"/>
      <c r="Q1219" s="1658"/>
      <c r="R1219" s="1658"/>
      <c r="S1219" s="1658"/>
      <c r="T1219" s="1658"/>
      <c r="U1219" s="1658"/>
      <c r="V1219" s="1658"/>
      <c r="W1219" s="1658"/>
      <c r="X1219" s="1658"/>
      <c r="Y1219" s="1658"/>
      <c r="Z1219" s="1658"/>
      <c r="AA1219" s="1658"/>
      <c r="AB1219" s="1658"/>
      <c r="AC1219" s="1658"/>
      <c r="AD1219" s="1658"/>
      <c r="AE1219" s="1658"/>
      <c r="AF1219" s="1658"/>
    </row>
    <row r="1220" spans="1:32" ht="15">
      <c r="A1220" s="2409"/>
      <c r="B1220" s="2416" t="s">
        <v>266</v>
      </c>
      <c r="C1220" s="1629" t="s">
        <v>1804</v>
      </c>
      <c r="D1220" s="1658"/>
      <c r="E1220" s="1658"/>
      <c r="F1220" s="1658"/>
      <c r="G1220" s="1658"/>
      <c r="H1220" s="1658"/>
      <c r="I1220" s="2067"/>
      <c r="J1220" s="2433">
        <f>'Part VIII Scoring Criteria'!J63</f>
        <v>0</v>
      </c>
      <c r="K1220" s="2433"/>
      <c r="L1220" s="2067"/>
      <c r="M1220" s="2433"/>
      <c r="N1220" s="2433"/>
      <c r="O1220" s="2433"/>
      <c r="P1220" s="2433"/>
      <c r="Q1220" s="1658"/>
      <c r="R1220" s="1658"/>
      <c r="S1220" s="1658"/>
      <c r="T1220" s="1658"/>
      <c r="U1220" s="1658"/>
      <c r="V1220" s="1658"/>
      <c r="W1220" s="1658"/>
      <c r="X1220" s="1658"/>
      <c r="Y1220" s="1658"/>
      <c r="Z1220" s="1658"/>
      <c r="AA1220" s="1658"/>
      <c r="AB1220" s="1658"/>
      <c r="AC1220" s="1658"/>
      <c r="AD1220" s="1658"/>
      <c r="AE1220" s="1658"/>
      <c r="AF1220" s="1658"/>
    </row>
    <row r="1221" spans="1:32" ht="15">
      <c r="A1221" s="2067"/>
      <c r="B1221" s="2414" t="s">
        <v>268</v>
      </c>
      <c r="C1221" s="1629" t="s">
        <v>1805</v>
      </c>
      <c r="D1221" s="1658"/>
      <c r="E1221" s="1658"/>
      <c r="F1221" s="1658"/>
      <c r="G1221" s="1658"/>
      <c r="H1221" s="1658"/>
      <c r="I1221" s="2419"/>
      <c r="J1221" s="2433">
        <f>'Part VIII Scoring Criteria'!J64</f>
        <v>0</v>
      </c>
      <c r="K1221" s="2433"/>
      <c r="L1221" s="2419"/>
      <c r="M1221" s="2433"/>
      <c r="N1221" s="2433"/>
      <c r="O1221" s="2433"/>
      <c r="P1221" s="2433"/>
      <c r="Q1221" s="1658"/>
      <c r="R1221" s="1658"/>
      <c r="S1221" s="1658"/>
      <c r="T1221" s="1658"/>
      <c r="U1221" s="1658"/>
      <c r="V1221" s="1658"/>
      <c r="W1221" s="1658"/>
      <c r="X1221" s="1658"/>
      <c r="Y1221" s="1658"/>
      <c r="Z1221" s="1658"/>
      <c r="AA1221" s="1658"/>
      <c r="AB1221" s="1658"/>
      <c r="AC1221" s="1658"/>
      <c r="AD1221" s="1658"/>
      <c r="AE1221" s="1658"/>
      <c r="AF1221" s="1658"/>
    </row>
    <row r="1222" spans="1:32" ht="15">
      <c r="A1222" s="1658"/>
      <c r="B1222" s="2414" t="s">
        <v>270</v>
      </c>
      <c r="C1222" s="1629" t="s">
        <v>1806</v>
      </c>
      <c r="D1222" s="1658"/>
      <c r="E1222" s="1658"/>
      <c r="F1222" s="1658"/>
      <c r="G1222" s="1658"/>
      <c r="H1222" s="1658"/>
      <c r="I1222" s="2067"/>
      <c r="J1222" s="2433">
        <f>'Part VIII Scoring Criteria'!J65</f>
        <v>0</v>
      </c>
      <c r="K1222" s="2433"/>
      <c r="L1222" s="2067"/>
      <c r="M1222" s="2433"/>
      <c r="N1222" s="2433"/>
      <c r="O1222" s="2433"/>
      <c r="P1222" s="2433"/>
      <c r="Q1222" s="1658"/>
      <c r="R1222" s="1658"/>
      <c r="S1222" s="1658"/>
      <c r="T1222" s="1658"/>
      <c r="U1222" s="1658"/>
      <c r="V1222" s="1658"/>
      <c r="W1222" s="1658"/>
      <c r="X1222" s="1658"/>
      <c r="Y1222" s="1658"/>
      <c r="Z1222" s="1658"/>
      <c r="AA1222" s="1658"/>
      <c r="AB1222" s="1658"/>
      <c r="AC1222" s="1658"/>
      <c r="AD1222" s="1658"/>
      <c r="AE1222" s="1658"/>
      <c r="AF1222" s="1658"/>
    </row>
    <row r="1223" spans="1:32" ht="15">
      <c r="A1223" s="1658"/>
      <c r="B1223" s="2414" t="s">
        <v>272</v>
      </c>
      <c r="C1223" s="1629" t="s">
        <v>1807</v>
      </c>
      <c r="D1223" s="1658"/>
      <c r="E1223" s="1658"/>
      <c r="F1223" s="1658"/>
      <c r="G1223" s="1658"/>
      <c r="H1223" s="1658"/>
      <c r="I1223" s="2067"/>
      <c r="J1223" s="2433">
        <f>'Part VIII Scoring Criteria'!J66</f>
        <v>0</v>
      </c>
      <c r="K1223" s="2433"/>
      <c r="L1223" s="2067"/>
      <c r="M1223" s="2433"/>
      <c r="N1223" s="2433"/>
      <c r="O1223" s="2433"/>
      <c r="P1223" s="2433"/>
      <c r="Q1223" s="1658"/>
      <c r="R1223" s="2411"/>
      <c r="S1223" s="1658"/>
      <c r="T1223" s="1658"/>
      <c r="U1223" s="1658"/>
      <c r="V1223" s="1658"/>
      <c r="W1223" s="1658"/>
      <c r="X1223" s="1658"/>
      <c r="Y1223" s="1658"/>
      <c r="Z1223" s="1658"/>
      <c r="AA1223" s="1658"/>
      <c r="AB1223" s="1658"/>
      <c r="AC1223" s="1658"/>
      <c r="AD1223" s="1658"/>
      <c r="AE1223" s="1658"/>
      <c r="AF1223" s="1658"/>
    </row>
    <row r="1224" spans="1:32" ht="15">
      <c r="A1224" s="2409"/>
      <c r="B1224" s="2414" t="s">
        <v>274</v>
      </c>
      <c r="C1224" s="1629" t="s">
        <v>1808</v>
      </c>
      <c r="D1224" s="1658"/>
      <c r="E1224" s="1658"/>
      <c r="F1224" s="1658"/>
      <c r="G1224" s="1658"/>
      <c r="H1224" s="1658"/>
      <c r="I1224" s="2067"/>
      <c r="J1224" s="2433">
        <f>'Part VIII Scoring Criteria'!J67</f>
        <v>0</v>
      </c>
      <c r="K1224" s="2433"/>
      <c r="L1224" s="2067"/>
      <c r="M1224" s="2433"/>
      <c r="N1224" s="2433"/>
      <c r="O1224" s="2433"/>
      <c r="P1224" s="2433"/>
      <c r="Q1224" s="1658"/>
      <c r="R1224" s="2411"/>
      <c r="S1224" s="1658"/>
      <c r="T1224" s="1658"/>
      <c r="U1224" s="1658"/>
      <c r="V1224" s="1658"/>
      <c r="W1224" s="1658"/>
      <c r="X1224" s="1658"/>
      <c r="Y1224" s="1658"/>
      <c r="Z1224" s="1658"/>
      <c r="AA1224" s="1658"/>
      <c r="AB1224" s="1658"/>
      <c r="AC1224" s="1658"/>
      <c r="AD1224" s="1658"/>
      <c r="AE1224" s="1658"/>
      <c r="AF1224" s="1658"/>
    </row>
    <row r="1225" spans="1:32" ht="15">
      <c r="A1225" s="1658"/>
      <c r="B1225" s="2414" t="s">
        <v>1809</v>
      </c>
      <c r="C1225" s="1629" t="s">
        <v>1810</v>
      </c>
      <c r="D1225" s="1658"/>
      <c r="E1225" s="1658"/>
      <c r="F1225" s="1658"/>
      <c r="G1225" s="1658"/>
      <c r="H1225" s="1658"/>
      <c r="I1225" s="2067"/>
      <c r="J1225" s="2433">
        <f>'Part VIII Scoring Criteria'!J68</f>
        <v>0</v>
      </c>
      <c r="K1225" s="2433"/>
      <c r="L1225" s="2067"/>
      <c r="M1225" s="2433"/>
      <c r="N1225" s="2433"/>
      <c r="O1225" s="2433"/>
      <c r="P1225" s="2433"/>
      <c r="Q1225" s="1658"/>
      <c r="R1225" s="2411"/>
      <c r="S1225" s="1658"/>
      <c r="T1225" s="1658"/>
      <c r="U1225" s="1658"/>
      <c r="V1225" s="1658"/>
      <c r="W1225" s="1658"/>
      <c r="X1225" s="1658"/>
      <c r="Y1225" s="1658"/>
      <c r="Z1225" s="1658"/>
      <c r="AA1225" s="1658"/>
      <c r="AB1225" s="1658"/>
      <c r="AC1225" s="1658"/>
      <c r="AD1225" s="1658"/>
      <c r="AE1225" s="1658"/>
      <c r="AF1225" s="1658"/>
    </row>
    <row r="1226" spans="1:32" ht="15">
      <c r="A1226" s="1658"/>
      <c r="B1226" s="2414" t="s">
        <v>1811</v>
      </c>
      <c r="C1226" s="1629" t="s">
        <v>1812</v>
      </c>
      <c r="D1226" s="1658"/>
      <c r="E1226" s="1658"/>
      <c r="F1226" s="1658"/>
      <c r="G1226" s="1658"/>
      <c r="H1226" s="1658"/>
      <c r="I1226" s="2067"/>
      <c r="J1226" s="2433">
        <f>'Part VIII Scoring Criteria'!J69</f>
        <v>0</v>
      </c>
      <c r="K1226" s="2433"/>
      <c r="L1226" s="2067"/>
      <c r="M1226" s="2433"/>
      <c r="N1226" s="2433"/>
      <c r="O1226" s="2433"/>
      <c r="P1226" s="2433"/>
      <c r="Q1226" s="1658"/>
      <c r="R1226" s="2411"/>
      <c r="S1226" s="1658"/>
      <c r="T1226" s="1658"/>
      <c r="U1226" s="1658"/>
      <c r="V1226" s="1658"/>
      <c r="W1226" s="1658"/>
      <c r="X1226" s="1658"/>
      <c r="Y1226" s="1658"/>
      <c r="Z1226" s="1658"/>
      <c r="AA1226" s="1658"/>
      <c r="AB1226" s="1658"/>
      <c r="AC1226" s="1658"/>
      <c r="AD1226" s="1658"/>
      <c r="AE1226" s="1658"/>
      <c r="AF1226" s="1658"/>
    </row>
    <row r="1227" spans="1:32" ht="15">
      <c r="A1227" s="1658"/>
      <c r="B1227" s="2414" t="s">
        <v>1813</v>
      </c>
      <c r="C1227" s="1629" t="s">
        <v>1814</v>
      </c>
      <c r="D1227" s="1658"/>
      <c r="E1227" s="1658"/>
      <c r="F1227" s="1658"/>
      <c r="G1227" s="1658"/>
      <c r="H1227" s="1658"/>
      <c r="I1227" s="2067"/>
      <c r="J1227" s="2433">
        <f>'Part VIII Scoring Criteria'!J70</f>
        <v>2279916</v>
      </c>
      <c r="K1227" s="2433"/>
      <c r="L1227" s="2067"/>
      <c r="M1227" s="2433"/>
      <c r="N1227" s="2433"/>
      <c r="O1227" s="2433"/>
      <c r="P1227" s="2433"/>
      <c r="Q1227" s="1658"/>
      <c r="R1227" s="2411"/>
      <c r="S1227" s="1658"/>
      <c r="T1227" s="1658"/>
      <c r="U1227" s="1658"/>
      <c r="V1227" s="1658"/>
      <c r="W1227" s="1658"/>
      <c r="X1227" s="1658"/>
      <c r="Y1227" s="1658"/>
      <c r="Z1227" s="1658"/>
      <c r="AA1227" s="1658"/>
      <c r="AB1227" s="1658"/>
      <c r="AC1227" s="1658"/>
      <c r="AD1227" s="1658"/>
      <c r="AE1227" s="1658"/>
      <c r="AF1227" s="1658"/>
    </row>
    <row r="1228" spans="1:32" ht="15">
      <c r="A1228" s="1658"/>
      <c r="B1228" s="1629"/>
      <c r="C1228" s="1658"/>
      <c r="D1228" s="1658"/>
      <c r="E1228" s="1658"/>
      <c r="F1228" s="1658"/>
      <c r="G1228" s="1658"/>
      <c r="H1228" s="1658"/>
      <c r="I1228" s="2071" t="s">
        <v>1815</v>
      </c>
      <c r="J1228" s="2433">
        <f>SUM(J1216:K1227)</f>
        <v>2279916</v>
      </c>
      <c r="K1228" s="2433"/>
      <c r="L1228" s="1658"/>
      <c r="M1228" s="2433">
        <f>SUM($M1216:$M1227)</f>
        <v>0</v>
      </c>
      <c r="N1228" s="2433"/>
      <c r="O1228" s="2433"/>
      <c r="P1228" s="2433"/>
      <c r="Q1228" s="1658"/>
      <c r="R1228" s="1658"/>
      <c r="S1228" s="1658"/>
      <c r="T1228" s="1658"/>
      <c r="U1228" s="1658" t="s">
        <v>1816</v>
      </c>
      <c r="V1228" s="1658"/>
      <c r="W1228" s="1658"/>
      <c r="X1228" s="1658"/>
      <c r="Y1228" s="1658"/>
      <c r="Z1228" s="1658"/>
      <c r="AA1228" s="1658"/>
      <c r="AB1228" s="1658"/>
      <c r="AC1228" s="1658"/>
      <c r="AD1228" s="1658"/>
      <c r="AE1228" s="1658"/>
      <c r="AF1228" s="1658"/>
    </row>
    <row r="1229" spans="1:32" ht="15">
      <c r="A1229" s="1658"/>
      <c r="B1229" s="1658"/>
      <c r="C1229" s="1658"/>
      <c r="D1229" s="1658"/>
      <c r="E1229" s="1658"/>
      <c r="F1229" s="1658"/>
      <c r="G1229" s="1658"/>
      <c r="H1229" s="1658"/>
      <c r="I1229" s="1658"/>
      <c r="J1229" s="1658"/>
      <c r="K1229" s="1658"/>
      <c r="L1229" s="1658"/>
      <c r="M1229" s="1628"/>
      <c r="N1229" s="1628"/>
      <c r="O1229" s="1658"/>
      <c r="P1229" s="1628"/>
      <c r="Q1229" s="1658"/>
      <c r="R1229" s="1658"/>
      <c r="S1229" s="1658"/>
      <c r="T1229" s="1658"/>
      <c r="U1229" s="2434" t="s">
        <v>1817</v>
      </c>
      <c r="V1229" s="2434" t="s">
        <v>1747</v>
      </c>
      <c r="W1229" s="2434" t="s">
        <v>1817</v>
      </c>
      <c r="X1229" s="2434" t="s">
        <v>1747</v>
      </c>
      <c r="Y1229" s="2434" t="s">
        <v>1817</v>
      </c>
      <c r="Z1229" s="2434" t="s">
        <v>1747</v>
      </c>
      <c r="AA1229" s="1658"/>
      <c r="AB1229" s="1658"/>
      <c r="AC1229" s="1658"/>
      <c r="AD1229" s="1658"/>
      <c r="AE1229" s="1658"/>
      <c r="AF1229" s="1658"/>
    </row>
    <row r="1230" spans="1:32" ht="15">
      <c r="A1230" s="1629"/>
      <c r="B1230" s="2414"/>
      <c r="C1230" s="1665" t="s">
        <v>1818</v>
      </c>
      <c r="D1230" s="1629"/>
      <c r="E1230" s="1629"/>
      <c r="F1230" s="1658"/>
      <c r="G1230" s="1658"/>
      <c r="H1230" s="1658"/>
      <c r="I1230" s="2067" t="s">
        <v>1819</v>
      </c>
      <c r="J1230" s="2433">
        <f>'Part VIII Scoring Criteria'!J73</f>
        <v>58</v>
      </c>
      <c r="K1230" s="2433"/>
      <c r="L1230" s="1628"/>
      <c r="M1230" s="1628"/>
      <c r="N1230" s="1628"/>
      <c r="O1230" s="1658"/>
      <c r="P1230" s="1628"/>
      <c r="Q1230" s="1658"/>
      <c r="R1230" s="2435" t="s">
        <v>1820</v>
      </c>
      <c r="S1230" s="1658"/>
      <c r="T1230" s="1658"/>
      <c r="U1230" s="2436">
        <v>500000</v>
      </c>
      <c r="V1230" s="2437">
        <v>999999.99</v>
      </c>
      <c r="W1230" s="2436">
        <v>1000000</v>
      </c>
      <c r="X1230" s="2437">
        <v>1999999.99</v>
      </c>
      <c r="Y1230" s="2436">
        <v>2000000</v>
      </c>
      <c r="Z1230" s="2436"/>
      <c r="AA1230" s="1658"/>
      <c r="AB1230" s="1658"/>
      <c r="AC1230" s="1658"/>
      <c r="AD1230" s="1658"/>
      <c r="AE1230" s="1658"/>
      <c r="AF1230" s="1658"/>
    </row>
    <row r="1231" spans="1:32" ht="14.25">
      <c r="A1231" s="1658"/>
      <c r="B1231" s="1658"/>
      <c r="C1231" s="1629"/>
      <c r="D1231" s="1629"/>
      <c r="E1231" s="1629"/>
      <c r="F1231" s="1658"/>
      <c r="G1231" s="1658"/>
      <c r="H1231" s="1658"/>
      <c r="I1231" s="2409" t="s">
        <v>1821</v>
      </c>
      <c r="J1231" s="2438">
        <f>'Part VIII Scoring Criteria'!J74</f>
        <v>39308.896551724138</v>
      </c>
      <c r="K1231" s="2438"/>
      <c r="L1231" s="1658"/>
      <c r="M1231" s="2438">
        <f>IF(J1230=0,0,M1228/J1230)</f>
        <v>0</v>
      </c>
      <c r="N1231" s="2438"/>
      <c r="O1231" s="2438"/>
      <c r="P1231" s="2438"/>
      <c r="Q1231" s="1658"/>
      <c r="R1231" s="2435" t="s">
        <v>1822</v>
      </c>
      <c r="S1231" s="1658"/>
      <c r="T1231" s="1658"/>
      <c r="U1231" s="2436">
        <v>10000</v>
      </c>
      <c r="V1231" s="2437">
        <v>19999.990000000002</v>
      </c>
      <c r="W1231" s="2436">
        <v>20000</v>
      </c>
      <c r="X1231" s="2437">
        <v>29999.99</v>
      </c>
      <c r="Y1231" s="2436">
        <v>30000</v>
      </c>
      <c r="Z1231" s="2436"/>
      <c r="AA1231" s="1658"/>
      <c r="AB1231" s="1658"/>
      <c r="AC1231" s="1658"/>
      <c r="AD1231" s="1658"/>
      <c r="AE1231" s="1658"/>
      <c r="AF1231" s="1658"/>
    </row>
    <row r="1232" spans="1:32" ht="14.25">
      <c r="A1232" s="1658"/>
      <c r="B1232" s="1658"/>
      <c r="C1232" s="1629"/>
      <c r="D1232" s="1629"/>
      <c r="E1232" s="1629"/>
      <c r="F1232" s="1658"/>
      <c r="G1232" s="1658"/>
      <c r="H1232" s="1658"/>
      <c r="I1232" s="2409" t="s">
        <v>1823</v>
      </c>
      <c r="J1232" s="2433">
        <f>'Part VIII Scoring Criteria'!J75</f>
        <v>3</v>
      </c>
      <c r="K1232" s="2433"/>
      <c r="L1232" s="1658"/>
      <c r="M1232" s="2433">
        <f>IF(AND(M1219+M1224&gt;0,M1228&gt;=$Y$73),$Y$75, IF(AND(M1219+M1224=0,M1228&gt;=$Y$73),$Y$76, IF(AND(M1219+M1224&gt;0,M1228&gt;=$W$73),$W$75,IF(AND(M1219+M1224=0,M1228&gt;=$W$73),$W$76, IF(AND(M1219+M1224&gt;0,M1228&gt;=$U$73),$U$75,IF(AND(M1219+M1224=0,M1228&gt;=$U$73),$U$76,0))))))</f>
        <v>0</v>
      </c>
      <c r="N1232" s="2433"/>
      <c r="O1232" s="2433">
        <f>IF(AND(O1219+O1224&gt;0,O1228&gt;=$Y$73),$Y$75, IF(AND(O1219+O1224=0,O1228&gt;=$Y$73),$Y$76, IF(AND(O1219+O1224&gt;0,O1228&gt;=$W$73),$W$75,IF(AND(O1219+O1224=0,O1228&gt;=$W$73),$W$76, IF(AND(O1219+O1224&gt;0,O1228&gt;=$U$73),$U$75,IF(AND(O1219+O1224=0,O1228&gt;=$U$73),$U$76,0))))))</f>
        <v>0</v>
      </c>
      <c r="P1232" s="2433"/>
      <c r="Q1232" s="1658"/>
      <c r="R1232" s="2435" t="s">
        <v>1824</v>
      </c>
      <c r="S1232" s="1658"/>
      <c r="T1232" s="1658"/>
      <c r="U1232" s="1629">
        <v>2</v>
      </c>
      <c r="V1232" s="1629"/>
      <c r="W1232" s="1629">
        <v>3</v>
      </c>
      <c r="X1232" s="1629"/>
      <c r="Y1232" s="1629">
        <v>4</v>
      </c>
      <c r="Z1232" s="1629"/>
      <c r="AA1232" s="1658"/>
      <c r="AB1232" s="1658"/>
      <c r="AC1232" s="1658"/>
      <c r="AD1232" s="1658"/>
      <c r="AE1232" s="1658"/>
      <c r="AF1232" s="1658"/>
    </row>
    <row r="1233" spans="1:32" ht="15">
      <c r="A1233" s="1658"/>
      <c r="B1233" s="1658"/>
      <c r="C1233" s="1629"/>
      <c r="D1233" s="1629"/>
      <c r="E1233" s="1629"/>
      <c r="F1233" s="1658"/>
      <c r="G1233" s="1658"/>
      <c r="H1233" s="1658"/>
      <c r="I1233" s="2409" t="s">
        <v>1825</v>
      </c>
      <c r="J1233" s="2439">
        <f>'Part VIII Scoring Criteria'!J76</f>
        <v>3</v>
      </c>
      <c r="K1233" s="2439"/>
      <c r="L1233" s="1628"/>
      <c r="M1233" s="2439">
        <f t="shared" ref="M1233" si="419">IF(AND(M1219+M1224&gt;0,$J$73&gt;=$Y$74),$Y$75, IF(AND(M1219+M1224=0,$J$73&gt;=$Y$74),$Y$76, IF(AND(M1219+M1224&gt;0,$J$73&gt;=$W$74),$W$75,IF(AND(M1219+M1224=0,$J$73&gt;=$W$74),$W$76, IF(AND(M1219+M1224&gt;0,$J$73&gt;=$U$74),$U$75,IF(AND(M1219+M1224=0,$J$73&gt;=$U$74),$U$76,0))))))</f>
        <v>0</v>
      </c>
      <c r="N1233" s="2439"/>
      <c r="O1233" s="2439">
        <f t="shared" ref="O1233" si="420">IF(AND(O1219+O1224&gt;0,$J$73&gt;=$Y$74),$Y$75, IF(AND(O1219+O1224=0,$J$73&gt;=$Y$74),$Y$76, IF(AND(O1219+O1224&gt;0,$J$73&gt;=$W$74),$W$75,IF(AND(O1219+O1224=0,$J$73&gt;=$W$74),$W$76, IF(AND(O1219+O1224&gt;0,$J$73&gt;=$U$74),$U$75,IF(AND(O1219+O1224=0,$J$73&gt;=$U$74),$U$76,0))))))</f>
        <v>0</v>
      </c>
      <c r="P1233" s="2439"/>
      <c r="Q1233" s="1658"/>
      <c r="R1233" s="2435" t="s">
        <v>1826</v>
      </c>
      <c r="S1233" s="1658"/>
      <c r="T1233" s="1658"/>
      <c r="U1233" s="1629">
        <v>1</v>
      </c>
      <c r="V1233" s="1629"/>
      <c r="W1233" s="1629">
        <v>2</v>
      </c>
      <c r="X1233" s="1629"/>
      <c r="Y1233" s="1629">
        <v>3</v>
      </c>
      <c r="Z1233" s="1629"/>
      <c r="AA1233" s="1658"/>
      <c r="AB1233" s="1658"/>
      <c r="AC1233" s="1658"/>
      <c r="AD1233" s="1658"/>
      <c r="AE1233" s="1658"/>
      <c r="AF1233" s="1658"/>
    </row>
    <row r="1234" spans="1:32" ht="15">
      <c r="A1234" s="1658"/>
      <c r="B1234" s="1658"/>
      <c r="C1234" s="1658"/>
      <c r="D1234" s="1658"/>
      <c r="E1234" s="1658"/>
      <c r="F1234" s="1658"/>
      <c r="G1234" s="1658"/>
      <c r="H1234" s="1658"/>
      <c r="I1234" s="1658"/>
      <c r="J1234" s="1658"/>
      <c r="K1234" s="1658"/>
      <c r="L1234" s="1658"/>
      <c r="M1234" s="1658"/>
      <c r="N1234" s="2556"/>
      <c r="O1234" s="2557"/>
      <c r="P1234" s="2557"/>
      <c r="Q1234" s="1658"/>
      <c r="R1234" s="1658"/>
      <c r="S1234" s="1658"/>
      <c r="T1234" s="1658"/>
      <c r="U1234" s="1658"/>
      <c r="V1234" s="1658"/>
      <c r="W1234" s="1658"/>
      <c r="X1234" s="1658"/>
      <c r="Y1234" s="1658"/>
      <c r="Z1234" s="1658"/>
      <c r="AA1234" s="1658"/>
      <c r="AB1234" s="1658"/>
      <c r="AC1234" s="1658"/>
      <c r="AD1234" s="1658"/>
      <c r="AE1234" s="1658"/>
      <c r="AF1234" s="1658"/>
    </row>
    <row r="1235" spans="1:32" ht="15">
      <c r="A1235" s="2555" t="s">
        <v>209</v>
      </c>
      <c r="B1235" s="1628" t="s">
        <v>1827</v>
      </c>
      <c r="C1235" s="1658"/>
      <c r="D1235" s="1629"/>
      <c r="E1235" s="1658"/>
      <c r="F1235" s="2440" t="s">
        <v>1828</v>
      </c>
      <c r="G1235" s="1658"/>
      <c r="H1235" s="1658"/>
      <c r="I1235" s="1658"/>
      <c r="J1235" s="1658"/>
      <c r="K1235" s="1629"/>
      <c r="L1235" s="2441" t="s">
        <v>1829</v>
      </c>
      <c r="M1235" s="1643">
        <v>1</v>
      </c>
      <c r="N1235" s="2067"/>
      <c r="O1235" s="2406">
        <f>'Part VIII Scoring Criteria'!O78</f>
        <v>0.5</v>
      </c>
      <c r="P1235" s="2406">
        <f>'Part VIII Scoring Criteria'!P78</f>
        <v>0</v>
      </c>
      <c r="Q1235" s="2412"/>
      <c r="R1235" s="2413"/>
      <c r="S1235" s="1658"/>
      <c r="T1235" s="2065"/>
      <c r="U1235" s="2065"/>
      <c r="V1235" s="1658"/>
      <c r="W1235" s="1658"/>
      <c r="X1235" s="1658"/>
      <c r="Y1235" s="1658"/>
      <c r="Z1235" s="1658"/>
      <c r="AA1235" s="1658"/>
      <c r="AB1235" s="1658"/>
      <c r="AC1235" s="1658"/>
      <c r="AD1235" s="1658"/>
      <c r="AE1235" s="1658"/>
      <c r="AF1235" s="1658"/>
    </row>
    <row r="1236" spans="1:32" ht="15">
      <c r="A1236" s="2555"/>
      <c r="B1236" s="2414" t="s">
        <v>212</v>
      </c>
      <c r="C1236" s="1660" t="s">
        <v>1830</v>
      </c>
      <c r="D1236" s="1629"/>
      <c r="E1236" s="1629"/>
      <c r="F1236" s="2442" t="s">
        <v>1831</v>
      </c>
      <c r="G1236" s="1629"/>
      <c r="H1236" s="1629"/>
      <c r="I1236" s="2555"/>
      <c r="J1236" s="1660"/>
      <c r="K1236" s="1660"/>
      <c r="L1236" s="2411" t="str">
        <f>IF(OR($O1236=$M1236,$O1236=0,$O1236=""),"","* * Check Score! * *")</f>
        <v/>
      </c>
      <c r="M1236" s="2443">
        <v>0.5</v>
      </c>
      <c r="N1236" s="2067"/>
      <c r="O1236" s="2406">
        <f>'Part VIII Scoring Criteria'!O79</f>
        <v>0.5</v>
      </c>
      <c r="P1236" s="2406"/>
      <c r="Q1236" s="2413"/>
      <c r="R1236" s="1629"/>
      <c r="S1236" s="1629"/>
      <c r="T1236" s="1629"/>
      <c r="U1236" s="1629"/>
      <c r="V1236" s="2065"/>
      <c r="W1236" s="1629"/>
      <c r="X1236" s="1629"/>
      <c r="Y1236" s="1629"/>
      <c r="Z1236" s="1629"/>
      <c r="AA1236" s="1629"/>
      <c r="AB1236" s="1629"/>
      <c r="AC1236" s="1629"/>
      <c r="AD1236" s="1629"/>
      <c r="AE1236" s="1629"/>
      <c r="AF1236" s="1629"/>
    </row>
    <row r="1237" spans="1:32" ht="15">
      <c r="A1237" s="2555"/>
      <c r="B1237" s="2416" t="s">
        <v>220</v>
      </c>
      <c r="C1237" s="1660" t="s">
        <v>1832</v>
      </c>
      <c r="D1237" s="1629"/>
      <c r="E1237" s="1629"/>
      <c r="F1237" s="2555"/>
      <c r="G1237" s="1629"/>
      <c r="H1237" s="1629"/>
      <c r="I1237" s="2555"/>
      <c r="J1237" s="1660"/>
      <c r="K1237" s="1660"/>
      <c r="L1237" s="2411" t="str">
        <f>IF(OR($O1237=$M1237,$O1237=0,$O1237=""),"","* * Check Score! * *")</f>
        <v/>
      </c>
      <c r="M1237" s="2443">
        <v>1</v>
      </c>
      <c r="N1237" s="2067"/>
      <c r="O1237" s="1657">
        <f>'Part VIII Scoring Criteria'!O80</f>
        <v>0</v>
      </c>
      <c r="P1237" s="1657">
        <f>'Part VIII Scoring Criteria'!P80</f>
        <v>0</v>
      </c>
      <c r="Q1237" s="2413"/>
      <c r="R1237" s="1629"/>
      <c r="S1237" s="1629"/>
      <c r="T1237" s="1629"/>
      <c r="U1237" s="1629"/>
      <c r="V1237" s="2065"/>
      <c r="W1237" s="1629"/>
      <c r="X1237" s="1629"/>
      <c r="Y1237" s="1629"/>
      <c r="Z1237" s="1629"/>
      <c r="AA1237" s="1629"/>
      <c r="AB1237" s="1629"/>
      <c r="AC1237" s="1629"/>
      <c r="AD1237" s="1629"/>
      <c r="AE1237" s="1629"/>
      <c r="AF1237" s="1629"/>
    </row>
    <row r="1238" spans="1:32" ht="15">
      <c r="A1238" s="2071"/>
      <c r="B1238" s="2444"/>
      <c r="C1238" s="1664" t="s">
        <v>1790</v>
      </c>
      <c r="D1238" s="1663"/>
      <c r="E1238" s="1663"/>
      <c r="F1238" s="1663"/>
      <c r="G1238" s="1663"/>
      <c r="H1238" s="1663"/>
      <c r="I1238" s="1663"/>
      <c r="J1238" s="1663"/>
      <c r="K1238" s="1663"/>
      <c r="L1238" s="1663"/>
      <c r="M1238" s="1663"/>
      <c r="N1238" s="2445"/>
      <c r="O1238" s="2418">
        <f>'Part VIII Scoring Criteria'!O81</f>
        <v>0</v>
      </c>
      <c r="P1238" s="2418"/>
      <c r="Q1238" s="1658"/>
      <c r="R1238" s="1658"/>
      <c r="S1238" s="1658"/>
      <c r="T1238" s="1658"/>
      <c r="U1238" s="1658"/>
      <c r="V1238" s="2065"/>
      <c r="W1238" s="1658"/>
      <c r="X1238" s="1658"/>
      <c r="Y1238" s="1658"/>
      <c r="Z1238" s="1658"/>
      <c r="AA1238" s="1658"/>
      <c r="AB1238" s="1658"/>
      <c r="AC1238" s="1658"/>
      <c r="AD1238" s="1658"/>
      <c r="AE1238" s="1658"/>
      <c r="AF1238" s="1658"/>
    </row>
    <row r="1239" spans="1:32" ht="15">
      <c r="A1239" s="2071"/>
      <c r="B1239" s="2444"/>
      <c r="C1239" s="1629" t="s">
        <v>1833</v>
      </c>
      <c r="D1239" s="1629"/>
      <c r="E1239" s="1629"/>
      <c r="F1239" s="1629"/>
      <c r="G1239" s="1629"/>
      <c r="H1239" s="1629"/>
      <c r="I1239" s="1629"/>
      <c r="J1239" s="1629"/>
      <c r="K1239" s="1629"/>
      <c r="L1239" s="1658"/>
      <c r="M1239" s="1629"/>
      <c r="N1239" s="2446"/>
      <c r="O1239" s="2418">
        <f>'Part VIII Scoring Criteria'!O82</f>
        <v>0</v>
      </c>
      <c r="P1239" s="2555"/>
      <c r="Q1239" s="1658"/>
      <c r="R1239" s="1658"/>
      <c r="S1239" s="1658"/>
      <c r="T1239" s="1658"/>
      <c r="U1239" s="1658"/>
      <c r="V1239" s="2065"/>
      <c r="W1239" s="1658"/>
      <c r="X1239" s="1658"/>
      <c r="Y1239" s="1658"/>
      <c r="Z1239" s="1658"/>
      <c r="AA1239" s="1658"/>
      <c r="AB1239" s="1658"/>
      <c r="AC1239" s="1658"/>
      <c r="AD1239" s="1658"/>
      <c r="AE1239" s="1658"/>
      <c r="AF1239" s="1658"/>
    </row>
    <row r="1240" spans="1:32" ht="15">
      <c r="A1240" s="1629"/>
      <c r="B1240" s="2407" t="s">
        <v>2286</v>
      </c>
      <c r="C1240" s="1629"/>
      <c r="D1240" s="1629"/>
      <c r="E1240" s="1629"/>
      <c r="F1240" s="1629"/>
      <c r="G1240" s="1629"/>
      <c r="H1240" s="1629"/>
      <c r="I1240" s="1629"/>
      <c r="J1240" s="1629"/>
      <c r="K1240" s="1629"/>
      <c r="L1240" s="1658"/>
      <c r="M1240" s="1643"/>
      <c r="N1240" s="2556"/>
      <c r="O1240" s="1657"/>
      <c r="P1240" s="2557"/>
      <c r="Q1240" s="1658"/>
      <c r="R1240" s="1658"/>
      <c r="S1240" s="1658"/>
      <c r="T1240" s="1658"/>
      <c r="U1240" s="1658"/>
      <c r="V1240" s="1658"/>
      <c r="W1240" s="1658"/>
      <c r="X1240" s="1658"/>
      <c r="Y1240" s="1658"/>
      <c r="Z1240" s="1658"/>
      <c r="AA1240" s="1658"/>
      <c r="AB1240" s="1658"/>
      <c r="AC1240" s="1658"/>
      <c r="AD1240" s="1658"/>
      <c r="AE1240" s="1658"/>
      <c r="AF1240" s="1658"/>
    </row>
    <row r="1241" spans="1:32" ht="15">
      <c r="A1241" s="2422" t="str">
        <f>'Part VIII Scoring Criteria'!A84</f>
        <v>The development has received a Neighbrohood Stabilization Program Loan from HUD through Cobb County's administrative agency in the amount of $2,279,916. The loan will be used during the construction and permanent phases.  NSP fund terms include the interest rate is, at or below long term monthly AFR, will be utilized if the development is awarded, and will be outstanding for at least ten (10) years. Additionally, the applicant has entered into a Private Enterprise Agreement with the owner of the property, Marietta Housing Authority.  The Housing Authority, by right, is exempt from real estate property taxes.  The development is eligible to receive three (3.5) points within this category.</v>
      </c>
      <c r="B1241" s="2422"/>
      <c r="C1241" s="2422"/>
      <c r="D1241" s="2422"/>
      <c r="E1241" s="2422"/>
      <c r="F1241" s="2422"/>
      <c r="G1241" s="2422"/>
      <c r="H1241" s="2422"/>
      <c r="I1241" s="2422"/>
      <c r="J1241" s="2422"/>
      <c r="K1241" s="2422"/>
      <c r="L1241" s="2422"/>
      <c r="M1241" s="2422"/>
      <c r="N1241" s="2422"/>
      <c r="O1241" s="2422"/>
      <c r="P1241" s="2422"/>
      <c r="Q1241" s="1628"/>
      <c r="R1241" s="1658"/>
      <c r="S1241" s="1658"/>
      <c r="T1241" s="1658"/>
      <c r="U1241" s="1658"/>
      <c r="V1241" s="1658"/>
      <c r="W1241" s="1658"/>
      <c r="X1241" s="1658"/>
      <c r="Y1241" s="1658"/>
      <c r="Z1241" s="1658"/>
      <c r="AA1241" s="1658"/>
      <c r="AB1241" s="1658"/>
      <c r="AC1241" s="1658"/>
      <c r="AD1241" s="1658"/>
      <c r="AE1241" s="1658"/>
      <c r="AF1241" s="1658"/>
    </row>
    <row r="1242" spans="1:32" ht="15">
      <c r="A1242" s="1629"/>
      <c r="B1242" s="2407" t="s">
        <v>1447</v>
      </c>
      <c r="C1242" s="1629"/>
      <c r="D1242" s="2407"/>
      <c r="E1242" s="1660"/>
      <c r="F1242" s="1660"/>
      <c r="G1242" s="1660"/>
      <c r="H1242" s="1660"/>
      <c r="I1242" s="1660"/>
      <c r="J1242" s="1660"/>
      <c r="K1242" s="1660"/>
      <c r="L1242" s="1660"/>
      <c r="M1242" s="1660"/>
      <c r="N1242" s="1643"/>
      <c r="O1242" s="2555"/>
      <c r="P1242" s="2555"/>
      <c r="Q1242" s="1658"/>
      <c r="R1242" s="1629"/>
      <c r="S1242" s="1629"/>
      <c r="T1242" s="1629"/>
      <c r="U1242" s="1629"/>
      <c r="V1242" s="1629"/>
      <c r="W1242" s="1629"/>
      <c r="X1242" s="1629"/>
      <c r="Y1242" s="1629"/>
      <c r="Z1242" s="1629"/>
      <c r="AA1242" s="1629"/>
      <c r="AB1242" s="1629"/>
      <c r="AC1242" s="1629"/>
      <c r="AD1242" s="1629"/>
      <c r="AE1242" s="1629"/>
      <c r="AF1242" s="1629"/>
    </row>
    <row r="1243" spans="1:32" ht="15">
      <c r="A1243" s="1663"/>
      <c r="B1243" s="1663"/>
      <c r="C1243" s="1663"/>
      <c r="D1243" s="1663"/>
      <c r="E1243" s="1663"/>
      <c r="F1243" s="1663"/>
      <c r="G1243" s="1663"/>
      <c r="H1243" s="1663"/>
      <c r="I1243" s="1663"/>
      <c r="J1243" s="1663"/>
      <c r="K1243" s="1663"/>
      <c r="L1243" s="1663"/>
      <c r="M1243" s="1663"/>
      <c r="N1243" s="1663"/>
      <c r="O1243" s="1663"/>
      <c r="P1243" s="1663"/>
      <c r="Q1243" s="1628"/>
      <c r="R1243" s="1658"/>
      <c r="S1243" s="1658"/>
      <c r="T1243" s="1658"/>
      <c r="U1243" s="1658"/>
      <c r="V1243" s="1658"/>
      <c r="W1243" s="1658"/>
      <c r="X1243" s="1658"/>
      <c r="Y1243" s="1658"/>
      <c r="Z1243" s="1658"/>
      <c r="AA1243" s="1658"/>
      <c r="AB1243" s="1658"/>
      <c r="AC1243" s="1658"/>
      <c r="AD1243" s="1658"/>
      <c r="AE1243" s="1658"/>
      <c r="AF1243" s="1658"/>
    </row>
    <row r="1244" spans="1:32" ht="15">
      <c r="A1244" s="1629"/>
      <c r="B1244" s="2071"/>
      <c r="C1244" s="1629"/>
      <c r="D1244" s="1628"/>
      <c r="E1244" s="1629"/>
      <c r="F1244" s="1629"/>
      <c r="G1244" s="2072"/>
      <c r="H1244" s="2072"/>
      <c r="I1244" s="2072"/>
      <c r="J1244" s="2072"/>
      <c r="K1244" s="2072"/>
      <c r="L1244" s="2072"/>
      <c r="M1244" s="1643"/>
      <c r="N1244" s="2556"/>
      <c r="O1244" s="1657"/>
      <c r="P1244" s="2555"/>
      <c r="Q1244" s="1658"/>
      <c r="R1244" s="1629"/>
      <c r="S1244" s="1629"/>
      <c r="T1244" s="1629"/>
      <c r="U1244" s="1629"/>
      <c r="V1244" s="1629"/>
      <c r="W1244" s="1629"/>
      <c r="X1244" s="2073"/>
      <c r="Y1244" s="2073"/>
      <c r="Z1244" s="2073"/>
      <c r="AA1244" s="2073"/>
      <c r="AB1244" s="2073"/>
      <c r="AC1244" s="2073"/>
      <c r="AD1244" s="2073"/>
      <c r="AE1244" s="2073"/>
      <c r="AF1244" s="2073"/>
    </row>
    <row r="1245" spans="1:32" ht="15">
      <c r="A1245" s="1658"/>
      <c r="B1245" s="1658"/>
      <c r="C1245" s="1658"/>
      <c r="D1245" s="1658"/>
      <c r="E1245" s="1658"/>
      <c r="F1245" s="1658"/>
      <c r="G1245" s="1658"/>
      <c r="H1245" s="1658"/>
      <c r="I1245" s="1658"/>
      <c r="J1245" s="1658"/>
      <c r="K1245" s="1658"/>
      <c r="L1245" s="1658"/>
      <c r="M1245" s="1658"/>
      <c r="N1245" s="2556"/>
      <c r="O1245" s="2557"/>
      <c r="P1245" s="2557"/>
      <c r="Q1245" s="1658"/>
      <c r="R1245" s="1658"/>
      <c r="S1245" s="1658"/>
      <c r="T1245" s="2065"/>
      <c r="U1245" s="2065"/>
      <c r="V1245" s="1658"/>
      <c r="W1245" s="1658"/>
      <c r="X1245" s="1658"/>
      <c r="Y1245" s="1658"/>
      <c r="Z1245" s="1658"/>
      <c r="AA1245" s="1658"/>
      <c r="AB1245" s="1658"/>
      <c r="AC1245" s="1658"/>
      <c r="AD1245" s="1658"/>
      <c r="AE1245" s="1658"/>
      <c r="AF1245" s="1658"/>
    </row>
    <row r="1246" spans="1:32" ht="15">
      <c r="A1246" s="2447" t="s">
        <v>77</v>
      </c>
      <c r="B1246" s="2065" t="s">
        <v>1835</v>
      </c>
      <c r="C1246" s="1629"/>
      <c r="D1246" s="2065"/>
      <c r="E1246" s="2065"/>
      <c r="F1246" s="1629"/>
      <c r="G1246" s="1629"/>
      <c r="H1246" s="1629"/>
      <c r="I1246" s="1629"/>
      <c r="J1246" s="1629"/>
      <c r="K1246" s="2411"/>
      <c r="L1246" s="2409" t="s">
        <v>1767</v>
      </c>
      <c r="M1246" s="2555">
        <v>10</v>
      </c>
      <c r="N1246" s="1643"/>
      <c r="O1246" s="1657">
        <f>'Part VIII Scoring Criteria'!O89</f>
        <v>10</v>
      </c>
      <c r="P1246" s="1657">
        <f>'Part VIII Scoring Criteria'!P89</f>
        <v>10</v>
      </c>
      <c r="Q1246" s="2555" t="s">
        <v>795</v>
      </c>
      <c r="R1246" s="1629"/>
      <c r="S1246" s="1629"/>
      <c r="T1246" s="1629"/>
      <c r="U1246" s="1629"/>
      <c r="V1246" s="1629"/>
      <c r="W1246" s="1629"/>
      <c r="X1246" s="1629"/>
      <c r="Y1246" s="1629"/>
      <c r="Z1246" s="1629"/>
      <c r="AA1246" s="1629"/>
      <c r="AB1246" s="1629"/>
      <c r="AC1246" s="1629"/>
      <c r="AD1246" s="1629"/>
      <c r="AE1246" s="1629"/>
      <c r="AF1246" s="1629"/>
    </row>
    <row r="1247" spans="1:32" ht="15">
      <c r="A1247" s="2447"/>
      <c r="B1247" s="2065"/>
      <c r="C1247" s="1629"/>
      <c r="D1247" s="2065"/>
      <c r="E1247" s="2065"/>
      <c r="F1247" s="1629"/>
      <c r="G1247" s="1629"/>
      <c r="H1247" s="1629"/>
      <c r="I1247" s="1629"/>
      <c r="J1247" s="1629"/>
      <c r="K1247" s="1629"/>
      <c r="L1247" s="2411"/>
      <c r="M1247" s="2555"/>
      <c r="N1247" s="1643"/>
      <c r="O1247" s="1643"/>
      <c r="P1247" s="1643"/>
      <c r="Q1247" s="2555"/>
      <c r="R1247" s="1629"/>
      <c r="S1247" s="1629"/>
      <c r="T1247" s="1629"/>
      <c r="U1247" s="1629"/>
      <c r="V1247" s="1629"/>
      <c r="W1247" s="1629"/>
      <c r="X1247" s="1629"/>
      <c r="Y1247" s="1629"/>
      <c r="Z1247" s="1629"/>
      <c r="AA1247" s="1629"/>
      <c r="AB1247" s="1629"/>
      <c r="AC1247" s="1629"/>
      <c r="AD1247" s="1629"/>
      <c r="AE1247" s="1629"/>
      <c r="AF1247" s="1629"/>
    </row>
    <row r="1248" spans="1:32" ht="15">
      <c r="A1248" s="2447"/>
      <c r="B1248" s="1628" t="s">
        <v>1836</v>
      </c>
      <c r="C1248" s="1629"/>
      <c r="D1248" s="2065"/>
      <c r="E1248" s="2065"/>
      <c r="F1248" s="1629"/>
      <c r="G1248" s="1629"/>
      <c r="H1248" s="1629"/>
      <c r="I1248" s="1629"/>
      <c r="J1248" s="1629"/>
      <c r="K1248" s="1629"/>
      <c r="L1248" s="2411"/>
      <c r="M1248" s="2555"/>
      <c r="N1248" s="1643"/>
      <c r="O1248" s="1657">
        <v>10</v>
      </c>
      <c r="P1248" s="1657">
        <v>10</v>
      </c>
      <c r="Q1248" s="2555"/>
      <c r="R1248" s="1629"/>
      <c r="S1248" s="1629"/>
      <c r="T1248" s="1629"/>
      <c r="U1248" s="1629"/>
      <c r="V1248" s="1629"/>
      <c r="W1248" s="1629"/>
      <c r="X1248" s="1629"/>
      <c r="Y1248" s="1629"/>
      <c r="Z1248" s="1629"/>
      <c r="AA1248" s="1629"/>
      <c r="AB1248" s="1629"/>
      <c r="AC1248" s="1629"/>
      <c r="AD1248" s="1629"/>
      <c r="AE1248" s="1629"/>
      <c r="AF1248" s="1629"/>
    </row>
    <row r="1249" spans="1:32" ht="15">
      <c r="A1249" s="2555" t="s">
        <v>197</v>
      </c>
      <c r="B1249" s="1628" t="s">
        <v>1837</v>
      </c>
      <c r="C1249" s="1629"/>
      <c r="D1249" s="2065"/>
      <c r="E1249" s="2065"/>
      <c r="F1249" s="1629"/>
      <c r="G1249" s="1629"/>
      <c r="H1249" s="1629"/>
      <c r="I1249" s="1629"/>
      <c r="J1249" s="1629"/>
      <c r="K1249" s="1629"/>
      <c r="L1249" s="2411"/>
      <c r="M1249" s="2555"/>
      <c r="N1249" s="1643"/>
      <c r="O1249" s="1657">
        <f>'Part VIII Scoring Criteria'!O92</f>
        <v>0</v>
      </c>
      <c r="P1249" s="1657">
        <f>'Part VIII Scoring Criteria'!P92</f>
        <v>0</v>
      </c>
      <c r="Q1249" s="2555"/>
      <c r="R1249" s="1629"/>
      <c r="S1249" s="1629"/>
      <c r="T1249" s="1629"/>
      <c r="U1249" s="1629"/>
      <c r="V1249" s="1629"/>
      <c r="W1249" s="1629"/>
      <c r="X1249" s="1629"/>
      <c r="Y1249" s="1629"/>
      <c r="Z1249" s="1629"/>
      <c r="AA1249" s="1629"/>
      <c r="AB1249" s="1629"/>
      <c r="AC1249" s="1629"/>
      <c r="AD1249" s="1629"/>
      <c r="AE1249" s="1629"/>
      <c r="AF1249" s="1629"/>
    </row>
    <row r="1250" spans="1:32" ht="15">
      <c r="A1250" s="2555"/>
      <c r="B1250" s="2414" t="s">
        <v>212</v>
      </c>
      <c r="C1250" s="1629" t="s">
        <v>1838</v>
      </c>
      <c r="D1250" s="2065"/>
      <c r="E1250" s="2065"/>
      <c r="F1250" s="1629"/>
      <c r="G1250" s="1629"/>
      <c r="H1250" s="1629"/>
      <c r="I1250" s="1629"/>
      <c r="J1250" s="1629"/>
      <c r="K1250" s="1629"/>
      <c r="L1250" s="2411"/>
      <c r="M1250" s="2448"/>
      <c r="N1250" s="1643"/>
      <c r="O1250" s="1657">
        <f>'Part VIII Scoring Criteria'!O93</f>
        <v>0</v>
      </c>
      <c r="P1250" s="1657"/>
      <c r="Q1250" s="2555"/>
      <c r="R1250" s="1629"/>
      <c r="S1250" s="1629"/>
      <c r="T1250" s="1629"/>
      <c r="U1250" s="1629"/>
      <c r="V1250" s="1629"/>
      <c r="W1250" s="1629"/>
      <c r="X1250" s="1629"/>
      <c r="Y1250" s="1629"/>
      <c r="Z1250" s="1629"/>
      <c r="AA1250" s="1629"/>
      <c r="AB1250" s="1629"/>
      <c r="AC1250" s="1629"/>
      <c r="AD1250" s="1629"/>
      <c r="AE1250" s="1629"/>
      <c r="AF1250" s="1629"/>
    </row>
    <row r="1251" spans="1:32" ht="15">
      <c r="A1251" s="2555"/>
      <c r="B1251" s="2416" t="s">
        <v>220</v>
      </c>
      <c r="C1251" s="1629" t="s">
        <v>1839</v>
      </c>
      <c r="D1251" s="2065"/>
      <c r="E1251" s="2065"/>
      <c r="F1251" s="1629"/>
      <c r="G1251" s="1629"/>
      <c r="H1251" s="1629"/>
      <c r="I1251" s="1629"/>
      <c r="J1251" s="1629"/>
      <c r="K1251" s="1629"/>
      <c r="L1251" s="2411"/>
      <c r="M1251" s="2448"/>
      <c r="N1251" s="1643"/>
      <c r="O1251" s="1657">
        <f>'Part VIII Scoring Criteria'!O94</f>
        <v>0</v>
      </c>
      <c r="P1251" s="1657"/>
      <c r="Q1251" s="2555"/>
      <c r="R1251" s="1629"/>
      <c r="S1251" s="1629"/>
      <c r="T1251" s="1629"/>
      <c r="U1251" s="1629"/>
      <c r="V1251" s="1629"/>
      <c r="W1251" s="1629"/>
      <c r="X1251" s="1629"/>
      <c r="Y1251" s="1629"/>
      <c r="Z1251" s="1629"/>
      <c r="AA1251" s="1629"/>
      <c r="AB1251" s="1629"/>
      <c r="AC1251" s="1629"/>
      <c r="AD1251" s="1629"/>
      <c r="AE1251" s="1629"/>
      <c r="AF1251" s="1629"/>
    </row>
    <row r="1252" spans="1:32" ht="15">
      <c r="A1252" s="2555" t="s">
        <v>209</v>
      </c>
      <c r="B1252" s="1628" t="s">
        <v>1840</v>
      </c>
      <c r="C1252" s="1629"/>
      <c r="D1252" s="2065"/>
      <c r="E1252" s="2065"/>
      <c r="F1252" s="1629"/>
      <c r="G1252" s="1629"/>
      <c r="H1252" s="1629"/>
      <c r="I1252" s="1629"/>
      <c r="J1252" s="1629"/>
      <c r="K1252" s="1629"/>
      <c r="L1252" s="2411"/>
      <c r="M1252" s="2555"/>
      <c r="N1252" s="1643"/>
      <c r="O1252" s="1657">
        <f>'Part VIII Scoring Criteria'!O95</f>
        <v>0</v>
      </c>
      <c r="P1252" s="1657"/>
      <c r="Q1252" s="2555"/>
      <c r="R1252" s="1629"/>
      <c r="S1252" s="1629"/>
      <c r="T1252" s="1629"/>
      <c r="U1252" s="1629"/>
      <c r="V1252" s="1629"/>
      <c r="W1252" s="1629"/>
      <c r="X1252" s="1629"/>
      <c r="Y1252" s="1629"/>
      <c r="Z1252" s="1629"/>
      <c r="AA1252" s="1629"/>
      <c r="AB1252" s="1629"/>
      <c r="AC1252" s="1629"/>
      <c r="AD1252" s="1629"/>
      <c r="AE1252" s="1629"/>
      <c r="AF1252" s="1629"/>
    </row>
    <row r="1253" spans="1:32" ht="15">
      <c r="A1253" s="2407"/>
      <c r="B1253" s="2407" t="s">
        <v>1447</v>
      </c>
      <c r="C1253" s="1629"/>
      <c r="D1253" s="2407"/>
      <c r="E1253" s="1660"/>
      <c r="F1253" s="1660"/>
      <c r="G1253" s="1660"/>
      <c r="H1253" s="1660"/>
      <c r="I1253" s="1660"/>
      <c r="J1253" s="1660"/>
      <c r="K1253" s="1660"/>
      <c r="L1253" s="1660"/>
      <c r="M1253" s="1660"/>
      <c r="N1253" s="1643"/>
      <c r="O1253" s="2555"/>
      <c r="P1253" s="2555"/>
      <c r="Q1253" s="1629"/>
      <c r="R1253" s="1629"/>
      <c r="S1253" s="1629"/>
      <c r="T1253" s="1629"/>
      <c r="U1253" s="1629"/>
      <c r="V1253" s="1629"/>
      <c r="W1253" s="1629"/>
      <c r="X1253" s="1629"/>
      <c r="Y1253" s="1629"/>
      <c r="Z1253" s="1629"/>
      <c r="AA1253" s="1629"/>
      <c r="AB1253" s="1629"/>
      <c r="AC1253" s="1629"/>
      <c r="AD1253" s="1629"/>
      <c r="AE1253" s="1629"/>
      <c r="AF1253" s="1629"/>
    </row>
    <row r="1254" spans="1:32" ht="15">
      <c r="A1254" s="1663"/>
      <c r="B1254" s="1663"/>
      <c r="C1254" s="1663"/>
      <c r="D1254" s="1663"/>
      <c r="E1254" s="1663"/>
      <c r="F1254" s="1663"/>
      <c r="G1254" s="1663"/>
      <c r="H1254" s="1663"/>
      <c r="I1254" s="1663"/>
      <c r="J1254" s="1663"/>
      <c r="K1254" s="1663"/>
      <c r="L1254" s="1663"/>
      <c r="M1254" s="1663"/>
      <c r="N1254" s="1663"/>
      <c r="O1254" s="1663"/>
      <c r="P1254" s="1663"/>
      <c r="Q1254" s="1628"/>
      <c r="R1254" s="1628"/>
      <c r="S1254" s="1658"/>
      <c r="T1254" s="1658"/>
      <c r="U1254" s="1658"/>
      <c r="V1254" s="1658"/>
      <c r="W1254" s="1658"/>
      <c r="X1254" s="1658"/>
      <c r="Y1254" s="1658"/>
      <c r="Z1254" s="1658"/>
      <c r="AA1254" s="1658"/>
      <c r="AB1254" s="1658"/>
      <c r="AC1254" s="1658"/>
      <c r="AD1254" s="1658"/>
      <c r="AE1254" s="1658"/>
      <c r="AF1254" s="1658"/>
    </row>
    <row r="1255" spans="1:32" ht="15">
      <c r="A1255" s="1629"/>
      <c r="B1255" s="2071"/>
      <c r="C1255" s="1629"/>
      <c r="D1255" s="1628"/>
      <c r="E1255" s="1629"/>
      <c r="F1255" s="1629"/>
      <c r="G1255" s="2072"/>
      <c r="H1255" s="2072"/>
      <c r="I1255" s="2072"/>
      <c r="J1255" s="2072"/>
      <c r="K1255" s="2072"/>
      <c r="L1255" s="2072"/>
      <c r="M1255" s="1643"/>
      <c r="N1255" s="2556"/>
      <c r="O1255" s="1657"/>
      <c r="P1255" s="2555"/>
      <c r="Q1255" s="1658"/>
      <c r="R1255" s="1629"/>
      <c r="S1255" s="1629"/>
      <c r="T1255" s="1629"/>
      <c r="U1255" s="1629"/>
      <c r="V1255" s="1629"/>
      <c r="W1255" s="1629"/>
      <c r="X1255" s="2073"/>
      <c r="Y1255" s="2073"/>
      <c r="Z1255" s="2073"/>
      <c r="AA1255" s="2073"/>
      <c r="AB1255" s="2073"/>
      <c r="AC1255" s="2073"/>
      <c r="AD1255" s="2073"/>
      <c r="AE1255" s="2073"/>
      <c r="AF1255" s="2073"/>
    </row>
    <row r="1256" spans="1:32" ht="15">
      <c r="A1256" s="1658"/>
      <c r="B1256" s="1658"/>
      <c r="C1256" s="1658"/>
      <c r="D1256" s="1658"/>
      <c r="E1256" s="1658"/>
      <c r="F1256" s="1658"/>
      <c r="G1256" s="1658"/>
      <c r="H1256" s="1658"/>
      <c r="I1256" s="1658"/>
      <c r="J1256" s="1658"/>
      <c r="K1256" s="1658"/>
      <c r="L1256" s="1658"/>
      <c r="M1256" s="1658"/>
      <c r="N1256" s="2556"/>
      <c r="O1256" s="2557"/>
      <c r="P1256" s="2557"/>
      <c r="Q1256" s="1658"/>
      <c r="R1256" s="1658"/>
      <c r="S1256" s="1658"/>
      <c r="T1256" s="2065"/>
      <c r="U1256" s="2065"/>
      <c r="V1256" s="1658"/>
      <c r="W1256" s="1658"/>
      <c r="X1256" s="1658"/>
      <c r="Y1256" s="1658"/>
      <c r="Z1256" s="1658"/>
      <c r="AA1256" s="1658"/>
      <c r="AB1256" s="1658"/>
      <c r="AC1256" s="1658"/>
      <c r="AD1256" s="1658"/>
      <c r="AE1256" s="1658"/>
      <c r="AF1256" s="1658"/>
    </row>
    <row r="1257" spans="1:32" ht="15">
      <c r="A1257" s="2447" t="s">
        <v>79</v>
      </c>
      <c r="B1257" s="2065" t="s">
        <v>1841</v>
      </c>
      <c r="C1257" s="1664"/>
      <c r="D1257" s="1664"/>
      <c r="E1257" s="1664"/>
      <c r="F1257" s="1664"/>
      <c r="G1257" s="2408" t="s">
        <v>1842</v>
      </c>
      <c r="H1257" s="1664"/>
      <c r="I1257" s="1658"/>
      <c r="J1257" s="1658"/>
      <c r="K1257" s="1664"/>
      <c r="L1257" s="2409" t="s">
        <v>1767</v>
      </c>
      <c r="M1257" s="2555">
        <v>5</v>
      </c>
      <c r="N1257" s="1662"/>
      <c r="O1257" s="1657">
        <f>'Part VIII Scoring Criteria'!O100</f>
        <v>5</v>
      </c>
      <c r="P1257" s="1657">
        <f>'Part VIII Scoring Criteria'!P100</f>
        <v>2</v>
      </c>
      <c r="Q1257" s="2555" t="s">
        <v>795</v>
      </c>
      <c r="R1257" s="2413"/>
      <c r="S1257" s="1658"/>
      <c r="T1257" s="1658"/>
      <c r="U1257" s="1658"/>
      <c r="V1257" s="1658"/>
      <c r="W1257" s="1658"/>
      <c r="X1257" s="1658"/>
      <c r="Y1257" s="1658"/>
      <c r="Z1257" s="1658"/>
      <c r="AA1257" s="1658"/>
      <c r="AB1257" s="1658"/>
      <c r="AC1257" s="1658"/>
      <c r="AD1257" s="1658"/>
      <c r="AE1257" s="1658"/>
      <c r="AF1257" s="1658"/>
    </row>
    <row r="1258" spans="1:32" ht="15">
      <c r="A1258" s="2555" t="s">
        <v>197</v>
      </c>
      <c r="B1258" s="1628" t="s">
        <v>1843</v>
      </c>
      <c r="C1258" s="1629"/>
      <c r="D1258" s="1629"/>
      <c r="E1258" s="1628"/>
      <c r="F1258" s="1629"/>
      <c r="G1258" s="2440"/>
      <c r="H1258" s="1629"/>
      <c r="I1258" s="1629"/>
      <c r="J1258" s="1629"/>
      <c r="K1258" s="1643"/>
      <c r="L1258" s="2067"/>
      <c r="M1258" s="1643">
        <v>3</v>
      </c>
      <c r="N1258" s="2067"/>
      <c r="O1258" s="1657">
        <f>'Part VIII Scoring Criteria'!O101</f>
        <v>3</v>
      </c>
      <c r="P1258" s="1657">
        <f>'Part VIII Scoring Criteria'!P101</f>
        <v>0</v>
      </c>
      <c r="Q1258" s="2412" t="str">
        <f>IF(OR($O1258=$M1258,$O1258=0,$O1258=""),"","*CHECK!*")</f>
        <v/>
      </c>
      <c r="R1258" s="2413"/>
      <c r="S1258" s="1658"/>
      <c r="T1258" s="1658"/>
      <c r="U1258" s="1658"/>
      <c r="V1258" s="1658"/>
      <c r="W1258" s="1658"/>
      <c r="X1258" s="1658"/>
      <c r="Y1258" s="1658"/>
      <c r="Z1258" s="1658"/>
      <c r="AA1258" s="1658"/>
      <c r="AB1258" s="1658"/>
      <c r="AC1258" s="1658"/>
      <c r="AD1258" s="1658"/>
      <c r="AE1258" s="1658"/>
      <c r="AF1258" s="1658"/>
    </row>
    <row r="1259" spans="1:32" ht="14.1" customHeight="1">
      <c r="A1259" s="2555"/>
      <c r="B1259" s="1629" t="s">
        <v>1844</v>
      </c>
      <c r="C1259" s="1629"/>
      <c r="D1259" s="1629"/>
      <c r="E1259" s="1629"/>
      <c r="F1259" s="1629"/>
      <c r="G1259" s="1629"/>
      <c r="H1259" s="1629"/>
      <c r="I1259" s="1629"/>
      <c r="J1259" s="1629"/>
      <c r="K1259" s="1629"/>
      <c r="L1259" s="1629"/>
      <c r="M1259" s="1643"/>
      <c r="N1259" s="1643"/>
      <c r="O1259" s="1643"/>
      <c r="P1259" s="1643"/>
      <c r="Q1259" s="2412"/>
      <c r="R1259" s="2413"/>
      <c r="S1259" s="1658"/>
      <c r="T1259" s="1658"/>
      <c r="U1259" s="1658"/>
      <c r="V1259" s="1658"/>
      <c r="W1259" s="1658"/>
      <c r="X1259" s="1658"/>
      <c r="Y1259" s="1658"/>
      <c r="Z1259" s="1658"/>
      <c r="AA1259" s="1658"/>
      <c r="AB1259" s="1658"/>
      <c r="AC1259" s="1658"/>
      <c r="AD1259" s="1658"/>
      <c r="AE1259" s="1658"/>
      <c r="AF1259" s="1658"/>
    </row>
    <row r="1260" spans="1:32" ht="15">
      <c r="A1260" s="2555"/>
      <c r="B1260" s="2414" t="s">
        <v>212</v>
      </c>
      <c r="C1260" s="1629" t="s">
        <v>1845</v>
      </c>
      <c r="D1260" s="1629"/>
      <c r="E1260" s="1629"/>
      <c r="F1260" s="1629"/>
      <c r="G1260" s="1629"/>
      <c r="H1260" s="1629"/>
      <c r="I1260" s="1629"/>
      <c r="J1260" s="2449" t="s">
        <v>1553</v>
      </c>
      <c r="K1260" s="2449"/>
      <c r="L1260" s="1629"/>
      <c r="M1260" s="2443">
        <v>2</v>
      </c>
      <c r="N1260" s="2448"/>
      <c r="O1260" s="1657">
        <f>'Part VIII Scoring Criteria'!O103</f>
        <v>0</v>
      </c>
      <c r="P1260" s="1657"/>
      <c r="Q1260" s="2412" t="str">
        <f>IF(OR($O1260=$M1260,$O1260=0,$O1260=""),"","*CHECK!*")</f>
        <v/>
      </c>
      <c r="R1260" s="2413"/>
      <c r="S1260" s="1663"/>
      <c r="T1260" s="1663"/>
      <c r="U1260" s="1663"/>
      <c r="V1260" s="1663"/>
      <c r="W1260" s="1663"/>
      <c r="X1260" s="1663"/>
      <c r="Y1260" s="1663"/>
      <c r="Z1260" s="1663"/>
      <c r="AA1260" s="1663"/>
      <c r="AB1260" s="1663"/>
      <c r="AC1260" s="1663"/>
      <c r="AD1260" s="1663"/>
      <c r="AE1260" s="1663"/>
      <c r="AF1260" s="1663"/>
    </row>
    <row r="1261" spans="1:32" ht="15">
      <c r="A1261" s="2555"/>
      <c r="B1261" s="2416" t="s">
        <v>220</v>
      </c>
      <c r="C1261" s="1629" t="s">
        <v>1846</v>
      </c>
      <c r="D1261" s="1629"/>
      <c r="E1261" s="1629"/>
      <c r="F1261" s="1629"/>
      <c r="G1261" s="1629"/>
      <c r="H1261" s="1629"/>
      <c r="I1261" s="1663"/>
      <c r="J1261" s="2450" t="s">
        <v>1555</v>
      </c>
      <c r="K1261" s="1662" t="s">
        <v>1556</v>
      </c>
      <c r="L1261" s="1629"/>
      <c r="M1261" s="2443">
        <v>3</v>
      </c>
      <c r="N1261" s="2448"/>
      <c r="O1261" s="1657">
        <f>'Part VIII Scoring Criteria'!O104</f>
        <v>3</v>
      </c>
      <c r="P1261" s="1657"/>
      <c r="Q1261" s="2412" t="str">
        <f>IF(OR($O1261=$M1261,$O1261=0,$O1261=""),"","*CHECK!*")</f>
        <v/>
      </c>
      <c r="R1261" s="2413"/>
      <c r="S1261" s="1663"/>
      <c r="T1261" s="1663"/>
      <c r="U1261" s="1663"/>
      <c r="V1261" s="1663"/>
      <c r="W1261" s="1663"/>
      <c r="X1261" s="1663"/>
      <c r="Y1261" s="1663"/>
      <c r="Z1261" s="1663"/>
      <c r="AA1261" s="1663"/>
      <c r="AB1261" s="1663"/>
      <c r="AC1261" s="1663"/>
      <c r="AD1261" s="1663"/>
      <c r="AE1261" s="1663"/>
      <c r="AF1261" s="1663"/>
    </row>
    <row r="1262" spans="1:32" ht="15">
      <c r="A1262" s="1658"/>
      <c r="B1262" s="1658" t="s">
        <v>1848</v>
      </c>
      <c r="C1262" s="1658"/>
      <c r="D1262" s="1658"/>
      <c r="E1262" s="1658"/>
      <c r="F1262" s="1658"/>
      <c r="G1262" s="1658"/>
      <c r="H1262" s="2409"/>
      <c r="I1262" s="1658"/>
      <c r="J1262" s="2557">
        <f>'Part VIII Scoring Criteria'!J105</f>
        <v>5.8000000000000007</v>
      </c>
      <c r="K1262" s="2450">
        <v>0.1</v>
      </c>
      <c r="L1262" s="1658"/>
      <c r="M1262" s="2409" t="s">
        <v>1849</v>
      </c>
      <c r="N1262" s="2556"/>
      <c r="O1262" s="1657">
        <f>'Part VIII Scoring Criteria'!O105</f>
        <v>6</v>
      </c>
      <c r="P1262" s="1657"/>
      <c r="Q1262" s="1658"/>
      <c r="R1262" s="1658"/>
      <c r="S1262" s="1658"/>
      <c r="T1262" s="2065"/>
      <c r="U1262" s="2065"/>
      <c r="V1262" s="1658"/>
      <c r="W1262" s="1658"/>
      <c r="X1262" s="1658"/>
      <c r="Y1262" s="1658"/>
      <c r="Z1262" s="1658"/>
      <c r="AA1262" s="1658"/>
      <c r="AB1262" s="1658"/>
      <c r="AC1262" s="1658"/>
      <c r="AD1262" s="1658"/>
      <c r="AE1262" s="1658"/>
      <c r="AF1262" s="1658"/>
    </row>
    <row r="1263" spans="1:32" ht="14.1" customHeight="1">
      <c r="A1263" s="1658"/>
      <c r="B1263" s="1658" t="s">
        <v>2287</v>
      </c>
      <c r="C1263" s="1658"/>
      <c r="D1263" s="1658"/>
      <c r="E1263" s="1658"/>
      <c r="F1263" s="1658"/>
      <c r="G1263" s="1658"/>
      <c r="H1263" s="1658"/>
      <c r="I1263" s="1658"/>
      <c r="J1263" s="1658"/>
      <c r="K1263" s="1658"/>
      <c r="L1263" s="1658"/>
      <c r="M1263" s="1658"/>
      <c r="N1263" s="2556"/>
      <c r="O1263" s="2418" t="str">
        <f>'Part VIII Scoring Criteria'!O106</f>
        <v>Yes</v>
      </c>
      <c r="P1263" s="2418">
        <f>'Part VIII Scoring Criteria'!P106</f>
        <v>0</v>
      </c>
      <c r="Q1263" s="1658"/>
      <c r="R1263" s="1658"/>
      <c r="S1263" s="1658"/>
      <c r="T1263" s="2065"/>
      <c r="U1263" s="2065"/>
      <c r="V1263" s="1658"/>
      <c r="W1263" s="1658"/>
      <c r="X1263" s="1658"/>
      <c r="Y1263" s="1658"/>
      <c r="Z1263" s="1658"/>
      <c r="AA1263" s="1658"/>
      <c r="AB1263" s="1658"/>
      <c r="AC1263" s="1658"/>
      <c r="AD1263" s="1658"/>
      <c r="AE1263" s="1658"/>
      <c r="AF1263" s="1658"/>
    </row>
    <row r="1264" spans="1:32" ht="15">
      <c r="A1264" s="2555" t="s">
        <v>209</v>
      </c>
      <c r="B1264" s="1628" t="s">
        <v>1851</v>
      </c>
      <c r="C1264" s="1629"/>
      <c r="D1264" s="1629"/>
      <c r="E1264" s="1629"/>
      <c r="F1264" s="1629"/>
      <c r="G1264" s="1629"/>
      <c r="H1264" s="1629"/>
      <c r="I1264" s="1629"/>
      <c r="J1264" s="1629"/>
      <c r="K1264" s="1629"/>
      <c r="L1264" s="1629"/>
      <c r="M1264" s="1643">
        <v>1</v>
      </c>
      <c r="N1264" s="2067"/>
      <c r="O1264" s="1657">
        <f>'Part VIII Scoring Criteria'!O107</f>
        <v>0</v>
      </c>
      <c r="P1264" s="1657"/>
      <c r="Q1264" s="2412" t="str">
        <f>IF(OR($O1264=$M1264,$O1264=0,$O1264=""),"","*CHECK!*")</f>
        <v/>
      </c>
      <c r="R1264" s="2413"/>
      <c r="S1264" s="1658"/>
      <c r="T1264" s="1658"/>
      <c r="U1264" s="1658"/>
      <c r="V1264" s="1658"/>
      <c r="W1264" s="1658"/>
      <c r="X1264" s="1658"/>
      <c r="Y1264" s="1658"/>
      <c r="Z1264" s="1658"/>
      <c r="AA1264" s="1658"/>
      <c r="AB1264" s="1658"/>
      <c r="AC1264" s="1658"/>
      <c r="AD1264" s="1658"/>
      <c r="AE1264" s="1658"/>
      <c r="AF1264" s="1658"/>
    </row>
    <row r="1265" spans="1:32" ht="15">
      <c r="A1265" s="2555" t="s">
        <v>230</v>
      </c>
      <c r="B1265" s="1628" t="s">
        <v>1852</v>
      </c>
      <c r="C1265" s="1629"/>
      <c r="D1265" s="1629"/>
      <c r="E1265" s="1629"/>
      <c r="F1265" s="1629"/>
      <c r="G1265" s="2451" t="s">
        <v>1853</v>
      </c>
      <c r="H1265" s="1629"/>
      <c r="I1265" s="1629"/>
      <c r="J1265" s="1629"/>
      <c r="K1265" s="1629"/>
      <c r="L1265" s="1629"/>
      <c r="M1265" s="1643">
        <v>2</v>
      </c>
      <c r="N1265" s="2067"/>
      <c r="O1265" s="1657">
        <f>'Part VIII Scoring Criteria'!O108</f>
        <v>2</v>
      </c>
      <c r="P1265" s="1657">
        <f>'Part VIII Scoring Criteria'!P108</f>
        <v>2</v>
      </c>
      <c r="Q1265" s="2412" t="str">
        <f>IF(OR($O1265=$M1265,$O1265=0,$O1265=""),"","*CHECK!*")</f>
        <v/>
      </c>
      <c r="R1265" s="1629"/>
      <c r="S1265" s="1629"/>
      <c r="T1265" s="1629"/>
      <c r="U1265" s="1629"/>
      <c r="V1265" s="1629"/>
      <c r="W1265" s="1629"/>
      <c r="X1265" s="1629"/>
      <c r="Y1265" s="1629"/>
      <c r="Z1265" s="1629"/>
      <c r="AA1265" s="1629"/>
      <c r="AB1265" s="1629"/>
      <c r="AC1265" s="1629"/>
      <c r="AD1265" s="1629"/>
      <c r="AE1265" s="1629"/>
      <c r="AF1265" s="1629"/>
    </row>
    <row r="1266" spans="1:32" ht="15">
      <c r="A1266" s="2447"/>
      <c r="B1266" s="1629"/>
      <c r="C1266" s="1628" t="s">
        <v>1836</v>
      </c>
      <c r="D1266" s="2065"/>
      <c r="E1266" s="2065"/>
      <c r="F1266" s="1629"/>
      <c r="G1266" s="1629"/>
      <c r="H1266" s="1629"/>
      <c r="I1266" s="1629"/>
      <c r="J1266" s="1629"/>
      <c r="K1266" s="1629"/>
      <c r="L1266" s="2411"/>
      <c r="M1266" s="2555"/>
      <c r="N1266" s="1643"/>
      <c r="O1266" s="1657">
        <v>2</v>
      </c>
      <c r="P1266" s="1657">
        <v>2</v>
      </c>
      <c r="Q1266" s="2555"/>
      <c r="R1266" s="1629"/>
      <c r="S1266" s="1629"/>
      <c r="T1266" s="1629"/>
      <c r="U1266" s="1629"/>
      <c r="V1266" s="1629"/>
      <c r="W1266" s="1629"/>
      <c r="X1266" s="1629"/>
      <c r="Y1266" s="1629"/>
      <c r="Z1266" s="1629"/>
      <c r="AA1266" s="1629"/>
      <c r="AB1266" s="1629"/>
      <c r="AC1266" s="1629"/>
      <c r="AD1266" s="1629"/>
      <c r="AE1266" s="1629"/>
      <c r="AF1266" s="1629"/>
    </row>
    <row r="1267" spans="1:32" ht="15">
      <c r="A1267" s="2447"/>
      <c r="B1267" s="1629"/>
      <c r="C1267" s="1628" t="s">
        <v>1854</v>
      </c>
      <c r="D1267" s="2065"/>
      <c r="E1267" s="2065"/>
      <c r="F1267" s="1629"/>
      <c r="G1267" s="1629"/>
      <c r="H1267" s="1629"/>
      <c r="I1267" s="1629"/>
      <c r="J1267" s="1629"/>
      <c r="K1267" s="1629"/>
      <c r="L1267" s="2411"/>
      <c r="M1267" s="2555"/>
      <c r="N1267" s="1643"/>
      <c r="O1267" s="1657">
        <f>'Part VIII Scoring Criteria'!O110</f>
        <v>0</v>
      </c>
      <c r="P1267" s="1657"/>
      <c r="Q1267" s="2555"/>
      <c r="R1267" s="2413"/>
      <c r="S1267" s="1629"/>
      <c r="T1267" s="1629"/>
      <c r="U1267" s="1629"/>
      <c r="V1267" s="1629"/>
      <c r="W1267" s="1629"/>
      <c r="X1267" s="1629"/>
      <c r="Y1267" s="1629"/>
      <c r="Z1267" s="1629"/>
      <c r="AA1267" s="1629"/>
      <c r="AB1267" s="1629"/>
      <c r="AC1267" s="1629"/>
      <c r="AD1267" s="1629"/>
      <c r="AE1267" s="1629"/>
      <c r="AF1267" s="1629"/>
    </row>
    <row r="1268" spans="1:32" ht="15">
      <c r="A1268" s="1629"/>
      <c r="B1268" s="2407" t="s">
        <v>2286</v>
      </c>
      <c r="C1268" s="1629"/>
      <c r="D1268" s="1629"/>
      <c r="E1268" s="1629"/>
      <c r="F1268" s="1629"/>
      <c r="G1268" s="1629"/>
      <c r="H1268" s="1629"/>
      <c r="I1268" s="1629"/>
      <c r="J1268" s="1629"/>
      <c r="K1268" s="1629"/>
      <c r="L1268" s="1658"/>
      <c r="M1268" s="1643"/>
      <c r="N1268" s="2556"/>
      <c r="O1268" s="1657"/>
      <c r="P1268" s="2557"/>
      <c r="Q1268" s="1658"/>
      <c r="R1268" s="1658"/>
      <c r="S1268" s="1658"/>
      <c r="T1268" s="1658"/>
      <c r="U1268" s="1658"/>
      <c r="V1268" s="1658"/>
      <c r="W1268" s="1658"/>
      <c r="X1268" s="1658"/>
      <c r="Y1268" s="1658"/>
      <c r="Z1268" s="1658"/>
      <c r="AA1268" s="1658"/>
      <c r="AB1268" s="1658"/>
      <c r="AC1268" s="1658"/>
      <c r="AD1268" s="1658"/>
      <c r="AE1268" s="1658"/>
      <c r="AF1268" s="1658"/>
    </row>
    <row r="1269" spans="1:32" ht="15">
      <c r="A1269" s="2422" t="str">
        <f>'Part VIII Scoring Criteria'!A112</f>
        <v>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B1269" s="2422"/>
      <c r="C1269" s="2422"/>
      <c r="D1269" s="2422"/>
      <c r="E1269" s="2422"/>
      <c r="F1269" s="2422"/>
      <c r="G1269" s="2422"/>
      <c r="H1269" s="2422"/>
      <c r="I1269" s="2422"/>
      <c r="J1269" s="2422"/>
      <c r="K1269" s="2422"/>
      <c r="L1269" s="2422"/>
      <c r="M1269" s="2422"/>
      <c r="N1269" s="2422"/>
      <c r="O1269" s="2422"/>
      <c r="P1269" s="2422"/>
      <c r="Q1269" s="1628"/>
      <c r="R1269" s="1628"/>
      <c r="S1269" s="1658"/>
      <c r="T1269" s="1658"/>
      <c r="U1269" s="1658"/>
      <c r="V1269" s="1658"/>
      <c r="W1269" s="1658"/>
      <c r="X1269" s="1658"/>
      <c r="Y1269" s="1658"/>
      <c r="Z1269" s="1658"/>
      <c r="AA1269" s="1658"/>
      <c r="AB1269" s="1658"/>
      <c r="AC1269" s="1658"/>
      <c r="AD1269" s="1658"/>
      <c r="AE1269" s="1658"/>
      <c r="AF1269" s="1658"/>
    </row>
    <row r="1270" spans="1:32" ht="15">
      <c r="A1270" s="1658"/>
      <c r="B1270" s="2422" t="s">
        <v>1447</v>
      </c>
      <c r="C1270" s="1629"/>
      <c r="D1270" s="2422"/>
      <c r="E1270" s="1664"/>
      <c r="F1270" s="1664"/>
      <c r="G1270" s="1664"/>
      <c r="H1270" s="1664"/>
      <c r="I1270" s="1664"/>
      <c r="J1270" s="1664"/>
      <c r="K1270" s="1664"/>
      <c r="L1270" s="1664"/>
      <c r="M1270" s="1664"/>
      <c r="N1270" s="1662"/>
      <c r="O1270" s="2418"/>
      <c r="P1270" s="2555"/>
      <c r="Q1270" s="1658"/>
      <c r="R1270" s="1658"/>
      <c r="S1270" s="1658"/>
      <c r="T1270" s="1658"/>
      <c r="U1270" s="1658"/>
      <c r="V1270" s="1658"/>
      <c r="W1270" s="1658"/>
      <c r="X1270" s="1658"/>
      <c r="Y1270" s="1658"/>
      <c r="Z1270" s="1658"/>
      <c r="AA1270" s="1658"/>
      <c r="AB1270" s="1658"/>
      <c r="AC1270" s="1658"/>
      <c r="AD1270" s="1658"/>
      <c r="AE1270" s="1658"/>
      <c r="AF1270" s="1658"/>
    </row>
    <row r="1271" spans="1:32" ht="15">
      <c r="A1271" s="1663"/>
      <c r="B1271" s="1663"/>
      <c r="C1271" s="1663"/>
      <c r="D1271" s="1663"/>
      <c r="E1271" s="1663"/>
      <c r="F1271" s="1663"/>
      <c r="G1271" s="1663"/>
      <c r="H1271" s="1663"/>
      <c r="I1271" s="1663"/>
      <c r="J1271" s="1663"/>
      <c r="K1271" s="1663"/>
      <c r="L1271" s="1663"/>
      <c r="M1271" s="1663"/>
      <c r="N1271" s="1663"/>
      <c r="O1271" s="1663"/>
      <c r="P1271" s="1663"/>
      <c r="Q1271" s="1628"/>
      <c r="R1271" s="1658"/>
      <c r="S1271" s="1658"/>
      <c r="T1271" s="1658"/>
      <c r="U1271" s="1658"/>
      <c r="V1271" s="1658"/>
      <c r="W1271" s="1658"/>
      <c r="X1271" s="1658"/>
      <c r="Y1271" s="1658"/>
      <c r="Z1271" s="1658"/>
      <c r="AA1271" s="1658"/>
      <c r="AB1271" s="1658"/>
      <c r="AC1271" s="1658"/>
      <c r="AD1271" s="1658"/>
      <c r="AE1271" s="1658"/>
      <c r="AF1271" s="1658"/>
    </row>
    <row r="1272" spans="1:32" ht="15">
      <c r="A1272" s="2447"/>
      <c r="B1272" s="1629"/>
      <c r="C1272" s="1664"/>
      <c r="D1272" s="1664"/>
      <c r="E1272" s="1664"/>
      <c r="F1272" s="1664"/>
      <c r="G1272" s="1664"/>
      <c r="H1272" s="1664"/>
      <c r="I1272" s="1664"/>
      <c r="J1272" s="1664"/>
      <c r="K1272" s="1664"/>
      <c r="L1272" s="1664"/>
      <c r="M1272" s="1664"/>
      <c r="N1272" s="1662"/>
      <c r="O1272" s="2418"/>
      <c r="P1272" s="2555"/>
      <c r="Q1272" s="1658"/>
      <c r="R1272" s="1658"/>
      <c r="S1272" s="1658"/>
      <c r="T1272" s="1658"/>
      <c r="U1272" s="1658"/>
      <c r="V1272" s="1658"/>
      <c r="W1272" s="1658"/>
      <c r="X1272" s="1658"/>
      <c r="Y1272" s="1658"/>
      <c r="Z1272" s="1658"/>
      <c r="AA1272" s="1658"/>
      <c r="AB1272" s="1658"/>
      <c r="AC1272" s="1658"/>
      <c r="AD1272" s="1658"/>
      <c r="AE1272" s="1658"/>
      <c r="AF1272" s="1658"/>
    </row>
    <row r="1273" spans="1:32" ht="15">
      <c r="A1273" s="2447"/>
      <c r="B1273" s="1629"/>
      <c r="C1273" s="1664"/>
      <c r="D1273" s="1664"/>
      <c r="E1273" s="1664"/>
      <c r="F1273" s="1664"/>
      <c r="G1273" s="1664"/>
      <c r="H1273" s="1664"/>
      <c r="I1273" s="1664"/>
      <c r="J1273" s="1664"/>
      <c r="K1273" s="1664"/>
      <c r="L1273" s="1664"/>
      <c r="M1273" s="1664"/>
      <c r="N1273" s="1662"/>
      <c r="O1273" s="2418"/>
      <c r="P1273" s="2555"/>
      <c r="Q1273" s="1658"/>
      <c r="R1273" s="1658"/>
      <c r="S1273" s="1658"/>
      <c r="T1273" s="1658"/>
      <c r="U1273" s="1658"/>
      <c r="V1273" s="1658"/>
      <c r="W1273" s="1658"/>
      <c r="X1273" s="1658"/>
      <c r="Y1273" s="1658"/>
      <c r="Z1273" s="1658"/>
      <c r="AA1273" s="1658"/>
      <c r="AB1273" s="1658"/>
      <c r="AC1273" s="1658"/>
      <c r="AD1273" s="1658"/>
      <c r="AE1273" s="1658"/>
      <c r="AF1273" s="1658"/>
    </row>
    <row r="1274" spans="1:32" ht="15">
      <c r="A1274" s="2447" t="s">
        <v>1488</v>
      </c>
      <c r="B1274" s="2065" t="s">
        <v>1856</v>
      </c>
      <c r="C1274" s="1629"/>
      <c r="D1274" s="2065"/>
      <c r="E1274" s="2065"/>
      <c r="F1274" s="1629"/>
      <c r="G1274" s="1629"/>
      <c r="H1274" s="1629"/>
      <c r="I1274" s="1629"/>
      <c r="J1274" s="1629"/>
      <c r="K1274" s="1629"/>
      <c r="L1274" s="2409" t="s">
        <v>1767</v>
      </c>
      <c r="M1274" s="2555">
        <v>13</v>
      </c>
      <c r="N1274" s="1643"/>
      <c r="O1274" s="1657">
        <f>'Part VIII Scoring Criteria'!O117</f>
        <v>13</v>
      </c>
      <c r="P1274" s="1657">
        <f>'Part VIII Scoring Criteria'!P117</f>
        <v>0</v>
      </c>
      <c r="Q1274" s="2555" t="s">
        <v>795</v>
      </c>
      <c r="R1274" s="2413"/>
      <c r="S1274" s="1629"/>
      <c r="T1274" s="1629"/>
      <c r="U1274" s="1629"/>
      <c r="V1274" s="1629"/>
      <c r="W1274" s="1629"/>
      <c r="X1274" s="1629"/>
      <c r="Y1274" s="1629"/>
      <c r="Z1274" s="1629"/>
      <c r="AA1274" s="1629"/>
      <c r="AB1274" s="1629"/>
      <c r="AC1274" s="1629"/>
      <c r="AD1274" s="1629"/>
      <c r="AE1274" s="1629"/>
      <c r="AF1274" s="1629"/>
    </row>
    <row r="1275" spans="1:32" ht="15">
      <c r="A1275" s="2555" t="s">
        <v>197</v>
      </c>
      <c r="B1275" s="1628" t="s">
        <v>1857</v>
      </c>
      <c r="C1275" s="1628"/>
      <c r="D1275" s="1628"/>
      <c r="E1275" s="1629"/>
      <c r="F1275" s="2452"/>
      <c r="G1275" s="1629"/>
      <c r="H1275" s="2067"/>
      <c r="I1275" s="1628"/>
      <c r="J1275" s="1628"/>
      <c r="K1275" s="1628"/>
      <c r="L1275" s="1628"/>
      <c r="M1275" s="1628"/>
      <c r="N1275" s="1628"/>
      <c r="O1275" s="1628"/>
      <c r="P1275" s="1628"/>
      <c r="Q1275" s="2410"/>
      <c r="R1275" s="2413"/>
      <c r="S1275" s="1629"/>
      <c r="T1275" s="1629"/>
      <c r="U1275" s="1629"/>
      <c r="V1275" s="1629"/>
      <c r="W1275" s="1629"/>
      <c r="X1275" s="1629"/>
      <c r="Y1275" s="1629"/>
      <c r="Z1275" s="1629"/>
      <c r="AA1275" s="1629"/>
      <c r="AB1275" s="1629"/>
      <c r="AC1275" s="1629"/>
      <c r="AD1275" s="1629"/>
      <c r="AE1275" s="1629"/>
      <c r="AF1275" s="1629"/>
    </row>
    <row r="1276" spans="1:32" ht="15">
      <c r="A1276" s="2555"/>
      <c r="B1276" s="1629" t="s">
        <v>1858</v>
      </c>
      <c r="C1276" s="1628"/>
      <c r="D1276" s="1628"/>
      <c r="E1276" s="1629"/>
      <c r="F1276" s="2452"/>
      <c r="G1276" s="1629"/>
      <c r="H1276" s="2067"/>
      <c r="I1276" s="1628"/>
      <c r="J1276" s="1628"/>
      <c r="K1276" s="1628"/>
      <c r="L1276" s="1628"/>
      <c r="M1276" s="1628"/>
      <c r="N1276" s="1628"/>
      <c r="O1276" s="1628"/>
      <c r="P1276" s="1628"/>
      <c r="Q1276" s="2410"/>
      <c r="R1276" s="2413"/>
      <c r="S1276" s="1629"/>
      <c r="T1276" s="1629"/>
      <c r="U1276" s="1629"/>
      <c r="V1276" s="1629"/>
      <c r="W1276" s="1629"/>
      <c r="X1276" s="1629"/>
      <c r="Y1276" s="1629"/>
      <c r="Z1276" s="1629"/>
      <c r="AA1276" s="1629"/>
      <c r="AB1276" s="1629"/>
      <c r="AC1276" s="1629"/>
      <c r="AD1276" s="1629"/>
      <c r="AE1276" s="1629"/>
      <c r="AF1276" s="1629"/>
    </row>
    <row r="1277" spans="1:32" ht="15">
      <c r="A1277" s="2555"/>
      <c r="B1277" s="1629"/>
      <c r="C1277" s="1628" t="s">
        <v>1859</v>
      </c>
      <c r="D1277" s="1628"/>
      <c r="E1277" s="1629"/>
      <c r="F1277" s="2452"/>
      <c r="G1277" s="1629"/>
      <c r="H1277" s="2067"/>
      <c r="I1277" s="1628"/>
      <c r="J1277" s="1628"/>
      <c r="K1277" s="1628"/>
      <c r="L1277" s="1628"/>
      <c r="M1277" s="1628"/>
      <c r="N1277" s="1628"/>
      <c r="O1277" s="1628"/>
      <c r="P1277" s="1628"/>
      <c r="Q1277" s="2410"/>
      <c r="R1277" s="2413"/>
      <c r="S1277" s="1629"/>
      <c r="T1277" s="1629"/>
      <c r="U1277" s="1629"/>
      <c r="V1277" s="1629"/>
      <c r="W1277" s="1629"/>
      <c r="X1277" s="1629"/>
      <c r="Y1277" s="1629"/>
      <c r="Z1277" s="1629"/>
      <c r="AA1277" s="1629"/>
      <c r="AB1277" s="1629"/>
      <c r="AC1277" s="1629"/>
      <c r="AD1277" s="1629"/>
      <c r="AE1277" s="1629"/>
      <c r="AF1277" s="1629"/>
    </row>
    <row r="1278" spans="1:32" ht="15">
      <c r="A1278" s="2555"/>
      <c r="B1278" s="2414"/>
      <c r="C1278" s="1660" t="s">
        <v>1860</v>
      </c>
      <c r="D1278" s="1629"/>
      <c r="E1278" s="1629"/>
      <c r="F1278" s="2555"/>
      <c r="G1278" s="1629"/>
      <c r="H1278" s="1629"/>
      <c r="I1278" s="2555"/>
      <c r="J1278" s="1643" t="s">
        <v>1861</v>
      </c>
      <c r="K1278" s="1629"/>
      <c r="L1278" s="2411"/>
      <c r="M1278" s="2443">
        <v>5</v>
      </c>
      <c r="N1278" s="2067"/>
      <c r="O1278" s="1657">
        <f>'Part VIII Scoring Criteria'!O121</f>
        <v>5</v>
      </c>
      <c r="P1278" s="1657">
        <f>'Part VIII Scoring Criteria'!P121</f>
        <v>0</v>
      </c>
      <c r="Q1278" s="2413"/>
      <c r="R1278" s="1629"/>
      <c r="S1278" s="1629"/>
      <c r="T1278" s="1629"/>
      <c r="U1278" s="1629"/>
      <c r="V1278" s="2065"/>
      <c r="W1278" s="1629"/>
      <c r="X1278" s="1629"/>
      <c r="Y1278" s="1629"/>
      <c r="Z1278" s="1629"/>
      <c r="AA1278" s="1629"/>
      <c r="AB1278" s="1629"/>
      <c r="AC1278" s="1629"/>
      <c r="AD1278" s="1629"/>
      <c r="AE1278" s="1629"/>
      <c r="AF1278" s="1629"/>
    </row>
    <row r="1279" spans="1:32" ht="15">
      <c r="A1279" s="2555"/>
      <c r="B1279" s="2415"/>
      <c r="C1279" s="1628"/>
      <c r="D1279" s="1660" t="s">
        <v>1862</v>
      </c>
      <c r="E1279" s="1629"/>
      <c r="F1279" s="2555"/>
      <c r="G1279" s="1629"/>
      <c r="H1279" s="1629"/>
      <c r="I1279" s="2555"/>
      <c r="J1279" s="2418" t="str">
        <f>'Part VIII Scoring Criteria'!J122</f>
        <v>Submitted</v>
      </c>
      <c r="K1279" s="1629"/>
      <c r="L1279" s="1629"/>
      <c r="M1279" s="2443"/>
      <c r="N1279" s="2067"/>
      <c r="O1279" s="2555" t="str">
        <f>IF($J1279="Submitted", "Yes","")</f>
        <v>Yes</v>
      </c>
      <c r="P1279" s="2555"/>
      <c r="Q1279" s="2067"/>
      <c r="R1279" s="1629"/>
      <c r="S1279" s="1629"/>
      <c r="T1279" s="1629"/>
      <c r="U1279" s="1629"/>
      <c r="V1279" s="2065"/>
      <c r="W1279" s="1629"/>
      <c r="X1279" s="1629"/>
      <c r="Y1279" s="1629"/>
      <c r="Z1279" s="1629"/>
      <c r="AA1279" s="1629"/>
      <c r="AB1279" s="1629"/>
      <c r="AC1279" s="1629"/>
      <c r="AD1279" s="1629"/>
      <c r="AE1279" s="1629"/>
      <c r="AF1279" s="1629"/>
    </row>
    <row r="1280" spans="1:32" ht="15">
      <c r="A1280" s="2555"/>
      <c r="B1280" s="2415"/>
      <c r="C1280" s="1628"/>
      <c r="D1280" s="1660" t="s">
        <v>1864</v>
      </c>
      <c r="E1280" s="1629"/>
      <c r="F1280" s="2555"/>
      <c r="G1280" s="1629"/>
      <c r="H1280" s="1629"/>
      <c r="I1280" s="2555"/>
      <c r="J1280" s="2418" t="str">
        <f>'Part VIII Scoring Criteria'!J123</f>
        <v>Submitted</v>
      </c>
      <c r="K1280" s="2067"/>
      <c r="L1280" s="1629"/>
      <c r="M1280" s="2443"/>
      <c r="N1280" s="2067"/>
      <c r="O1280" s="2555" t="str">
        <f>IF($J1280="Submitted", "Yes","")</f>
        <v>Yes</v>
      </c>
      <c r="P1280" s="2418"/>
      <c r="Q1280" s="2067"/>
      <c r="R1280" s="1629"/>
      <c r="S1280" s="1629"/>
      <c r="T1280" s="1629"/>
      <c r="U1280" s="1629"/>
      <c r="V1280" s="2065"/>
      <c r="W1280" s="1629"/>
      <c r="X1280" s="1629"/>
      <c r="Y1280" s="1629"/>
      <c r="Z1280" s="1629"/>
      <c r="AA1280" s="1629"/>
      <c r="AB1280" s="1629"/>
      <c r="AC1280" s="1629"/>
      <c r="AD1280" s="1629"/>
      <c r="AE1280" s="1629"/>
      <c r="AF1280" s="1629"/>
    </row>
    <row r="1281" spans="1:32" ht="15">
      <c r="A1281" s="2555"/>
      <c r="B1281" s="2415"/>
      <c r="C1281" s="1660" t="s">
        <v>1865</v>
      </c>
      <c r="D1281" s="1628"/>
      <c r="E1281" s="1629"/>
      <c r="F1281" s="2555"/>
      <c r="G1281" s="1629"/>
      <c r="H1281" s="1629"/>
      <c r="I1281" s="2555"/>
      <c r="J1281" s="2418" t="str">
        <f>'Part VIII Scoring Criteria'!J124</f>
        <v>Submitted</v>
      </c>
      <c r="K1281" s="1660"/>
      <c r="L1281" s="2411" t="str">
        <f t="shared" ref="L1281:L1289" si="421">IF(OR($O1281=$M1281,$O1281=0,$O1281=""),"","* * Check Score! * *")</f>
        <v/>
      </c>
      <c r="M1281" s="2443">
        <v>1</v>
      </c>
      <c r="N1281" s="2067"/>
      <c r="O1281" s="1657">
        <f>'Part VIII Scoring Criteria'!O124</f>
        <v>1</v>
      </c>
      <c r="P1281" s="1657"/>
      <c r="Q1281" s="2067"/>
      <c r="R1281" s="1629"/>
      <c r="S1281" s="1629"/>
      <c r="T1281" s="1629"/>
      <c r="U1281" s="1629"/>
      <c r="V1281" s="2065"/>
      <c r="W1281" s="1629"/>
      <c r="X1281" s="1629"/>
      <c r="Y1281" s="1629"/>
      <c r="Z1281" s="1629"/>
      <c r="AA1281" s="1629"/>
      <c r="AB1281" s="1629"/>
      <c r="AC1281" s="1629"/>
      <c r="AD1281" s="1629"/>
      <c r="AE1281" s="1629"/>
      <c r="AF1281" s="1629"/>
    </row>
    <row r="1282" spans="1:32" ht="15">
      <c r="A1282" s="2555"/>
      <c r="B1282" s="2415"/>
      <c r="C1282" s="1660" t="s">
        <v>1866</v>
      </c>
      <c r="D1282" s="1628"/>
      <c r="E1282" s="1629"/>
      <c r="F1282" s="2555"/>
      <c r="G1282" s="1629"/>
      <c r="H1282" s="1629"/>
      <c r="I1282" s="2555"/>
      <c r="J1282" s="2418" t="str">
        <f>'Part VIII Scoring Criteria'!J125</f>
        <v>Submitted</v>
      </c>
      <c r="K1282" s="1660"/>
      <c r="L1282" s="2420" t="str">
        <f t="shared" si="421"/>
        <v/>
      </c>
      <c r="M1282" s="2443">
        <v>1</v>
      </c>
      <c r="N1282" s="2067"/>
      <c r="O1282" s="1657">
        <f>'Part VIII Scoring Criteria'!O125</f>
        <v>1</v>
      </c>
      <c r="P1282" s="1657"/>
      <c r="Q1282" s="2413"/>
      <c r="R1282" s="1629"/>
      <c r="S1282" s="1629"/>
      <c r="T1282" s="1629"/>
      <c r="U1282" s="1629"/>
      <c r="V1282" s="2065"/>
      <c r="W1282" s="1629"/>
      <c r="X1282" s="1629"/>
      <c r="Y1282" s="1629"/>
      <c r="Z1282" s="1629"/>
      <c r="AA1282" s="1629"/>
      <c r="AB1282" s="1629"/>
      <c r="AC1282" s="1629"/>
      <c r="AD1282" s="1629"/>
      <c r="AE1282" s="1629"/>
      <c r="AF1282" s="1629"/>
    </row>
    <row r="1283" spans="1:32" ht="15">
      <c r="A1283" s="2555"/>
      <c r="B1283" s="2414"/>
      <c r="C1283" s="1660" t="s">
        <v>1867</v>
      </c>
      <c r="D1283" s="1628"/>
      <c r="E1283" s="1629"/>
      <c r="F1283" s="2555"/>
      <c r="G1283" s="1629"/>
      <c r="H1283" s="1629"/>
      <c r="I1283" s="2555"/>
      <c r="J1283" s="2418" t="str">
        <f>'Part VIII Scoring Criteria'!J126</f>
        <v>Submitted</v>
      </c>
      <c r="K1283" s="1660"/>
      <c r="L1283" s="2411" t="str">
        <f t="shared" si="421"/>
        <v/>
      </c>
      <c r="M1283" s="2443">
        <v>1</v>
      </c>
      <c r="N1283" s="2067"/>
      <c r="O1283" s="1657">
        <f>'Part VIII Scoring Criteria'!O126</f>
        <v>1</v>
      </c>
      <c r="P1283" s="1657"/>
      <c r="Q1283" s="2413"/>
      <c r="R1283" s="1629"/>
      <c r="S1283" s="1629"/>
      <c r="T1283" s="1629"/>
      <c r="U1283" s="1629"/>
      <c r="V1283" s="2065"/>
      <c r="W1283" s="1629"/>
      <c r="X1283" s="1629"/>
      <c r="Y1283" s="1629"/>
      <c r="Z1283" s="1629"/>
      <c r="AA1283" s="1629"/>
      <c r="AB1283" s="1629"/>
      <c r="AC1283" s="1629"/>
      <c r="AD1283" s="1629"/>
      <c r="AE1283" s="1629"/>
      <c r="AF1283" s="1629"/>
    </row>
    <row r="1284" spans="1:32" ht="15">
      <c r="A1284" s="2555"/>
      <c r="B1284" s="2414"/>
      <c r="C1284" s="2413" t="s">
        <v>1868</v>
      </c>
      <c r="D1284" s="1628"/>
      <c r="E1284" s="1629"/>
      <c r="F1284" s="2555"/>
      <c r="G1284" s="1629"/>
      <c r="H1284" s="1629"/>
      <c r="I1284" s="1629"/>
      <c r="J1284" s="1629"/>
      <c r="K1284" s="1629"/>
      <c r="L1284" s="1629"/>
      <c r="M1284" s="1629"/>
      <c r="N1284" s="1629"/>
      <c r="O1284" s="1629"/>
      <c r="P1284" s="1629"/>
      <c r="Q1284" s="1629"/>
      <c r="R1284" s="1629"/>
      <c r="S1284" s="1629"/>
      <c r="T1284" s="1629"/>
      <c r="U1284" s="1629"/>
      <c r="V1284" s="2065"/>
      <c r="W1284" s="1629"/>
      <c r="X1284" s="1629"/>
      <c r="Y1284" s="1629"/>
      <c r="Z1284" s="1629"/>
      <c r="AA1284" s="1629"/>
      <c r="AB1284" s="1629"/>
      <c r="AC1284" s="1629"/>
      <c r="AD1284" s="1629"/>
      <c r="AE1284" s="1629"/>
      <c r="AF1284" s="1629"/>
    </row>
    <row r="1285" spans="1:32" ht="15">
      <c r="A1285" s="2555"/>
      <c r="B1285" s="2416"/>
      <c r="C1285" s="1660" t="s">
        <v>1869</v>
      </c>
      <c r="D1285" s="1629"/>
      <c r="E1285" s="1629"/>
      <c r="F1285" s="1643"/>
      <c r="G1285" s="1629"/>
      <c r="H1285" s="1629"/>
      <c r="I1285" s="1643"/>
      <c r="J1285" s="2418" t="str">
        <f>'Part VIII Scoring Criteria'!J128</f>
        <v>Submitted</v>
      </c>
      <c r="K1285" s="1660"/>
      <c r="L1285" s="2411" t="str">
        <f t="shared" si="421"/>
        <v/>
      </c>
      <c r="M1285" s="2443">
        <v>1</v>
      </c>
      <c r="N1285" s="2067"/>
      <c r="O1285" s="1657">
        <f>'Part VIII Scoring Criteria'!O128</f>
        <v>1</v>
      </c>
      <c r="P1285" s="1657"/>
      <c r="Q1285" s="2413"/>
      <c r="R1285" s="1629"/>
      <c r="S1285" s="1629"/>
      <c r="T1285" s="1629"/>
      <c r="U1285" s="1629"/>
      <c r="V1285" s="2065"/>
      <c r="W1285" s="1629"/>
      <c r="X1285" s="1629"/>
      <c r="Y1285" s="1629"/>
      <c r="Z1285" s="1629"/>
      <c r="AA1285" s="1629"/>
      <c r="AB1285" s="1629"/>
      <c r="AC1285" s="1629"/>
      <c r="AD1285" s="1629"/>
      <c r="AE1285" s="1629"/>
      <c r="AF1285" s="1629"/>
    </row>
    <row r="1286" spans="1:32" ht="15">
      <c r="A1286" s="2555"/>
      <c r="B1286" s="2416"/>
      <c r="C1286" s="1663" t="s">
        <v>1870</v>
      </c>
      <c r="D1286" s="1663"/>
      <c r="E1286" s="1663"/>
      <c r="F1286" s="1663"/>
      <c r="G1286" s="1663"/>
      <c r="H1286" s="1663"/>
      <c r="I1286" s="1663"/>
      <c r="J1286" s="2418" t="str">
        <f>'Part VIII Scoring Criteria'!J129</f>
        <v>Submitted</v>
      </c>
      <c r="K1286" s="1663"/>
      <c r="L1286" s="2411" t="str">
        <f t="shared" si="421"/>
        <v/>
      </c>
      <c r="M1286" s="2453">
        <v>1</v>
      </c>
      <c r="N1286" s="2419"/>
      <c r="O1286" s="1657">
        <f>'Part VIII Scoring Criteria'!O129</f>
        <v>1</v>
      </c>
      <c r="P1286" s="2454"/>
      <c r="Q1286" s="2413"/>
      <c r="R1286" s="1629"/>
      <c r="S1286" s="1629"/>
      <c r="T1286" s="1629"/>
      <c r="U1286" s="1629"/>
      <c r="V1286" s="2065"/>
      <c r="W1286" s="1629"/>
      <c r="X1286" s="1629"/>
      <c r="Y1286" s="1629"/>
      <c r="Z1286" s="1629"/>
      <c r="AA1286" s="1629"/>
      <c r="AB1286" s="1629"/>
      <c r="AC1286" s="1629"/>
      <c r="AD1286" s="1629"/>
      <c r="AE1286" s="1629"/>
      <c r="AF1286" s="1629"/>
    </row>
    <row r="1287" spans="1:32" ht="15">
      <c r="A1287" s="2555"/>
      <c r="B1287" s="2416"/>
      <c r="C1287" s="1660" t="s">
        <v>1871</v>
      </c>
      <c r="D1287" s="1629"/>
      <c r="E1287" s="1629"/>
      <c r="F1287" s="2555"/>
      <c r="G1287" s="1629"/>
      <c r="H1287" s="1629"/>
      <c r="I1287" s="2555"/>
      <c r="J1287" s="2418" t="str">
        <f>'Part VIII Scoring Criteria'!J130</f>
        <v>Submitted</v>
      </c>
      <c r="K1287" s="1660"/>
      <c r="L1287" s="2411" t="str">
        <f t="shared" si="421"/>
        <v/>
      </c>
      <c r="M1287" s="2443">
        <v>1</v>
      </c>
      <c r="N1287" s="2067"/>
      <c r="O1287" s="1657">
        <f>'Part VIII Scoring Criteria'!O130</f>
        <v>1</v>
      </c>
      <c r="P1287" s="1657"/>
      <c r="Q1287" s="2413"/>
      <c r="R1287" s="1629"/>
      <c r="S1287" s="1629"/>
      <c r="T1287" s="1629"/>
      <c r="U1287" s="1629"/>
      <c r="V1287" s="2065"/>
      <c r="W1287" s="1629"/>
      <c r="X1287" s="1629"/>
      <c r="Y1287" s="1629"/>
      <c r="Z1287" s="1629"/>
      <c r="AA1287" s="1629"/>
      <c r="AB1287" s="1629"/>
      <c r="AC1287" s="1629"/>
      <c r="AD1287" s="1629"/>
      <c r="AE1287" s="1629"/>
      <c r="AF1287" s="1629"/>
    </row>
    <row r="1288" spans="1:32" ht="15">
      <c r="A1288" s="2555"/>
      <c r="B1288" s="2414"/>
      <c r="C1288" s="1660" t="s">
        <v>1872</v>
      </c>
      <c r="D1288" s="1629"/>
      <c r="E1288" s="1629"/>
      <c r="F1288" s="2555"/>
      <c r="G1288" s="1629"/>
      <c r="H1288" s="1629"/>
      <c r="I1288" s="2555"/>
      <c r="J1288" s="2418" t="str">
        <f>'Part VIII Scoring Criteria'!J131</f>
        <v>Submitted</v>
      </c>
      <c r="K1288" s="1660"/>
      <c r="L1288" s="2411" t="str">
        <f t="shared" si="421"/>
        <v/>
      </c>
      <c r="M1288" s="2443">
        <v>1</v>
      </c>
      <c r="N1288" s="2067"/>
      <c r="O1288" s="1657">
        <f>'Part VIII Scoring Criteria'!O131</f>
        <v>1</v>
      </c>
      <c r="P1288" s="1657"/>
      <c r="Q1288" s="2413"/>
      <c r="R1288" s="1629"/>
      <c r="S1288" s="1629"/>
      <c r="T1288" s="1629"/>
      <c r="U1288" s="1629"/>
      <c r="V1288" s="2065"/>
      <c r="W1288" s="1629"/>
      <c r="X1288" s="1629"/>
      <c r="Y1288" s="1629"/>
      <c r="Z1288" s="1629"/>
      <c r="AA1288" s="1629"/>
      <c r="AB1288" s="1629"/>
      <c r="AC1288" s="1629"/>
      <c r="AD1288" s="1629"/>
      <c r="AE1288" s="1629"/>
      <c r="AF1288" s="1629"/>
    </row>
    <row r="1289" spans="1:32" ht="15">
      <c r="A1289" s="2555"/>
      <c r="B1289" s="2416"/>
      <c r="C1289" s="1660" t="s">
        <v>1873</v>
      </c>
      <c r="D1289" s="1629"/>
      <c r="E1289" s="1629"/>
      <c r="F1289" s="2555"/>
      <c r="G1289" s="1629"/>
      <c r="H1289" s="1629"/>
      <c r="I1289" s="2555"/>
      <c r="J1289" s="2418" t="str">
        <f>'Part VIII Scoring Criteria'!J132</f>
        <v>N/A</v>
      </c>
      <c r="K1289" s="1660"/>
      <c r="L1289" s="2411" t="str">
        <f t="shared" si="421"/>
        <v/>
      </c>
      <c r="M1289" s="2443">
        <v>1</v>
      </c>
      <c r="N1289" s="2067"/>
      <c r="O1289" s="1657">
        <f>'Part VIII Scoring Criteria'!O132</f>
        <v>1</v>
      </c>
      <c r="P1289" s="1657"/>
      <c r="Q1289" s="2413"/>
      <c r="R1289" s="1629"/>
      <c r="S1289" s="1629"/>
      <c r="T1289" s="1629"/>
      <c r="U1289" s="1629"/>
      <c r="V1289" s="2065"/>
      <c r="W1289" s="1629"/>
      <c r="X1289" s="1629"/>
      <c r="Y1289" s="1629"/>
      <c r="Z1289" s="1629"/>
      <c r="AA1289" s="1629"/>
      <c r="AB1289" s="1629"/>
      <c r="AC1289" s="1629"/>
      <c r="AD1289" s="1629"/>
      <c r="AE1289" s="1629"/>
      <c r="AF1289" s="1629"/>
    </row>
    <row r="1290" spans="1:32" ht="15">
      <c r="A1290" s="2555" t="s">
        <v>209</v>
      </c>
      <c r="B1290" s="1628" t="s">
        <v>1874</v>
      </c>
      <c r="C1290" s="1629"/>
      <c r="D1290" s="1629"/>
      <c r="E1290" s="1629"/>
      <c r="F1290" s="1629"/>
      <c r="G1290" s="1629"/>
      <c r="H1290" s="2067"/>
      <c r="I1290" s="1628"/>
      <c r="J1290" s="1628"/>
      <c r="K1290" s="1628"/>
      <c r="L1290" s="1628"/>
      <c r="M1290" s="1643"/>
      <c r="N1290" s="1643"/>
      <c r="O1290" s="1643"/>
      <c r="P1290" s="1643"/>
      <c r="Q1290" s="1643"/>
      <c r="R1290" s="2413"/>
      <c r="S1290" s="1629"/>
      <c r="T1290" s="1629"/>
      <c r="U1290" s="1629"/>
      <c r="V1290" s="1629"/>
      <c r="W1290" s="1629"/>
      <c r="X1290" s="1629"/>
      <c r="Y1290" s="1629"/>
      <c r="Z1290" s="1629"/>
      <c r="AA1290" s="1629"/>
      <c r="AB1290" s="1629"/>
      <c r="AC1290" s="1629"/>
      <c r="AD1290" s="1629"/>
      <c r="AE1290" s="1629"/>
      <c r="AF1290" s="1629"/>
    </row>
    <row r="1291" spans="1:32" ht="15">
      <c r="A1291" s="1658"/>
      <c r="B1291" s="2455" t="str">
        <f>'Part VIII Scoring Criteria'!B134</f>
        <v xml:space="preserve">READINESS TO PROCEED
Finley Place Narrative
The Prestwick Development Team has completed each relevant item as it relates to readiness to proceed.  Each Threshold item has been completed and submitted in accordance with the State of Georgia 2024-2025 Qualified Action Plan.    Also, Prestwick is fully staffed with development professionals to commence closing activities and procedures upon an allocation of Tax Credits.  Furthermore, in an effort to expedite the development and secure the multifamily zoned site, Marietta Housing Authority purchased the property.  
Site Control and Zoning:  The development team confirms that they have secured site control for the project's location. Furthermore, the site has been meticulously assessed and confirmed to be zoned appropriately for the proposed use. This significant milestone underscores the team's strategic planning and diligent efforts in navigating regulatory frameworks to ensure alignment with the project's objectives. With site control established and zoning regulations in place, the team is poised to proceed confidently with the next phases of development, bringing the envisioned project to fruition in accordance with the outlined plans when Tax Credits are awarded.
Site Control – Option to Ground Lease from Marietta Housing Authority
Zoning – RM-12 (allows multifamily housing and up to 72 units)
All minimum documentation including the letter from the local government, copy of the relevant code, and the CSDP demonstrates zoning compliance.
Public Water/Sanitary Sewer and Operating Utilities:  We confirm that the project site boasts access to essential infrastructure, including public sewer, public water, and electric services. This critical confirmation underscores the site's suitability for development and alleviates potential logistical concerns. With these fundamental utilities readily available, the project is poised to proceed smoothly, ensuring seamless operations and sustainable functionality. This milestone signifies a significant step forward in realizing the project's vision with all required services and provided by the municipality and utility provider.  No easements are required with all connections being made in the right of way.
Water Provider – Cobb County
Sanitary Sewer Provider – Cobb County	
Electricity Provider – Georgia Power
Site Information and Conceptual Site Development Plan:  All items have been completed per section XIV Site Information and Conceptual Site Development Plan.  The cover sheet template provided by DCA has been utilized.  The following items where applicable have been included on the 11X17 plan:
     all existing and proposed easements defined and indicated; 
     wetlands, floodplains, and state waters located with areas of disturbance calculated for the wetlands, including required buffer zones clearly delineated to reflect how they will impact the development of the site; 
     use of all adjacent properties and structures within 100’ of the subject property boundary defined both graphically and in written form; 
     zoning setbacks and restrictions graphically indicated; 
     indication of all existing structures, tanks, slabs, utilities and any other improvements existing on the property at the time of Application Submission
     indication of all driving and walking entrance access to the property and a layout of all buildings, roads, paved pedestrian walkways and parking areas; 
     location of all interior and exterior site amenities indicated in the Application; and 
     areas of existing tree and vegetation preservation and new landscaping clearly defined both graphically and in written form.
Preliminary Financing Commitments:  We confirm that the project has successfully secured all preliminary financing commitments, encompassing both debt and equity components. This milestone marks a pivotal moment in the project's journey, underscoring the confidence and support garnered from investors and financial institutions alike. With all financing arrangements in place, the project is poised to advance swiftly through its development phases, with the necessary resources secured to fuel its progress. This achievement not only validates the project's viability but also positions it for sustained success as it moves forward towards realization.
Debt Provider – Truist Bank
Equity Provider – Truist Community Capital
Favorable Financing Provider – Cobb County NSP
Phase I Environmental Site Assessment:  We confirm the completion of comprehensive environmental assessments for the project. These assessments have been conducted with meticulous attention to detail, ensuring compliance with regulatory standards and a thorough understanding of any environmental considerations. Through diligent examination and analysis, potential risks have been identified and addressed, reaffirming our commitment to environmental stewardship and sustainable development practices. With these assessments completed, we stand ready to move forward confidently, prioritizing the preservation and protection of the environment while advancing our project goals.
All Threshold requirements have been met.  A completed Phase I ESA has been completed and included.  The report is completed to DCA standards per the environmental manual.  
General Contractor Cost Estimate:  We confirm that we have received an estimated budget from a reputable and experienced contractor for our project. This milestone represents a significant step forward in our planning process, as it provides us with valuable insights into the anticipated costs associated with the construction phase. The detailed estimate, provided by a contractor known for their expertise and reliability, reflects thorough consideration of all project requirements and specifications. Armed with this information, we can now proceed with greater clarity and confidence, ensuring that our budgeting and financing plans are aligned with the realities of construction.
Contractor – JM Wilkerson
Budget Estimate – $14,368,887
Market Study:  We confirm the completion of a comprehensive market study, which unequivocally demonstrates strong demand within our target market. This study, conducted with rigor and precision, has provided invaluable insights into consumer preferences, market trends, and competitive dynamics. The findings underscore the compelling opportunity that our project represents, validating its alignment with current market needs and future growth potential. Armed with this data-driven understanding of market demand, we are well-positioned to capitalize on opportunities and navigate challenges, ensuring the success and sustainability of our venture.
Capture rate – 2.60% for tax credit uses and .020% for the market rate units.
Market occupancy – 97.60%
Additional Documentation:  
Appraisal – completed with Land Value Supported.  </v>
      </c>
      <c r="C1291" s="2455"/>
      <c r="D1291" s="2455"/>
      <c r="E1291" s="2455"/>
      <c r="F1291" s="2455"/>
      <c r="G1291" s="2455"/>
      <c r="H1291" s="2455"/>
      <c r="I1291" s="2455"/>
      <c r="J1291" s="2455"/>
      <c r="K1291" s="2455"/>
      <c r="L1291" s="2455"/>
      <c r="M1291" s="2455"/>
      <c r="N1291" s="2455"/>
      <c r="O1291" s="2455"/>
      <c r="P1291" s="2455"/>
      <c r="Q1291" s="1628"/>
      <c r="R1291" s="1628"/>
      <c r="S1291" s="1658"/>
      <c r="T1291" s="1658"/>
      <c r="U1291" s="1658"/>
      <c r="V1291" s="1658"/>
      <c r="W1291" s="1658"/>
      <c r="X1291" s="1658"/>
      <c r="Y1291" s="1658"/>
      <c r="Z1291" s="1658"/>
      <c r="AA1291" s="1658"/>
      <c r="AB1291" s="1658"/>
      <c r="AC1291" s="1658"/>
      <c r="AD1291" s="1658"/>
      <c r="AE1291" s="1658"/>
      <c r="AF1291" s="1658"/>
    </row>
    <row r="1292" spans="1:32" ht="15">
      <c r="A1292" s="1629"/>
      <c r="B1292" s="2407" t="s">
        <v>2286</v>
      </c>
      <c r="C1292" s="1629"/>
      <c r="D1292" s="1629"/>
      <c r="E1292" s="1629"/>
      <c r="F1292" s="1629"/>
      <c r="G1292" s="1629"/>
      <c r="H1292" s="1629"/>
      <c r="I1292" s="1629"/>
      <c r="J1292" s="1629"/>
      <c r="K1292" s="1629"/>
      <c r="L1292" s="1658"/>
      <c r="M1292" s="1643"/>
      <c r="N1292" s="2556"/>
      <c r="O1292" s="1657"/>
      <c r="P1292" s="2557"/>
      <c r="Q1292" s="1658"/>
      <c r="R1292" s="1658"/>
      <c r="S1292" s="1658"/>
      <c r="T1292" s="1658"/>
      <c r="U1292" s="1658"/>
      <c r="V1292" s="1658"/>
      <c r="W1292" s="1658"/>
      <c r="X1292" s="1658"/>
      <c r="Y1292" s="1658"/>
      <c r="Z1292" s="1658"/>
      <c r="AA1292" s="1658"/>
      <c r="AB1292" s="1658"/>
      <c r="AC1292" s="1658"/>
      <c r="AD1292" s="1658"/>
      <c r="AE1292" s="1658"/>
      <c r="AF1292" s="1658"/>
    </row>
    <row r="1293" spans="1:32" ht="15">
      <c r="A1293" s="2422" t="str">
        <f>'Part VIII Scoring Criteria'!A136</f>
        <v xml:space="preserve">All readiness to proceed documents are provided except the not applicable Physical Needs Assessment.  The applicant has completed all due diligence to feel comfortable that, if awarded, we could execute on the proposed development expeditously. </v>
      </c>
      <c r="B1293" s="2422"/>
      <c r="C1293" s="2422"/>
      <c r="D1293" s="2422"/>
      <c r="E1293" s="2422"/>
      <c r="F1293" s="2422"/>
      <c r="G1293" s="2422"/>
      <c r="H1293" s="2422"/>
      <c r="I1293" s="2422"/>
      <c r="J1293" s="2422"/>
      <c r="K1293" s="2422"/>
      <c r="L1293" s="2422"/>
      <c r="M1293" s="2422"/>
      <c r="N1293" s="2422"/>
      <c r="O1293" s="2422"/>
      <c r="P1293" s="2422"/>
      <c r="Q1293" s="1628"/>
      <c r="R1293" s="1628"/>
      <c r="S1293" s="1658"/>
      <c r="T1293" s="1658"/>
      <c r="U1293" s="1658"/>
      <c r="V1293" s="1658"/>
      <c r="W1293" s="1658"/>
      <c r="X1293" s="1658"/>
      <c r="Y1293" s="1658"/>
      <c r="Z1293" s="1658"/>
      <c r="AA1293" s="1658"/>
      <c r="AB1293" s="1658"/>
      <c r="AC1293" s="1658"/>
      <c r="AD1293" s="1658"/>
      <c r="AE1293" s="1658"/>
      <c r="AF1293" s="1658"/>
    </row>
    <row r="1294" spans="1:32" ht="15">
      <c r="A1294" s="2407"/>
      <c r="B1294" s="2407" t="s">
        <v>1447</v>
      </c>
      <c r="C1294" s="1629"/>
      <c r="D1294" s="2407"/>
      <c r="E1294" s="1660"/>
      <c r="F1294" s="1660"/>
      <c r="G1294" s="1660"/>
      <c r="H1294" s="1660"/>
      <c r="I1294" s="1660"/>
      <c r="J1294" s="1660"/>
      <c r="K1294" s="1660"/>
      <c r="L1294" s="1660"/>
      <c r="M1294" s="1660"/>
      <c r="N1294" s="1643"/>
      <c r="O1294" s="2555"/>
      <c r="P1294" s="2555"/>
      <c r="Q1294" s="1629"/>
      <c r="R1294" s="1629"/>
      <c r="S1294" s="1629"/>
      <c r="T1294" s="1629"/>
      <c r="U1294" s="1629"/>
      <c r="V1294" s="1629"/>
      <c r="W1294" s="1629"/>
      <c r="X1294" s="1629"/>
      <c r="Y1294" s="1629"/>
      <c r="Z1294" s="1629"/>
      <c r="AA1294" s="1629"/>
      <c r="AB1294" s="1629"/>
      <c r="AC1294" s="1629"/>
      <c r="AD1294" s="1629"/>
      <c r="AE1294" s="1629"/>
      <c r="AF1294" s="1629"/>
    </row>
    <row r="1295" spans="1:32" ht="15">
      <c r="A1295" s="1663"/>
      <c r="B1295" s="1663"/>
      <c r="C1295" s="1663"/>
      <c r="D1295" s="1663"/>
      <c r="E1295" s="1663"/>
      <c r="F1295" s="1663"/>
      <c r="G1295" s="1663"/>
      <c r="H1295" s="1663"/>
      <c r="I1295" s="1663"/>
      <c r="J1295" s="1663"/>
      <c r="K1295" s="1663"/>
      <c r="L1295" s="1663"/>
      <c r="M1295" s="1663"/>
      <c r="N1295" s="1663"/>
      <c r="O1295" s="1663"/>
      <c r="P1295" s="1663"/>
      <c r="Q1295" s="1628"/>
      <c r="R1295" s="1628"/>
      <c r="S1295" s="1658"/>
      <c r="T1295" s="1658"/>
      <c r="U1295" s="1658"/>
      <c r="V1295" s="1658"/>
      <c r="W1295" s="1658"/>
      <c r="X1295" s="1658"/>
      <c r="Y1295" s="1658"/>
      <c r="Z1295" s="1658"/>
      <c r="AA1295" s="1658"/>
      <c r="AB1295" s="1658"/>
      <c r="AC1295" s="1658"/>
      <c r="AD1295" s="1658"/>
      <c r="AE1295" s="1658"/>
      <c r="AF1295" s="1658"/>
    </row>
    <row r="1296" spans="1:32" ht="15">
      <c r="A1296" s="2447"/>
      <c r="B1296" s="1629"/>
      <c r="C1296" s="1664"/>
      <c r="D1296" s="1664"/>
      <c r="E1296" s="1664"/>
      <c r="F1296" s="1664"/>
      <c r="G1296" s="1664"/>
      <c r="H1296" s="1664"/>
      <c r="I1296" s="1664"/>
      <c r="J1296" s="1664"/>
      <c r="K1296" s="1664"/>
      <c r="L1296" s="1664"/>
      <c r="M1296" s="1664"/>
      <c r="N1296" s="1662"/>
      <c r="O1296" s="2418"/>
      <c r="P1296" s="2555"/>
      <c r="Q1296" s="1658"/>
      <c r="R1296" s="1658"/>
      <c r="S1296" s="1658"/>
      <c r="T1296" s="1658"/>
      <c r="U1296" s="1658"/>
      <c r="V1296" s="1658"/>
      <c r="W1296" s="1658"/>
      <c r="X1296" s="1658"/>
      <c r="Y1296" s="1658"/>
      <c r="Z1296" s="1658"/>
      <c r="AA1296" s="1658"/>
      <c r="AB1296" s="1658"/>
      <c r="AC1296" s="1658"/>
      <c r="AD1296" s="1658"/>
      <c r="AE1296" s="1658"/>
      <c r="AF1296" s="1658"/>
    </row>
    <row r="1297" spans="1:32" ht="15">
      <c r="A1297" s="1658"/>
      <c r="B1297" s="1658"/>
      <c r="C1297" s="1658"/>
      <c r="D1297" s="1629"/>
      <c r="E1297" s="1629"/>
      <c r="F1297" s="2555"/>
      <c r="G1297" s="2555"/>
      <c r="H1297" s="2555"/>
      <c r="I1297" s="2555"/>
      <c r="J1297" s="1660"/>
      <c r="K1297" s="1660"/>
      <c r="L1297" s="1660"/>
      <c r="M1297" s="1643"/>
      <c r="N1297" s="2555"/>
      <c r="O1297" s="2557"/>
      <c r="P1297" s="1657"/>
      <c r="Q1297" s="1658"/>
      <c r="R1297" s="1658"/>
      <c r="S1297" s="1658"/>
      <c r="T1297" s="1658"/>
      <c r="U1297" s="1658"/>
      <c r="V1297" s="1658"/>
      <c r="W1297" s="1658"/>
      <c r="X1297" s="1658"/>
      <c r="Y1297" s="1658"/>
      <c r="Z1297" s="1658"/>
      <c r="AA1297" s="1658"/>
      <c r="AB1297" s="1658"/>
      <c r="AC1297" s="1658"/>
      <c r="AD1297" s="1658"/>
      <c r="AE1297" s="1658"/>
      <c r="AF1297" s="1658"/>
    </row>
    <row r="1298" spans="1:32" ht="15">
      <c r="A1298" s="2064" t="s">
        <v>1491</v>
      </c>
      <c r="B1298" s="2065" t="s">
        <v>1877</v>
      </c>
      <c r="C1298" s="1629"/>
      <c r="D1298" s="1629"/>
      <c r="E1298" s="1629"/>
      <c r="F1298" s="1629"/>
      <c r="G1298" s="1628"/>
      <c r="H1298" s="1629"/>
      <c r="I1298" s="1628"/>
      <c r="J1298" s="2555"/>
      <c r="K1298" s="2456" t="s">
        <v>1878</v>
      </c>
      <c r="L1298" s="2409" t="s">
        <v>1767</v>
      </c>
      <c r="M1298" s="2555">
        <v>3</v>
      </c>
      <c r="N1298" s="1643"/>
      <c r="O1298" s="1657">
        <f>'Part VIII Scoring Criteria'!O141</f>
        <v>3</v>
      </c>
      <c r="P1298" s="1657">
        <f>'Part VIII Scoring Criteria'!P141</f>
        <v>0</v>
      </c>
      <c r="Q1298" s="2555" t="s">
        <v>795</v>
      </c>
      <c r="R1298" s="2555">
        <f>$O$12</f>
        <v>0</v>
      </c>
      <c r="S1298" s="1665"/>
      <c r="T1298" s="1629"/>
      <c r="U1298" s="1629"/>
      <c r="V1298" s="1629"/>
      <c r="W1298" s="1629"/>
      <c r="X1298" s="1629"/>
      <c r="Y1298" s="1629"/>
      <c r="Z1298" s="1629"/>
      <c r="AA1298" s="1629"/>
      <c r="AB1298" s="1629"/>
      <c r="AC1298" s="1629"/>
      <c r="AD1298" s="1629"/>
      <c r="AE1298" s="1629"/>
      <c r="AF1298" s="1629"/>
    </row>
    <row r="1299" spans="1:32" ht="15">
      <c r="A1299" s="2457"/>
      <c r="B1299" s="2458"/>
      <c r="C1299" s="1658"/>
      <c r="D1299" s="1658"/>
      <c r="E1299" s="1629"/>
      <c r="F1299" s="1658" t="s">
        <v>1879</v>
      </c>
      <c r="G1299" s="1665"/>
      <c r="H1299" s="1629"/>
      <c r="I1299" s="2065"/>
      <c r="J1299" s="1658"/>
      <c r="K1299" s="2409"/>
      <c r="L1299" s="2459"/>
      <c r="M1299" s="2555"/>
      <c r="N1299" s="1643"/>
      <c r="O1299" s="1657"/>
      <c r="P1299" s="1657"/>
      <c r="Q1299" s="2555"/>
      <c r="R1299" s="2411"/>
      <c r="S1299" s="1658"/>
      <c r="T1299" s="1658"/>
      <c r="U1299" s="1658"/>
      <c r="V1299" s="1658"/>
      <c r="W1299" s="1658"/>
      <c r="X1299" s="1658"/>
      <c r="Y1299" s="1658"/>
      <c r="Z1299" s="1658"/>
      <c r="AA1299" s="1658"/>
      <c r="AB1299" s="1658"/>
      <c r="AC1299" s="1658"/>
      <c r="AD1299" s="1658"/>
      <c r="AE1299" s="1658"/>
      <c r="AF1299" s="1658"/>
    </row>
    <row r="1300" spans="1:32" ht="15">
      <c r="A1300" s="2555" t="s">
        <v>197</v>
      </c>
      <c r="B1300" s="2413" t="s">
        <v>1880</v>
      </c>
      <c r="C1300" s="1629"/>
      <c r="D1300" s="1629"/>
      <c r="E1300" s="1629"/>
      <c r="F1300" s="1629"/>
      <c r="G1300" s="2460"/>
      <c r="H1300" s="1658" t="s">
        <v>649</v>
      </c>
      <c r="I1300" s="1629"/>
      <c r="J1300" s="2461" t="str">
        <f>'Part V-Revenues &amp; Expenses'!$O$53</f>
        <v>40% of Units at 60% of AMI</v>
      </c>
      <c r="K1300" s="1629"/>
      <c r="L1300" s="1629"/>
      <c r="M1300" s="2555">
        <v>2</v>
      </c>
      <c r="N1300" s="2444"/>
      <c r="O1300" s="1657">
        <f>'Part VIII Scoring Criteria'!O143</f>
        <v>0</v>
      </c>
      <c r="P1300" s="1657">
        <f>'Part VIII Scoring Criteria'!P143</f>
        <v>0</v>
      </c>
      <c r="Q1300" s="1629"/>
      <c r="R1300" s="1629"/>
      <c r="S1300" s="1629"/>
      <c r="T1300" s="1629"/>
      <c r="U1300" s="1629"/>
      <c r="V1300" s="1629"/>
      <c r="W1300" s="1629"/>
      <c r="X1300" s="1629"/>
      <c r="Y1300" s="1629"/>
      <c r="Z1300" s="1629"/>
      <c r="AA1300" s="1629"/>
      <c r="AB1300" s="1629"/>
      <c r="AC1300" s="1629"/>
      <c r="AD1300" s="1629"/>
      <c r="AE1300" s="1629"/>
      <c r="AF1300" s="1629"/>
    </row>
    <row r="1301" spans="1:32" ht="15">
      <c r="A1301" s="2555"/>
      <c r="B1301" s="2414" t="s">
        <v>212</v>
      </c>
      <c r="C1301" s="2462" t="s">
        <v>1881</v>
      </c>
      <c r="D1301" s="1629"/>
      <c r="E1301" s="1629"/>
      <c r="F1301" s="1629"/>
      <c r="G1301" s="1629"/>
      <c r="H1301" s="1629" t="s">
        <v>1882</v>
      </c>
      <c r="I1301" s="1629"/>
      <c r="J1301" s="1629"/>
      <c r="K1301" s="2463">
        <f>'Part V-Revenues &amp; Expenses'!$B$50</f>
        <v>53.269230769230766</v>
      </c>
      <c r="L1301" s="2411" t="str">
        <f t="shared" ref="L1301:L1302" si="422">IF(OR($O1301=$M1301,$O1301=0,$O1301=""),"","* * Check Score! * *")</f>
        <v/>
      </c>
      <c r="M1301" s="1643">
        <v>2</v>
      </c>
      <c r="N1301" s="2415"/>
      <c r="O1301" s="1657">
        <f>'Part VIII Scoring Criteria'!O144</f>
        <v>0</v>
      </c>
      <c r="P1301" s="1657"/>
      <c r="Q1301" s="2410" t="str">
        <f>IF(OR($O1301=$M1301,$O1301=0,$O1301=""),"","*CHECK!*")</f>
        <v/>
      </c>
      <c r="R1301" s="2413"/>
      <c r="S1301" s="1629"/>
      <c r="T1301" s="1629"/>
      <c r="U1301" s="1629"/>
      <c r="V1301" s="1629"/>
      <c r="W1301" s="1629"/>
      <c r="X1301" s="1629"/>
      <c r="Y1301" s="1629"/>
      <c r="Z1301" s="1629"/>
      <c r="AA1301" s="1629"/>
      <c r="AB1301" s="1629"/>
      <c r="AC1301" s="1629"/>
      <c r="AD1301" s="1629"/>
      <c r="AE1301" s="1629"/>
      <c r="AF1301" s="1629"/>
    </row>
    <row r="1302" spans="1:32" ht="15">
      <c r="A1302" s="2555"/>
      <c r="B1302" s="2416" t="s">
        <v>220</v>
      </c>
      <c r="C1302" s="2462" t="s">
        <v>1883</v>
      </c>
      <c r="D1302" s="1629"/>
      <c r="E1302" s="1629"/>
      <c r="F1302" s="1629"/>
      <c r="G1302" s="1629"/>
      <c r="H1302" s="1629"/>
      <c r="I1302" s="1629"/>
      <c r="J1302" s="1629"/>
      <c r="K1302" s="1658"/>
      <c r="L1302" s="2411" t="str">
        <f t="shared" si="422"/>
        <v/>
      </c>
      <c r="M1302" s="1643">
        <v>2</v>
      </c>
      <c r="N1302" s="2415"/>
      <c r="O1302" s="1657">
        <f>'Part VIII Scoring Criteria'!O145</f>
        <v>0</v>
      </c>
      <c r="P1302" s="1657"/>
      <c r="Q1302" s="2410" t="str">
        <f>IF(OR($O1302=$M1302,$O1302=0,$O1302=""),"","*CHECK!*")</f>
        <v/>
      </c>
      <c r="R1302" s="2413"/>
      <c r="S1302" s="1629"/>
      <c r="T1302" s="1629"/>
      <c r="U1302" s="1629"/>
      <c r="V1302" s="1629"/>
      <c r="W1302" s="1629"/>
      <c r="X1302" s="1629"/>
      <c r="Y1302" s="1629"/>
      <c r="Z1302" s="1629"/>
      <c r="AA1302" s="1629"/>
      <c r="AB1302" s="1629"/>
      <c r="AC1302" s="1629"/>
      <c r="AD1302" s="1629"/>
      <c r="AE1302" s="1629"/>
      <c r="AF1302" s="1629"/>
    </row>
    <row r="1303" spans="1:32" ht="15">
      <c r="A1303" s="2555"/>
      <c r="B1303" s="2464"/>
      <c r="C1303" s="2465"/>
      <c r="D1303" s="1663"/>
      <c r="E1303" s="1658"/>
      <c r="F1303" s="1658"/>
      <c r="G1303" s="1658"/>
      <c r="H1303" s="1658"/>
      <c r="I1303" s="1658"/>
      <c r="J1303" s="1658"/>
      <c r="K1303" s="2466"/>
      <c r="L1303" s="2466"/>
      <c r="M1303" s="1643"/>
      <c r="N1303" s="2444"/>
      <c r="O1303" s="2405"/>
      <c r="P1303" s="2405"/>
      <c r="Q1303" s="1658"/>
      <c r="R1303" s="1658"/>
      <c r="S1303" s="1658"/>
      <c r="T1303" s="1658"/>
      <c r="U1303" s="1658"/>
      <c r="V1303" s="1658"/>
      <c r="W1303" s="1658"/>
      <c r="X1303" s="1658"/>
      <c r="Y1303" s="1658"/>
      <c r="Z1303" s="1658"/>
      <c r="AA1303" s="1658"/>
      <c r="AB1303" s="1658"/>
      <c r="AC1303" s="1658"/>
      <c r="AD1303" s="1658"/>
      <c r="AE1303" s="1658"/>
      <c r="AF1303" s="1658"/>
    </row>
    <row r="1304" spans="1:32" ht="15">
      <c r="A1304" s="2555" t="s">
        <v>209</v>
      </c>
      <c r="B1304" s="2413" t="s">
        <v>1884</v>
      </c>
      <c r="C1304" s="1658"/>
      <c r="D1304" s="1658"/>
      <c r="E1304" s="1658"/>
      <c r="F1304" s="1658"/>
      <c r="G1304" s="1658"/>
      <c r="H1304" s="1659" t="s">
        <v>1885</v>
      </c>
      <c r="I1304" s="1629"/>
      <c r="J1304" s="1658"/>
      <c r="K1304" s="2466">
        <f>'Part VIII Scoring Criteria'!K147</f>
        <v>0.39655172413793105</v>
      </c>
      <c r="L1304" s="1658"/>
      <c r="M1304" s="2555">
        <v>3</v>
      </c>
      <c r="N1304" s="2419"/>
      <c r="O1304" s="1657">
        <f>'Part VIII Scoring Criteria'!O147</f>
        <v>3</v>
      </c>
      <c r="P1304" s="1657"/>
      <c r="Q1304" s="1658"/>
      <c r="R1304" s="1658"/>
      <c r="S1304" s="1658"/>
      <c r="T1304" s="1658"/>
      <c r="U1304" s="1658"/>
      <c r="V1304" s="1658"/>
      <c r="W1304" s="1658"/>
      <c r="X1304" s="1658"/>
      <c r="Y1304" s="1658"/>
      <c r="Z1304" s="1658"/>
      <c r="AA1304" s="1658"/>
      <c r="AB1304" s="1658"/>
      <c r="AC1304" s="1658"/>
      <c r="AD1304" s="1658"/>
      <c r="AE1304" s="1658"/>
      <c r="AF1304" s="1658"/>
    </row>
    <row r="1305" spans="1:32" ht="15">
      <c r="A1305" s="1629"/>
      <c r="B1305" s="2407" t="s">
        <v>1447</v>
      </c>
      <c r="C1305" s="1658"/>
      <c r="D1305" s="2422"/>
      <c r="E1305" s="1664"/>
      <c r="F1305" s="1664"/>
      <c r="G1305" s="1664"/>
      <c r="H1305" s="1664"/>
      <c r="I1305" s="1664"/>
      <c r="J1305" s="1664"/>
      <c r="K1305" s="1664"/>
      <c r="L1305" s="1664"/>
      <c r="M1305" s="1664"/>
      <c r="N1305" s="1662"/>
      <c r="O1305" s="2418"/>
      <c r="P1305" s="2555"/>
      <c r="Q1305" s="1658"/>
      <c r="R1305" s="1658"/>
      <c r="S1305" s="1658"/>
      <c r="T1305" s="1658"/>
      <c r="U1305" s="1658"/>
      <c r="V1305" s="1658"/>
      <c r="W1305" s="1658"/>
      <c r="X1305" s="1658"/>
      <c r="Y1305" s="1658"/>
      <c r="Z1305" s="1658"/>
      <c r="AA1305" s="1658"/>
      <c r="AB1305" s="1658"/>
      <c r="AC1305" s="1658"/>
      <c r="AD1305" s="1658"/>
      <c r="AE1305" s="1658"/>
      <c r="AF1305" s="1658"/>
    </row>
    <row r="1306" spans="1:32" ht="15">
      <c r="A1306" s="1663"/>
      <c r="B1306" s="1663"/>
      <c r="C1306" s="1663"/>
      <c r="D1306" s="1663"/>
      <c r="E1306" s="1663"/>
      <c r="F1306" s="1663"/>
      <c r="G1306" s="1663"/>
      <c r="H1306" s="1663"/>
      <c r="I1306" s="1663"/>
      <c r="J1306" s="1663"/>
      <c r="K1306" s="1663"/>
      <c r="L1306" s="1663"/>
      <c r="M1306" s="1663"/>
      <c r="N1306" s="1663"/>
      <c r="O1306" s="1663"/>
      <c r="P1306" s="1663"/>
      <c r="Q1306" s="1628"/>
      <c r="R1306" s="1658"/>
      <c r="S1306" s="1658"/>
      <c r="T1306" s="1658"/>
      <c r="U1306" s="1658"/>
      <c r="V1306" s="1658"/>
      <c r="W1306" s="1658"/>
      <c r="X1306" s="1658"/>
      <c r="Y1306" s="1658"/>
      <c r="Z1306" s="1658"/>
      <c r="AA1306" s="1658"/>
      <c r="AB1306" s="1658"/>
      <c r="AC1306" s="1658"/>
      <c r="AD1306" s="1658"/>
      <c r="AE1306" s="1658"/>
      <c r="AF1306" s="1658"/>
    </row>
    <row r="1307" spans="1:32" ht="15">
      <c r="A1307" s="1629"/>
      <c r="B1307" s="2071"/>
      <c r="C1307" s="1629"/>
      <c r="D1307" s="1628"/>
      <c r="E1307" s="1629"/>
      <c r="F1307" s="1629"/>
      <c r="G1307" s="2072"/>
      <c r="H1307" s="2072"/>
      <c r="I1307" s="2072"/>
      <c r="J1307" s="2072"/>
      <c r="K1307" s="2072"/>
      <c r="L1307" s="2072"/>
      <c r="M1307" s="1643"/>
      <c r="N1307" s="2556"/>
      <c r="O1307" s="1657"/>
      <c r="P1307" s="2555"/>
      <c r="Q1307" s="1658"/>
      <c r="R1307" s="1629"/>
      <c r="S1307" s="1629"/>
      <c r="T1307" s="1629"/>
      <c r="U1307" s="1629"/>
      <c r="V1307" s="1629"/>
      <c r="W1307" s="1629"/>
      <c r="X1307" s="2073"/>
      <c r="Y1307" s="2073"/>
      <c r="Z1307" s="2073"/>
      <c r="AA1307" s="2073"/>
      <c r="AB1307" s="2073"/>
      <c r="AC1307" s="2073"/>
      <c r="AD1307" s="2073"/>
      <c r="AE1307" s="2073"/>
      <c r="AF1307" s="2073"/>
    </row>
    <row r="1308" spans="1:32" ht="15">
      <c r="A1308" s="1658"/>
      <c r="B1308" s="1658"/>
      <c r="C1308" s="1658"/>
      <c r="D1308" s="1658"/>
      <c r="E1308" s="1658"/>
      <c r="F1308" s="1658"/>
      <c r="G1308" s="1658"/>
      <c r="H1308" s="1658"/>
      <c r="I1308" s="1658"/>
      <c r="J1308" s="1658"/>
      <c r="K1308" s="1658"/>
      <c r="L1308" s="1658"/>
      <c r="M1308" s="1658"/>
      <c r="N1308" s="2556"/>
      <c r="O1308" s="2557"/>
      <c r="P1308" s="2557"/>
      <c r="Q1308" s="1658"/>
      <c r="R1308" s="1658"/>
      <c r="S1308" s="1658"/>
      <c r="T1308" s="2065"/>
      <c r="U1308" s="2065"/>
      <c r="V1308" s="1658"/>
      <c r="W1308" s="1658"/>
      <c r="X1308" s="1658"/>
      <c r="Y1308" s="1658"/>
      <c r="Z1308" s="1658"/>
      <c r="AA1308" s="1658"/>
      <c r="AB1308" s="1658"/>
      <c r="AC1308" s="1658"/>
      <c r="AD1308" s="1658"/>
      <c r="AE1308" s="1658"/>
      <c r="AF1308" s="1658"/>
    </row>
    <row r="1309" spans="1:32" ht="15">
      <c r="A1309" s="2447" t="s">
        <v>1494</v>
      </c>
      <c r="B1309" s="2065" t="s">
        <v>1886</v>
      </c>
      <c r="C1309" s="1629"/>
      <c r="D1309" s="2065"/>
      <c r="E1309" s="2065"/>
      <c r="F1309" s="1629"/>
      <c r="G1309" s="1629"/>
      <c r="H1309" s="1629"/>
      <c r="I1309" s="1629"/>
      <c r="J1309" s="1629"/>
      <c r="K1309" s="1629"/>
      <c r="L1309" s="2467"/>
      <c r="M1309" s="2555">
        <v>2</v>
      </c>
      <c r="N1309" s="1643"/>
      <c r="O1309" s="1657">
        <f>'Part VIII Scoring Criteria'!O152</f>
        <v>2</v>
      </c>
      <c r="P1309" s="1657">
        <f>'Part VIII Scoring Criteria'!P152</f>
        <v>0</v>
      </c>
      <c r="Q1309" s="2555" t="s">
        <v>795</v>
      </c>
      <c r="R1309" s="2555"/>
      <c r="S1309" s="1629"/>
      <c r="T1309" s="1629"/>
      <c r="U1309" s="1629"/>
      <c r="V1309" s="1629"/>
      <c r="W1309" s="1629"/>
      <c r="X1309" s="1629"/>
      <c r="Y1309" s="1629"/>
      <c r="Z1309" s="1629"/>
      <c r="AA1309" s="1629"/>
      <c r="AB1309" s="1629"/>
      <c r="AC1309" s="1629"/>
      <c r="AD1309" s="1629"/>
      <c r="AE1309" s="1629"/>
      <c r="AF1309" s="1629"/>
    </row>
    <row r="1310" spans="1:32" ht="15">
      <c r="A1310" s="1658"/>
      <c r="B1310" s="2468" t="s">
        <v>1887</v>
      </c>
      <c r="C1310" s="1629"/>
      <c r="D1310" s="1629"/>
      <c r="E1310" s="1629"/>
      <c r="F1310" s="1629"/>
      <c r="G1310" s="1629"/>
      <c r="H1310" s="1629"/>
      <c r="I1310" s="1629"/>
      <c r="J1310" s="1629"/>
      <c r="K1310" s="1629"/>
      <c r="L1310" s="1658"/>
      <c r="M1310" s="1643"/>
      <c r="N1310" s="2556"/>
      <c r="O1310" s="2555" t="str">
        <f>'Part VIII Scoring Criteria'!O153</f>
        <v>Yes</v>
      </c>
      <c r="P1310" s="2555"/>
      <c r="Q1310" s="1658"/>
      <c r="R1310" s="1658"/>
      <c r="S1310" s="1658"/>
      <c r="T1310" s="1658"/>
      <c r="U1310" s="1658"/>
      <c r="V1310" s="1658"/>
      <c r="W1310" s="1658"/>
      <c r="X1310" s="1658"/>
      <c r="Y1310" s="1658"/>
      <c r="Z1310" s="1658"/>
      <c r="AA1310" s="1658"/>
      <c r="AB1310" s="1658"/>
      <c r="AC1310" s="1658"/>
      <c r="AD1310" s="1658"/>
      <c r="AE1310" s="1658"/>
      <c r="AF1310" s="1658"/>
    </row>
    <row r="1311" spans="1:32" ht="15">
      <c r="A1311" s="1629"/>
      <c r="B1311" s="2407" t="s">
        <v>2286</v>
      </c>
      <c r="C1311" s="1629"/>
      <c r="D1311" s="1629"/>
      <c r="E1311" s="1629"/>
      <c r="F1311" s="1629"/>
      <c r="G1311" s="1629"/>
      <c r="H1311" s="1629"/>
      <c r="I1311" s="1629"/>
      <c r="J1311" s="1629"/>
      <c r="K1311" s="1629"/>
      <c r="L1311" s="1658"/>
      <c r="M1311" s="1643"/>
      <c r="N1311" s="2556"/>
      <c r="O1311" s="1657"/>
      <c r="P1311" s="2557"/>
      <c r="Q1311" s="1658"/>
      <c r="R1311" s="1658"/>
      <c r="S1311" s="1658"/>
      <c r="T1311" s="1658"/>
      <c r="U1311" s="1658"/>
      <c r="V1311" s="1658"/>
      <c r="W1311" s="1658"/>
      <c r="X1311" s="1658"/>
      <c r="Y1311" s="1658"/>
      <c r="Z1311" s="1658"/>
      <c r="AA1311" s="1658"/>
      <c r="AB1311" s="1658"/>
      <c r="AC1311" s="1658"/>
      <c r="AD1311" s="1658"/>
      <c r="AE1311" s="1658"/>
      <c r="AF1311" s="1658"/>
    </row>
    <row r="1312" spans="1:32" ht="15">
      <c r="A1312" s="2422" t="str">
        <f>'Part VIII Scoring Criteria'!A155</f>
        <v>Applicant agrees to utilize the PHA waiting list  as well as all other requirements of the QAP in this section.</v>
      </c>
      <c r="B1312" s="2422"/>
      <c r="C1312" s="2422"/>
      <c r="D1312" s="2422"/>
      <c r="E1312" s="2422"/>
      <c r="F1312" s="2422"/>
      <c r="G1312" s="2422"/>
      <c r="H1312" s="2422"/>
      <c r="I1312" s="2422"/>
      <c r="J1312" s="2422"/>
      <c r="K1312" s="2422"/>
      <c r="L1312" s="2422"/>
      <c r="M1312" s="2422"/>
      <c r="N1312" s="2422"/>
      <c r="O1312" s="2422"/>
      <c r="P1312" s="2422"/>
      <c r="Q1312" s="1628"/>
      <c r="R1312" s="1628"/>
      <c r="S1312" s="1658"/>
      <c r="T1312" s="1658"/>
      <c r="U1312" s="1658"/>
      <c r="V1312" s="1658"/>
      <c r="W1312" s="1658"/>
      <c r="X1312" s="1658"/>
      <c r="Y1312" s="1658"/>
      <c r="Z1312" s="1658"/>
      <c r="AA1312" s="1658"/>
      <c r="AB1312" s="1658"/>
      <c r="AC1312" s="1658"/>
      <c r="AD1312" s="1658"/>
      <c r="AE1312" s="1658"/>
      <c r="AF1312" s="1658"/>
    </row>
    <row r="1313" spans="1:32" ht="15">
      <c r="A1313" s="2407"/>
      <c r="B1313" s="2407" t="s">
        <v>1447</v>
      </c>
      <c r="C1313" s="1629"/>
      <c r="D1313" s="2407"/>
      <c r="E1313" s="1660"/>
      <c r="F1313" s="1660"/>
      <c r="G1313" s="1660"/>
      <c r="H1313" s="1660"/>
      <c r="I1313" s="1660"/>
      <c r="J1313" s="1660"/>
      <c r="K1313" s="1660"/>
      <c r="L1313" s="1660"/>
      <c r="M1313" s="1660"/>
      <c r="N1313" s="1643"/>
      <c r="O1313" s="2555"/>
      <c r="P1313" s="2555"/>
      <c r="Q1313" s="1629"/>
      <c r="R1313" s="1629"/>
      <c r="S1313" s="1629"/>
      <c r="T1313" s="1629"/>
      <c r="U1313" s="1629"/>
      <c r="V1313" s="1629"/>
      <c r="W1313" s="1629"/>
      <c r="X1313" s="1629"/>
      <c r="Y1313" s="1629"/>
      <c r="Z1313" s="1629"/>
      <c r="AA1313" s="1629"/>
      <c r="AB1313" s="1629"/>
      <c r="AC1313" s="1629"/>
      <c r="AD1313" s="1629"/>
      <c r="AE1313" s="1629"/>
      <c r="AF1313" s="1629"/>
    </row>
    <row r="1314" spans="1:32" ht="15">
      <c r="A1314" s="1663"/>
      <c r="B1314" s="1663"/>
      <c r="C1314" s="1663"/>
      <c r="D1314" s="1663"/>
      <c r="E1314" s="1663"/>
      <c r="F1314" s="1663"/>
      <c r="G1314" s="1663"/>
      <c r="H1314" s="1663"/>
      <c r="I1314" s="1663"/>
      <c r="J1314" s="1663"/>
      <c r="K1314" s="1663"/>
      <c r="L1314" s="1663"/>
      <c r="M1314" s="1663"/>
      <c r="N1314" s="1663"/>
      <c r="O1314" s="1663"/>
      <c r="P1314" s="1663"/>
      <c r="Q1314" s="1628"/>
      <c r="R1314" s="1628"/>
      <c r="S1314" s="1658"/>
      <c r="T1314" s="1658"/>
      <c r="U1314" s="1658"/>
      <c r="V1314" s="1658"/>
      <c r="W1314" s="1658"/>
      <c r="X1314" s="1658"/>
      <c r="Y1314" s="1658"/>
      <c r="Z1314" s="1658"/>
      <c r="AA1314" s="1658"/>
      <c r="AB1314" s="1658"/>
      <c r="AC1314" s="1658"/>
      <c r="AD1314" s="1658"/>
      <c r="AE1314" s="1658"/>
      <c r="AF1314" s="1658"/>
    </row>
    <row r="1315" spans="1:32" ht="15">
      <c r="A1315" s="2447"/>
      <c r="B1315" s="1629"/>
      <c r="C1315" s="1664"/>
      <c r="D1315" s="1664"/>
      <c r="E1315" s="1664"/>
      <c r="F1315" s="1664"/>
      <c r="G1315" s="1664"/>
      <c r="H1315" s="1664"/>
      <c r="I1315" s="1664"/>
      <c r="J1315" s="1664"/>
      <c r="K1315" s="1664"/>
      <c r="L1315" s="1664"/>
      <c r="M1315" s="1664"/>
      <c r="N1315" s="1662"/>
      <c r="O1315" s="2418"/>
      <c r="P1315" s="2555"/>
      <c r="Q1315" s="1658"/>
      <c r="R1315" s="1658"/>
      <c r="S1315" s="1658"/>
      <c r="T1315" s="1658"/>
      <c r="U1315" s="1658"/>
      <c r="V1315" s="1658"/>
      <c r="W1315" s="1658"/>
      <c r="X1315" s="1658"/>
      <c r="Y1315" s="1658"/>
      <c r="Z1315" s="1658"/>
      <c r="AA1315" s="1658"/>
      <c r="AB1315" s="1658"/>
      <c r="AC1315" s="1658"/>
      <c r="AD1315" s="1658"/>
      <c r="AE1315" s="1658"/>
      <c r="AF1315" s="1658"/>
    </row>
    <row r="1316" spans="1:32" ht="15">
      <c r="A1316" s="1658"/>
      <c r="B1316" s="1658"/>
      <c r="C1316" s="1658"/>
      <c r="D1316" s="1658"/>
      <c r="E1316" s="1658"/>
      <c r="F1316" s="1658"/>
      <c r="G1316" s="1658"/>
      <c r="H1316" s="1658"/>
      <c r="I1316" s="1658"/>
      <c r="J1316" s="1658"/>
      <c r="K1316" s="1658"/>
      <c r="L1316" s="1658"/>
      <c r="M1316" s="1658"/>
      <c r="N1316" s="2556"/>
      <c r="O1316" s="2557"/>
      <c r="P1316" s="2557"/>
      <c r="Q1316" s="1658"/>
      <c r="R1316" s="1658"/>
      <c r="S1316" s="1658"/>
      <c r="T1316" s="1658"/>
      <c r="U1316" s="1658"/>
      <c r="V1316" s="1658"/>
      <c r="W1316" s="1658"/>
      <c r="X1316" s="1658"/>
      <c r="Y1316" s="1658"/>
      <c r="Z1316" s="1658"/>
      <c r="AA1316" s="1658"/>
      <c r="AB1316" s="1658"/>
      <c r="AC1316" s="1658"/>
      <c r="AD1316" s="1658"/>
      <c r="AE1316" s="1658"/>
      <c r="AF1316" s="1658"/>
    </row>
    <row r="1317" spans="1:32" ht="15">
      <c r="A1317" s="2064" t="s">
        <v>1501</v>
      </c>
      <c r="B1317" s="2065" t="s">
        <v>1889</v>
      </c>
      <c r="C1317" s="1658"/>
      <c r="D1317" s="1658"/>
      <c r="E1317" s="1658"/>
      <c r="F1317" s="1658"/>
      <c r="G1317" s="1658"/>
      <c r="H1317" s="1658"/>
      <c r="I1317" s="1658"/>
      <c r="J1317" s="1658"/>
      <c r="K1317" s="1658"/>
      <c r="L1317" s="2409" t="s">
        <v>1767</v>
      </c>
      <c r="M1317" s="2555">
        <v>20</v>
      </c>
      <c r="N1317" s="2067"/>
      <c r="O1317" s="2406">
        <f>'Part VIII Scoring Criteria'!O160</f>
        <v>20</v>
      </c>
      <c r="P1317" s="2406">
        <f>'Part VIII Scoring Criteria'!P160</f>
        <v>0</v>
      </c>
      <c r="Q1317" s="2555" t="s">
        <v>795</v>
      </c>
      <c r="R1317" s="2555">
        <f>$O$12</f>
        <v>0</v>
      </c>
      <c r="S1317" s="1658"/>
      <c r="T1317" s="1658"/>
      <c r="U1317" s="1658"/>
      <c r="V1317" s="1658"/>
      <c r="W1317" s="1658"/>
      <c r="X1317" s="1658"/>
      <c r="Y1317" s="1658"/>
      <c r="Z1317" s="1658"/>
      <c r="AA1317" s="1658"/>
      <c r="AB1317" s="1658"/>
      <c r="AC1317" s="1658"/>
      <c r="AD1317" s="1658"/>
      <c r="AE1317" s="1658"/>
      <c r="AF1317" s="1658"/>
    </row>
    <row r="1318" spans="1:32" ht="15">
      <c r="A1318" s="2555" t="s">
        <v>197</v>
      </c>
      <c r="B1318" s="1628" t="s">
        <v>1890</v>
      </c>
      <c r="C1318" s="1628"/>
      <c r="D1318" s="1628"/>
      <c r="E1318" s="1629"/>
      <c r="F1318" s="1628"/>
      <c r="G1318" s="1629"/>
      <c r="H1318" s="2067"/>
      <c r="I1318" s="1628"/>
      <c r="J1318" s="1628"/>
      <c r="K1318" s="1628"/>
      <c r="L1318" s="2411" t="str">
        <f t="shared" ref="L1318" si="423">IF(OR($O1318=$M1318,$O1318=0,$O1318=""),"","* * Check Score! * *")</f>
        <v/>
      </c>
      <c r="M1318" s="1643">
        <v>20</v>
      </c>
      <c r="N1318" s="2415"/>
      <c r="O1318" s="2406">
        <f>'Part VIII Scoring Criteria'!O161</f>
        <v>20</v>
      </c>
      <c r="P1318" s="2406"/>
      <c r="Q1318" s="2410"/>
      <c r="R1318" s="2413"/>
      <c r="S1318" s="1629"/>
      <c r="T1318" s="1629"/>
      <c r="U1318" s="1629"/>
      <c r="V1318" s="1629"/>
      <c r="W1318" s="1629"/>
      <c r="X1318" s="1629"/>
      <c r="Y1318" s="1629"/>
      <c r="Z1318" s="1629"/>
      <c r="AA1318" s="1629"/>
      <c r="AB1318" s="1629"/>
      <c r="AC1318" s="1629"/>
      <c r="AD1318" s="1629"/>
      <c r="AE1318" s="1629"/>
      <c r="AF1318" s="1629"/>
    </row>
    <row r="1319" spans="1:32" ht="15">
      <c r="A1319" s="2555" t="s">
        <v>209</v>
      </c>
      <c r="B1319" s="1628" t="s">
        <v>1891</v>
      </c>
      <c r="C1319" s="1629"/>
      <c r="D1319" s="1629"/>
      <c r="E1319" s="1629"/>
      <c r="F1319" s="1629"/>
      <c r="G1319" s="1629"/>
      <c r="H1319" s="2067"/>
      <c r="I1319" s="1628"/>
      <c r="J1319" s="1628"/>
      <c r="K1319" s="2448"/>
      <c r="L1319" s="1628"/>
      <c r="M1319" s="1643" t="s">
        <v>1892</v>
      </c>
      <c r="N1319" s="2067"/>
      <c r="O1319" s="2406">
        <f>'Part VIII Scoring Criteria'!O162</f>
        <v>0</v>
      </c>
      <c r="P1319" s="2406"/>
      <c r="Q1319" s="1629"/>
      <c r="R1319" s="2413"/>
      <c r="S1319" s="1629"/>
      <c r="T1319" s="1629"/>
      <c r="U1319" s="1629"/>
      <c r="V1319" s="1629"/>
      <c r="W1319" s="1629"/>
      <c r="X1319" s="1629"/>
      <c r="Y1319" s="1629"/>
      <c r="Z1319" s="1629"/>
      <c r="AA1319" s="1629"/>
      <c r="AB1319" s="1629"/>
      <c r="AC1319" s="1629"/>
      <c r="AD1319" s="1629"/>
      <c r="AE1319" s="1629"/>
      <c r="AF1319" s="1629"/>
    </row>
    <row r="1320" spans="1:32" ht="15">
      <c r="A1320" s="1629"/>
      <c r="B1320" s="2407" t="s">
        <v>2286</v>
      </c>
      <c r="C1320" s="1629"/>
      <c r="D1320" s="1629"/>
      <c r="E1320" s="1629"/>
      <c r="F1320" s="1629"/>
      <c r="G1320" s="1629"/>
      <c r="H1320" s="1629"/>
      <c r="I1320" s="1629"/>
      <c r="J1320" s="1629"/>
      <c r="K1320" s="1629"/>
      <c r="L1320" s="1658"/>
      <c r="M1320" s="1643"/>
      <c r="N1320" s="2556"/>
      <c r="O1320" s="1657"/>
      <c r="P1320" s="2557"/>
      <c r="Q1320" s="1658"/>
      <c r="R1320" s="1658"/>
      <c r="S1320" s="1658"/>
      <c r="T1320" s="1658"/>
      <c r="U1320" s="1658"/>
      <c r="V1320" s="1658"/>
      <c r="W1320" s="1658"/>
      <c r="X1320" s="1658"/>
      <c r="Y1320" s="1658"/>
      <c r="Z1320" s="1658"/>
      <c r="AA1320" s="1658"/>
      <c r="AB1320" s="1658"/>
      <c r="AC1320" s="1658"/>
      <c r="AD1320" s="1658"/>
      <c r="AE1320" s="1658"/>
      <c r="AF1320" s="1658"/>
    </row>
    <row r="1321" spans="1:32" ht="15">
      <c r="A1321" s="2422" t="str">
        <f>'Part VIII Scoring Criteria'!A164</f>
        <v xml:space="preserve">Finley Place qualifies for 21.5 desirable points with a 20 point cap.  </v>
      </c>
      <c r="B1321" s="2422"/>
      <c r="C1321" s="2422"/>
      <c r="D1321" s="2422"/>
      <c r="E1321" s="2422"/>
      <c r="F1321" s="2422"/>
      <c r="G1321" s="2422"/>
      <c r="H1321" s="2422"/>
      <c r="I1321" s="2422"/>
      <c r="J1321" s="2422"/>
      <c r="K1321" s="2422"/>
      <c r="L1321" s="2422"/>
      <c r="M1321" s="2422"/>
      <c r="N1321" s="2422"/>
      <c r="O1321" s="2422"/>
      <c r="P1321" s="2422"/>
      <c r="Q1321" s="1628"/>
      <c r="R1321" s="1628"/>
      <c r="S1321" s="1658"/>
      <c r="T1321" s="1658"/>
      <c r="U1321" s="1658"/>
      <c r="V1321" s="1658"/>
      <c r="W1321" s="1658"/>
      <c r="X1321" s="1658"/>
      <c r="Y1321" s="1658"/>
      <c r="Z1321" s="1658"/>
      <c r="AA1321" s="1658"/>
      <c r="AB1321" s="1658"/>
      <c r="AC1321" s="1658"/>
      <c r="AD1321" s="1658"/>
      <c r="AE1321" s="1658"/>
      <c r="AF1321" s="1658"/>
    </row>
    <row r="1322" spans="1:32" ht="15">
      <c r="A1322" s="1629"/>
      <c r="B1322" s="2407" t="s">
        <v>1447</v>
      </c>
      <c r="C1322" s="1629"/>
      <c r="D1322" s="2422"/>
      <c r="E1322" s="1664"/>
      <c r="F1322" s="1664"/>
      <c r="G1322" s="1664"/>
      <c r="H1322" s="1664"/>
      <c r="I1322" s="1664"/>
      <c r="J1322" s="1664"/>
      <c r="K1322" s="1664"/>
      <c r="L1322" s="1664"/>
      <c r="M1322" s="1664"/>
      <c r="N1322" s="1662"/>
      <c r="O1322" s="2418"/>
      <c r="P1322" s="2555"/>
      <c r="Q1322" s="1658"/>
      <c r="R1322" s="1658"/>
      <c r="S1322" s="1658"/>
      <c r="T1322" s="1658"/>
      <c r="U1322" s="1658"/>
      <c r="V1322" s="1658"/>
      <c r="W1322" s="1658"/>
      <c r="X1322" s="1658"/>
      <c r="Y1322" s="1658"/>
      <c r="Z1322" s="1658"/>
      <c r="AA1322" s="1658"/>
      <c r="AB1322" s="1658"/>
      <c r="AC1322" s="1658"/>
      <c r="AD1322" s="1658"/>
      <c r="AE1322" s="1658"/>
      <c r="AF1322" s="1658"/>
    </row>
    <row r="1323" spans="1:32" ht="15">
      <c r="A1323" s="1663"/>
      <c r="B1323" s="1663"/>
      <c r="C1323" s="1663"/>
      <c r="D1323" s="1663"/>
      <c r="E1323" s="1663"/>
      <c r="F1323" s="1663"/>
      <c r="G1323" s="1663"/>
      <c r="H1323" s="1663"/>
      <c r="I1323" s="1663"/>
      <c r="J1323" s="1663"/>
      <c r="K1323" s="1663"/>
      <c r="L1323" s="1663"/>
      <c r="M1323" s="1663"/>
      <c r="N1323" s="1663"/>
      <c r="O1323" s="1663"/>
      <c r="P1323" s="1663"/>
      <c r="Q1323" s="1628"/>
      <c r="R1323" s="1628"/>
      <c r="S1323" s="1658"/>
      <c r="T1323" s="1658"/>
      <c r="U1323" s="1658"/>
      <c r="V1323" s="1658"/>
      <c r="W1323" s="1658"/>
      <c r="X1323" s="1658"/>
      <c r="Y1323" s="1658"/>
      <c r="Z1323" s="1658"/>
      <c r="AA1323" s="1658"/>
      <c r="AB1323" s="1658"/>
      <c r="AC1323" s="1658"/>
      <c r="AD1323" s="1658"/>
      <c r="AE1323" s="1658"/>
      <c r="AF1323" s="1658"/>
    </row>
    <row r="1324" spans="1:32" ht="15">
      <c r="A1324" s="1629"/>
      <c r="B1324" s="2071"/>
      <c r="C1324" s="1629"/>
      <c r="D1324" s="1628"/>
      <c r="E1324" s="1629"/>
      <c r="F1324" s="1629"/>
      <c r="G1324" s="2072"/>
      <c r="H1324" s="2072"/>
      <c r="I1324" s="2072"/>
      <c r="J1324" s="2072"/>
      <c r="K1324" s="2072"/>
      <c r="L1324" s="2072"/>
      <c r="M1324" s="1643"/>
      <c r="N1324" s="2556"/>
      <c r="O1324" s="1657"/>
      <c r="P1324" s="2555"/>
      <c r="Q1324" s="1658"/>
      <c r="R1324" s="1629"/>
      <c r="S1324" s="1629"/>
      <c r="T1324" s="1629"/>
      <c r="U1324" s="1629"/>
      <c r="V1324" s="1629"/>
      <c r="W1324" s="1629"/>
      <c r="X1324" s="2073"/>
      <c r="Y1324" s="2073"/>
      <c r="Z1324" s="2073"/>
      <c r="AA1324" s="2073"/>
      <c r="AB1324" s="2073"/>
      <c r="AC1324" s="2073"/>
      <c r="AD1324" s="2073"/>
      <c r="AE1324" s="2073"/>
      <c r="AF1324" s="2073"/>
    </row>
    <row r="1325" spans="1:32" ht="15">
      <c r="A1325" s="1658"/>
      <c r="B1325" s="1658"/>
      <c r="C1325" s="1658"/>
      <c r="D1325" s="1658"/>
      <c r="E1325" s="1658"/>
      <c r="F1325" s="1658"/>
      <c r="G1325" s="1658"/>
      <c r="H1325" s="1658"/>
      <c r="I1325" s="1658"/>
      <c r="J1325" s="1658"/>
      <c r="K1325" s="1658"/>
      <c r="L1325" s="1658"/>
      <c r="M1325" s="1658"/>
      <c r="N1325" s="2556"/>
      <c r="O1325" s="2557"/>
      <c r="P1325" s="2557"/>
      <c r="Q1325" s="1658"/>
      <c r="R1325" s="1658"/>
      <c r="S1325" s="1658"/>
      <c r="T1325" s="2065"/>
      <c r="U1325" s="2065"/>
      <c r="V1325" s="1658"/>
      <c r="W1325" s="1658"/>
      <c r="X1325" s="1658"/>
      <c r="Y1325" s="1658"/>
      <c r="Z1325" s="1658"/>
      <c r="AA1325" s="1658"/>
      <c r="AB1325" s="1658"/>
      <c r="AC1325" s="1658"/>
      <c r="AD1325" s="1658"/>
      <c r="AE1325" s="1658"/>
      <c r="AF1325" s="1658"/>
    </row>
    <row r="1326" spans="1:32" ht="15">
      <c r="A1326" s="2064" t="s">
        <v>1508</v>
      </c>
      <c r="B1326" s="2065" t="s">
        <v>1894</v>
      </c>
      <c r="C1326" s="1658"/>
      <c r="D1326" s="1658"/>
      <c r="E1326" s="1658"/>
      <c r="F1326" s="1658"/>
      <c r="G1326" s="1658"/>
      <c r="H1326" s="2469"/>
      <c r="I1326" s="2413"/>
      <c r="J1326" s="2555"/>
      <c r="K1326" s="2555"/>
      <c r="L1326" s="2409" t="s">
        <v>1767</v>
      </c>
      <c r="M1326" s="2555">
        <v>6</v>
      </c>
      <c r="N1326" s="2067"/>
      <c r="O1326" s="2406">
        <f>'Part VIII Scoring Criteria'!O169</f>
        <v>3</v>
      </c>
      <c r="P1326" s="2406">
        <f>'Part VIII Scoring Criteria'!P169</f>
        <v>0</v>
      </c>
      <c r="Q1326" s="2555" t="s">
        <v>795</v>
      </c>
      <c r="R1326" s="2555">
        <f>$O$12</f>
        <v>0</v>
      </c>
      <c r="S1326" s="1658"/>
      <c r="T1326" s="1658"/>
      <c r="U1326" s="1658"/>
      <c r="V1326" s="1658"/>
      <c r="W1326" s="1658"/>
      <c r="X1326" s="1658"/>
      <c r="Y1326" s="1658"/>
      <c r="Z1326" s="1658"/>
      <c r="AA1326" s="1658"/>
      <c r="AB1326" s="1658"/>
      <c r="AC1326" s="1658"/>
      <c r="AD1326" s="1658"/>
      <c r="AE1326" s="1658"/>
      <c r="AF1326" s="1658"/>
    </row>
    <row r="1327" spans="1:32" ht="15">
      <c r="A1327" s="2064"/>
      <c r="B1327" s="2065"/>
      <c r="C1327" s="1658"/>
      <c r="D1327" s="1658"/>
      <c r="E1327" s="1658"/>
      <c r="F1327" s="1658"/>
      <c r="G1327" s="1658"/>
      <c r="H1327" s="2065"/>
      <c r="I1327" s="2407"/>
      <c r="J1327" s="1629"/>
      <c r="K1327" s="1629"/>
      <c r="L1327" s="1658"/>
      <c r="M1327" s="2555"/>
      <c r="N1327" s="2067"/>
      <c r="O1327" s="1657"/>
      <c r="P1327" s="1657"/>
      <c r="Q1327" s="2555"/>
      <c r="R1327" s="1658"/>
      <c r="S1327" s="1658"/>
      <c r="T1327" s="1658"/>
      <c r="U1327" s="1658"/>
      <c r="V1327" s="1658"/>
      <c r="W1327" s="1658"/>
      <c r="X1327" s="1658"/>
      <c r="Y1327" s="1658"/>
      <c r="Z1327" s="1658"/>
      <c r="AA1327" s="1658"/>
      <c r="AB1327" s="1658"/>
      <c r="AC1327" s="1658"/>
      <c r="AD1327" s="1658"/>
      <c r="AE1327" s="1658"/>
      <c r="AF1327" s="1658"/>
    </row>
    <row r="1328" spans="1:32" ht="14.1" customHeight="1">
      <c r="A1328" s="2064"/>
      <c r="B1328" s="1629" t="s">
        <v>1895</v>
      </c>
      <c r="C1328" s="1658"/>
      <c r="D1328" s="1658"/>
      <c r="E1328" s="1658"/>
      <c r="F1328" s="1629" t="s">
        <v>1896</v>
      </c>
      <c r="G1328" s="1629"/>
      <c r="H1328" s="1629"/>
      <c r="I1328" s="1629"/>
      <c r="J1328" s="1629" t="s">
        <v>1897</v>
      </c>
      <c r="K1328" s="1629"/>
      <c r="L1328" s="1629"/>
      <c r="M1328" s="1629"/>
      <c r="N1328" s="2067"/>
      <c r="O1328" s="2470" t="s">
        <v>1898</v>
      </c>
      <c r="P1328" s="2470"/>
      <c r="Q1328" s="1658"/>
      <c r="R1328" s="1658"/>
      <c r="S1328" s="1658"/>
      <c r="T1328" s="1658"/>
      <c r="U1328" s="1658"/>
      <c r="V1328" s="1658"/>
      <c r="W1328" s="1658"/>
      <c r="X1328" s="1658"/>
      <c r="Y1328" s="1658"/>
      <c r="Z1328" s="1658"/>
      <c r="AA1328" s="1658"/>
      <c r="AB1328" s="1658"/>
      <c r="AC1328" s="1658"/>
      <c r="AD1328" s="1658"/>
      <c r="AE1328" s="1658"/>
      <c r="AF1328" s="1658"/>
    </row>
    <row r="1329" spans="1:32" ht="14.25">
      <c r="A1329" s="1658"/>
      <c r="B1329" s="2471"/>
      <c r="C1329" s="1660" t="s">
        <v>1899</v>
      </c>
      <c r="D1329" s="1658"/>
      <c r="E1329" s="1658"/>
      <c r="F1329" s="1629">
        <f>'Part VIII Scoring Criteria'!F172</f>
        <v>33.823971</v>
      </c>
      <c r="G1329" s="1629"/>
      <c r="H1329" s="1629"/>
      <c r="I1329" s="1629"/>
      <c r="J1329" s="1629">
        <f>'Part VIII Scoring Criteria'!J172</f>
        <v>-84.616552999999996</v>
      </c>
      <c r="K1329" s="1629"/>
      <c r="L1329" s="1629"/>
      <c r="M1329" s="1629"/>
      <c r="N1329" s="1658"/>
      <c r="O1329" s="2470"/>
      <c r="P1329" s="2470"/>
      <c r="Q1329" s="1658"/>
      <c r="R1329" s="1658"/>
      <c r="S1329" s="1658"/>
      <c r="T1329" s="1658"/>
      <c r="U1329" s="1658"/>
      <c r="V1329" s="1658"/>
      <c r="W1329" s="1658"/>
      <c r="X1329" s="1658"/>
      <c r="Y1329" s="1658"/>
      <c r="Z1329" s="1658"/>
      <c r="AA1329" s="1658"/>
      <c r="AB1329" s="1658"/>
      <c r="AC1329" s="1658"/>
      <c r="AD1329" s="1658"/>
      <c r="AE1329" s="1658"/>
      <c r="AF1329" s="1658"/>
    </row>
    <row r="1330" spans="1:32" ht="14.25">
      <c r="A1330" s="2471"/>
      <c r="B1330" s="1663"/>
      <c r="C1330" s="1660" t="s">
        <v>1900</v>
      </c>
      <c r="D1330" s="1658"/>
      <c r="E1330" s="1658"/>
      <c r="F1330" s="1629">
        <f>'Part VIII Scoring Criteria'!F173</f>
        <v>33.821066999999999</v>
      </c>
      <c r="G1330" s="1629"/>
      <c r="H1330" s="1629"/>
      <c r="I1330" s="1629"/>
      <c r="J1330" s="1629">
        <f>'Part VIII Scoring Criteria'!J173</f>
        <v>-84.617716000000001</v>
      </c>
      <c r="K1330" s="1629"/>
      <c r="L1330" s="1629"/>
      <c r="M1330" s="1629"/>
      <c r="N1330" s="2067"/>
      <c r="O1330" s="2472">
        <f>'Part VIII Scoring Criteria'!O173</f>
        <v>0.2</v>
      </c>
      <c r="P1330" s="2472"/>
      <c r="Q1330" s="1658"/>
      <c r="R1330" s="1658"/>
      <c r="S1330" s="1658"/>
      <c r="T1330" s="1658"/>
      <c r="U1330" s="1658"/>
      <c r="V1330" s="1658"/>
      <c r="W1330" s="1658"/>
      <c r="X1330" s="1658"/>
      <c r="Y1330" s="1658"/>
      <c r="Z1330" s="1658"/>
      <c r="AA1330" s="1658"/>
      <c r="AB1330" s="1658"/>
      <c r="AC1330" s="1658"/>
      <c r="AD1330" s="1658"/>
      <c r="AE1330" s="1658"/>
      <c r="AF1330" s="1658"/>
    </row>
    <row r="1331" spans="1:32" ht="14.25">
      <c r="A1331" s="1663"/>
      <c r="B1331" s="1658" t="s">
        <v>1901</v>
      </c>
      <c r="C1331" s="1658"/>
      <c r="D1331" s="1658"/>
      <c r="E1331" s="1658"/>
      <c r="F1331" s="2556" t="s">
        <v>1902</v>
      </c>
      <c r="G1331" s="1629" t="s">
        <v>1903</v>
      </c>
      <c r="H1331" s="1629"/>
      <c r="I1331" s="1629"/>
      <c r="J1331" s="1629" t="s">
        <v>1904</v>
      </c>
      <c r="K1331" s="1629"/>
      <c r="L1331" s="1629"/>
      <c r="M1331" s="1629"/>
      <c r="N1331" s="1629"/>
      <c r="O1331" s="1629"/>
      <c r="P1331" s="1629"/>
      <c r="Q1331" s="1658"/>
      <c r="R1331" s="1658"/>
      <c r="S1331" s="1658"/>
      <c r="T1331" s="1658"/>
      <c r="U1331" s="1658"/>
      <c r="V1331" s="1658"/>
      <c r="W1331" s="1658"/>
      <c r="X1331" s="1658"/>
      <c r="Y1331" s="1658"/>
      <c r="Z1331" s="1658"/>
      <c r="AA1331" s="1658"/>
      <c r="AB1331" s="1658"/>
      <c r="AC1331" s="1658"/>
      <c r="AD1331" s="1658"/>
      <c r="AE1331" s="1658"/>
      <c r="AF1331" s="1658"/>
    </row>
    <row r="1332" spans="1:32" ht="14.25">
      <c r="A1332" s="1663"/>
      <c r="B1332" s="1629" t="str">
        <f>'Part VIII Scoring Criteria'!B175</f>
        <v>Cobb Linc</v>
      </c>
      <c r="C1332" s="1629"/>
      <c r="D1332" s="1629"/>
      <c r="E1332" s="1629"/>
      <c r="F1332" s="2473" t="str">
        <f>'Part VIII Scoring Criteria'!F175</f>
        <v>770-427-4444</v>
      </c>
      <c r="G1332" s="1629" t="str">
        <f>'Part VIII Scoring Criteria'!G175</f>
        <v>cobblinc_cs@cobbcounty.org</v>
      </c>
      <c r="H1332" s="1629"/>
      <c r="I1332" s="1629"/>
      <c r="J1332" s="1629" t="str">
        <f>'Part VIII Scoring Criteria'!J175</f>
        <v>www.cobbcounty.org/transportation/cobblinc</v>
      </c>
      <c r="K1332" s="1629"/>
      <c r="L1332" s="1629"/>
      <c r="M1332" s="1629"/>
      <c r="N1332" s="1629"/>
      <c r="O1332" s="1629"/>
      <c r="P1332" s="1629"/>
      <c r="Q1332" s="1658"/>
      <c r="R1332" s="1658"/>
      <c r="S1332" s="1658"/>
      <c r="T1332" s="1658"/>
      <c r="U1332" s="1658"/>
      <c r="V1332" s="1658"/>
      <c r="W1332" s="1658"/>
      <c r="X1332" s="1658"/>
      <c r="Y1332" s="1658"/>
      <c r="Z1332" s="1658"/>
      <c r="AA1332" s="1658"/>
      <c r="AB1332" s="1658"/>
      <c r="AC1332" s="1658"/>
      <c r="AD1332" s="1658"/>
      <c r="AE1332" s="1658"/>
      <c r="AF1332" s="1658"/>
    </row>
    <row r="1333" spans="1:32" ht="15">
      <c r="A1333" s="2474"/>
      <c r="B1333" s="2065"/>
      <c r="C1333" s="1658"/>
      <c r="D1333" s="1658"/>
      <c r="E1333" s="1658"/>
      <c r="F1333" s="2410"/>
      <c r="G1333" s="1658"/>
      <c r="H1333" s="1658"/>
      <c r="I1333" s="1658"/>
      <c r="J1333" s="1658"/>
      <c r="K1333" s="1658"/>
      <c r="L1333" s="1658"/>
      <c r="M1333" s="2555"/>
      <c r="N1333" s="2555"/>
      <c r="O1333" s="2555"/>
      <c r="P1333" s="2555"/>
      <c r="Q1333" s="2555"/>
      <c r="R1333" s="1629"/>
      <c r="S1333" s="1629"/>
      <c r="T1333" s="1629"/>
      <c r="U1333" s="1629"/>
      <c r="V1333" s="1658"/>
      <c r="W1333" s="1658"/>
      <c r="X1333" s="1658"/>
      <c r="Y1333" s="1658"/>
      <c r="Z1333" s="1658"/>
      <c r="AA1333" s="1658"/>
      <c r="AB1333" s="1658"/>
      <c r="AC1333" s="1658"/>
      <c r="AD1333" s="1658"/>
      <c r="AE1333" s="1658"/>
      <c r="AF1333" s="1658"/>
    </row>
    <row r="1334" spans="1:32" ht="15">
      <c r="A1334" s="2418" t="s">
        <v>197</v>
      </c>
      <c r="B1334" s="1628" t="s">
        <v>1909</v>
      </c>
      <c r="C1334" s="1658"/>
      <c r="D1334" s="1658"/>
      <c r="E1334" s="1658"/>
      <c r="F1334" s="2065"/>
      <c r="G1334" s="1658"/>
      <c r="H1334" s="1658"/>
      <c r="I1334" s="1658"/>
      <c r="J1334" s="1658"/>
      <c r="K1334" s="1658"/>
      <c r="L1334" s="2441" t="s">
        <v>1829</v>
      </c>
      <c r="M1334" s="2555">
        <v>6</v>
      </c>
      <c r="N1334" s="2444"/>
      <c r="O1334" s="2406">
        <f>'Part VIII Scoring Criteria'!O177</f>
        <v>0</v>
      </c>
      <c r="P1334" s="2406">
        <f>'Part VIII Scoring Criteria'!P177</f>
        <v>0</v>
      </c>
      <c r="Q1334" s="2555"/>
      <c r="R1334" s="1658"/>
      <c r="S1334" s="2475" t="s">
        <v>1910</v>
      </c>
      <c r="T1334" s="2475" t="s">
        <v>1911</v>
      </c>
      <c r="U1334" s="1658"/>
      <c r="V1334" s="1658"/>
      <c r="W1334" s="1658"/>
      <c r="X1334" s="1658"/>
      <c r="Y1334" s="1658"/>
      <c r="Z1334" s="1658"/>
      <c r="AA1334" s="1658"/>
      <c r="AB1334" s="1658"/>
      <c r="AC1334" s="1658"/>
      <c r="AD1334" s="1658"/>
      <c r="AE1334" s="1658"/>
      <c r="AF1334" s="1658"/>
    </row>
    <row r="1335" spans="1:32" ht="14.1" customHeight="1">
      <c r="A1335" s="1662"/>
      <c r="B1335" s="2416" t="s">
        <v>212</v>
      </c>
      <c r="C1335" s="1663" t="s">
        <v>2288</v>
      </c>
      <c r="D1335" s="1663"/>
      <c r="E1335" s="1663"/>
      <c r="F1335" s="1663"/>
      <c r="G1335" s="1663"/>
      <c r="H1335" s="1663"/>
      <c r="I1335" s="1663"/>
      <c r="J1335" s="1663"/>
      <c r="K1335" s="1663"/>
      <c r="L1335" s="2411" t="str">
        <f t="shared" ref="L1335:L1336" si="424">IF(OR($O1335=$M1335,$O1335=0,$O1335=""),"","* * Check Score! * *")</f>
        <v/>
      </c>
      <c r="M1335" s="1662">
        <v>6</v>
      </c>
      <c r="N1335" s="2445"/>
      <c r="O1335" s="2454">
        <f>'Part VIII Scoring Criteria'!O178</f>
        <v>0</v>
      </c>
      <c r="P1335" s="2454"/>
      <c r="Q1335" s="1663"/>
      <c r="R1335" s="2476" t="s">
        <v>1913</v>
      </c>
      <c r="S1335" s="2387">
        <v>0.25</v>
      </c>
      <c r="T1335" s="2387">
        <v>5</v>
      </c>
      <c r="U1335" s="1663"/>
      <c r="V1335" s="1663"/>
      <c r="W1335" s="1663"/>
      <c r="X1335" s="1663"/>
      <c r="Y1335" s="1663"/>
      <c r="Z1335" s="1663"/>
      <c r="AA1335" s="1663"/>
      <c r="AB1335" s="1663"/>
      <c r="AC1335" s="1663"/>
      <c r="AD1335" s="1663"/>
      <c r="AE1335" s="1663"/>
      <c r="AF1335" s="1663"/>
    </row>
    <row r="1336" spans="1:32" ht="15">
      <c r="A1336" s="2555" t="s">
        <v>338</v>
      </c>
      <c r="B1336" s="2416" t="s">
        <v>220</v>
      </c>
      <c r="C1336" s="1629" t="s">
        <v>2289</v>
      </c>
      <c r="D1336" s="1629"/>
      <c r="E1336" s="1629"/>
      <c r="F1336" s="1629"/>
      <c r="G1336" s="1629"/>
      <c r="H1336" s="1629"/>
      <c r="I1336" s="1629"/>
      <c r="J1336" s="1629"/>
      <c r="K1336" s="1629"/>
      <c r="L1336" s="2411" t="str">
        <f t="shared" si="424"/>
        <v/>
      </c>
      <c r="M1336" s="1643">
        <v>5</v>
      </c>
      <c r="N1336" s="2446"/>
      <c r="O1336" s="2406">
        <f>'Part VIII Scoring Criteria'!O179</f>
        <v>0</v>
      </c>
      <c r="P1336" s="2406"/>
      <c r="Q1336" s="1663"/>
      <c r="R1336" s="2476"/>
      <c r="S1336" s="2387">
        <v>0.5</v>
      </c>
      <c r="T1336" s="2387">
        <v>4.5</v>
      </c>
      <c r="U1336" s="1663"/>
      <c r="V1336" s="1663"/>
      <c r="W1336" s="1663"/>
      <c r="X1336" s="1663"/>
      <c r="Y1336" s="1663"/>
      <c r="Z1336" s="1663"/>
      <c r="AA1336" s="1663"/>
      <c r="AB1336" s="1663"/>
      <c r="AC1336" s="1663"/>
      <c r="AD1336" s="1663"/>
      <c r="AE1336" s="1663"/>
      <c r="AF1336" s="1663"/>
    </row>
    <row r="1337" spans="1:32" ht="15">
      <c r="A1337" s="2418" t="s">
        <v>209</v>
      </c>
      <c r="B1337" s="2401" t="s">
        <v>1915</v>
      </c>
      <c r="C1337" s="1663"/>
      <c r="D1337" s="1663"/>
      <c r="E1337" s="1663"/>
      <c r="F1337" s="2421"/>
      <c r="G1337" s="1663"/>
      <c r="H1337" s="1629"/>
      <c r="I1337" s="1629"/>
      <c r="J1337" s="1663"/>
      <c r="K1337" s="1663"/>
      <c r="L1337" s="2477"/>
      <c r="M1337" s="2555">
        <v>3</v>
      </c>
      <c r="N1337" s="2067"/>
      <c r="O1337" s="1657">
        <f>'Part VIII Scoring Criteria'!O180</f>
        <v>3</v>
      </c>
      <c r="P1337" s="1657">
        <f>'Part VIII Scoring Criteria'!P180</f>
        <v>0</v>
      </c>
      <c r="Q1337" s="1663"/>
      <c r="R1337" s="2476"/>
      <c r="S1337" s="2387">
        <v>1</v>
      </c>
      <c r="T1337" s="2387">
        <v>4</v>
      </c>
      <c r="U1337" s="1663"/>
      <c r="V1337" s="1663"/>
      <c r="W1337" s="1663"/>
      <c r="X1337" s="1663"/>
      <c r="Y1337" s="1663"/>
      <c r="Z1337" s="1663"/>
      <c r="AA1337" s="1663"/>
      <c r="AB1337" s="1663"/>
      <c r="AC1337" s="1663"/>
      <c r="AD1337" s="1663"/>
      <c r="AE1337" s="1663"/>
      <c r="AF1337" s="1663"/>
    </row>
    <row r="1338" spans="1:32" ht="15">
      <c r="A1338" s="2064"/>
      <c r="B1338" s="2478" t="s">
        <v>212</v>
      </c>
      <c r="C1338" s="1629" t="s">
        <v>2290</v>
      </c>
      <c r="D1338" s="1629"/>
      <c r="E1338" s="1629"/>
      <c r="F1338" s="1629"/>
      <c r="G1338" s="1629"/>
      <c r="H1338" s="1629"/>
      <c r="I1338" s="1629"/>
      <c r="J1338" s="1629"/>
      <c r="K1338" s="1629"/>
      <c r="L1338" s="2411" t="str">
        <f t="shared" ref="L1338:L1340" si="425">IF(OR($O1338=$M1338,$O1338=0,$O1338=""),"","* * Check Score! * *")</f>
        <v/>
      </c>
      <c r="M1338" s="1643">
        <v>3</v>
      </c>
      <c r="N1338" s="2446"/>
      <c r="O1338" s="1657">
        <f>'Part VIII Scoring Criteria'!O181</f>
        <v>3</v>
      </c>
      <c r="P1338" s="1657"/>
      <c r="Q1338" s="1658"/>
      <c r="R1338" s="2476" t="s">
        <v>1917</v>
      </c>
      <c r="S1338" s="2387">
        <v>0.25</v>
      </c>
      <c r="T1338" s="2387">
        <v>3</v>
      </c>
      <c r="U1338" s="1663"/>
      <c r="V1338" s="1658"/>
      <c r="W1338" s="1658"/>
      <c r="X1338" s="1658"/>
      <c r="Y1338" s="1658"/>
      <c r="Z1338" s="1658"/>
      <c r="AA1338" s="1658"/>
      <c r="AB1338" s="1658"/>
      <c r="AC1338" s="1658"/>
      <c r="AD1338" s="1658"/>
      <c r="AE1338" s="1658"/>
      <c r="AF1338" s="1658"/>
    </row>
    <row r="1339" spans="1:32" ht="15">
      <c r="A1339" s="2555" t="s">
        <v>338</v>
      </c>
      <c r="B1339" s="2478" t="s">
        <v>220</v>
      </c>
      <c r="C1339" s="1629" t="s">
        <v>2291</v>
      </c>
      <c r="D1339" s="1629"/>
      <c r="E1339" s="1629"/>
      <c r="F1339" s="1629"/>
      <c r="G1339" s="1629"/>
      <c r="H1339" s="1629"/>
      <c r="I1339" s="1629"/>
      <c r="J1339" s="1663"/>
      <c r="K1339" s="1663"/>
      <c r="L1339" s="2411" t="str">
        <f t="shared" si="425"/>
        <v/>
      </c>
      <c r="M1339" s="1643">
        <v>1</v>
      </c>
      <c r="N1339" s="2446"/>
      <c r="O1339" s="1657">
        <f>'Part VIII Scoring Criteria'!O182</f>
        <v>0</v>
      </c>
      <c r="P1339" s="1657"/>
      <c r="Q1339" s="1658"/>
      <c r="R1339" s="2476"/>
      <c r="S1339" s="2387">
        <v>0.5</v>
      </c>
      <c r="T1339" s="2387">
        <v>2</v>
      </c>
      <c r="U1339" s="1663"/>
      <c r="V1339" s="1658"/>
      <c r="W1339" s="1658"/>
      <c r="X1339" s="1658"/>
      <c r="Y1339" s="1658"/>
      <c r="Z1339" s="1658"/>
      <c r="AA1339" s="1658"/>
      <c r="AB1339" s="1658"/>
      <c r="AC1339" s="1658"/>
      <c r="AD1339" s="1658"/>
      <c r="AE1339" s="1658"/>
      <c r="AF1339" s="1658"/>
    </row>
    <row r="1340" spans="1:32" ht="14.1" customHeight="1">
      <c r="A1340" s="2418" t="s">
        <v>338</v>
      </c>
      <c r="B1340" s="2478" t="s">
        <v>224</v>
      </c>
      <c r="C1340" s="1663" t="s">
        <v>2292</v>
      </c>
      <c r="D1340" s="1663"/>
      <c r="E1340" s="1663"/>
      <c r="F1340" s="1663"/>
      <c r="G1340" s="1663"/>
      <c r="H1340" s="1663"/>
      <c r="I1340" s="1663"/>
      <c r="J1340" s="1663"/>
      <c r="K1340" s="1663"/>
      <c r="L1340" s="2411" t="str">
        <f t="shared" si="425"/>
        <v/>
      </c>
      <c r="M1340" s="1662">
        <v>2</v>
      </c>
      <c r="N1340" s="2445"/>
      <c r="O1340" s="1657">
        <f>'Part VIII Scoring Criteria'!O183</f>
        <v>0</v>
      </c>
      <c r="P1340" s="2454"/>
      <c r="Q1340" s="1663"/>
      <c r="R1340" s="2476"/>
      <c r="S1340" s="2387">
        <v>1</v>
      </c>
      <c r="T1340" s="2387">
        <v>1</v>
      </c>
      <c r="U1340" s="1663"/>
      <c r="V1340" s="1663"/>
      <c r="W1340" s="1663"/>
      <c r="X1340" s="1663"/>
      <c r="Y1340" s="1663"/>
      <c r="Z1340" s="1663"/>
      <c r="AA1340" s="1663"/>
      <c r="AB1340" s="1663"/>
      <c r="AC1340" s="1663"/>
      <c r="AD1340" s="1663"/>
      <c r="AE1340" s="1663"/>
      <c r="AF1340" s="1663"/>
    </row>
    <row r="1341" spans="1:32" ht="15">
      <c r="A1341" s="1629"/>
      <c r="B1341" s="2407" t="s">
        <v>2286</v>
      </c>
      <c r="C1341" s="1629"/>
      <c r="D1341" s="1629"/>
      <c r="E1341" s="1629"/>
      <c r="F1341" s="1629"/>
      <c r="G1341" s="1629"/>
      <c r="H1341" s="1629"/>
      <c r="I1341" s="1629"/>
      <c r="J1341" s="1629"/>
      <c r="K1341" s="1629"/>
      <c r="L1341" s="1658"/>
      <c r="M1341" s="1643"/>
      <c r="N1341" s="2556"/>
      <c r="O1341" s="1657"/>
      <c r="P1341" s="2557"/>
      <c r="Q1341" s="1658"/>
      <c r="R1341" s="1658"/>
      <c r="S1341" s="1658"/>
      <c r="T1341" s="1658"/>
      <c r="U1341" s="1658"/>
      <c r="V1341" s="1658"/>
      <c r="W1341" s="1658"/>
      <c r="X1341" s="1658"/>
      <c r="Y1341" s="1658"/>
      <c r="Z1341" s="1658"/>
      <c r="AA1341" s="1658"/>
      <c r="AB1341" s="1658"/>
      <c r="AC1341" s="1658"/>
      <c r="AD1341" s="1658"/>
      <c r="AE1341" s="1658"/>
      <c r="AF1341" s="1658"/>
    </row>
    <row r="1342" spans="1:32" ht="15">
      <c r="A1342" s="2422" t="str">
        <f>'Part VIII Scoring Criteria'!A185</f>
        <v xml:space="preserve">The pedestrian site entrance is located less than 0.25 miles from a CobbLinc Bus Stop.  </v>
      </c>
      <c r="B1342" s="2422"/>
      <c r="C1342" s="2422"/>
      <c r="D1342" s="2422"/>
      <c r="E1342" s="2422"/>
      <c r="F1342" s="2422"/>
      <c r="G1342" s="2422"/>
      <c r="H1342" s="2422"/>
      <c r="I1342" s="2422"/>
      <c r="J1342" s="2422"/>
      <c r="K1342" s="2422"/>
      <c r="L1342" s="2422"/>
      <c r="M1342" s="2422"/>
      <c r="N1342" s="2422"/>
      <c r="O1342" s="2422"/>
      <c r="P1342" s="2422"/>
      <c r="Q1342" s="1628"/>
      <c r="R1342" s="1628"/>
      <c r="S1342" s="1658"/>
      <c r="T1342" s="1658"/>
      <c r="U1342" s="1658"/>
      <c r="V1342" s="1658"/>
      <c r="W1342" s="1658"/>
      <c r="X1342" s="1658"/>
      <c r="Y1342" s="1658"/>
      <c r="Z1342" s="1658"/>
      <c r="AA1342" s="1658"/>
      <c r="AB1342" s="1658"/>
      <c r="AC1342" s="1658"/>
      <c r="AD1342" s="1658"/>
      <c r="AE1342" s="1658"/>
      <c r="AF1342" s="1658"/>
    </row>
    <row r="1343" spans="1:32" ht="15">
      <c r="A1343" s="1629"/>
      <c r="B1343" s="2407" t="s">
        <v>1447</v>
      </c>
      <c r="C1343" s="1629"/>
      <c r="D1343" s="2407"/>
      <c r="E1343" s="1660"/>
      <c r="F1343" s="1660"/>
      <c r="G1343" s="1660"/>
      <c r="H1343" s="1660"/>
      <c r="I1343" s="1660"/>
      <c r="J1343" s="1660"/>
      <c r="K1343" s="1660"/>
      <c r="L1343" s="1660"/>
      <c r="M1343" s="1660"/>
      <c r="N1343" s="1643"/>
      <c r="O1343" s="2555"/>
      <c r="P1343" s="2555"/>
      <c r="Q1343" s="1658"/>
      <c r="R1343" s="1629"/>
      <c r="S1343" s="1629"/>
      <c r="T1343" s="1629"/>
      <c r="U1343" s="1629"/>
      <c r="V1343" s="1629"/>
      <c r="W1343" s="1629"/>
      <c r="X1343" s="1629"/>
      <c r="Y1343" s="1629"/>
      <c r="Z1343" s="1629"/>
      <c r="AA1343" s="1629"/>
      <c r="AB1343" s="1629"/>
      <c r="AC1343" s="1629"/>
      <c r="AD1343" s="1629"/>
      <c r="AE1343" s="1629"/>
      <c r="AF1343" s="1629"/>
    </row>
    <row r="1344" spans="1:32" ht="15">
      <c r="A1344" s="1663"/>
      <c r="B1344" s="1663"/>
      <c r="C1344" s="1663"/>
      <c r="D1344" s="1663"/>
      <c r="E1344" s="1663"/>
      <c r="F1344" s="1663"/>
      <c r="G1344" s="1663"/>
      <c r="H1344" s="1663"/>
      <c r="I1344" s="1663"/>
      <c r="J1344" s="1663"/>
      <c r="K1344" s="1663"/>
      <c r="L1344" s="1663"/>
      <c r="M1344" s="1663"/>
      <c r="N1344" s="1663"/>
      <c r="O1344" s="1663"/>
      <c r="P1344" s="1663"/>
      <c r="Q1344" s="1628"/>
      <c r="R1344" s="1658"/>
      <c r="S1344" s="1658"/>
      <c r="T1344" s="1658"/>
      <c r="U1344" s="1658"/>
      <c r="V1344" s="1658"/>
      <c r="W1344" s="1658"/>
      <c r="X1344" s="1658"/>
      <c r="Y1344" s="1658"/>
      <c r="Z1344" s="1658"/>
      <c r="AA1344" s="1658"/>
      <c r="AB1344" s="1658"/>
      <c r="AC1344" s="1658"/>
      <c r="AD1344" s="1658"/>
      <c r="AE1344" s="1658"/>
      <c r="AF1344" s="1658"/>
    </row>
    <row r="1345" spans="1:32" ht="15">
      <c r="A1345" s="1658"/>
      <c r="B1345" s="1658"/>
      <c r="C1345" s="1658"/>
      <c r="D1345" s="1658"/>
      <c r="E1345" s="1658"/>
      <c r="F1345" s="1658"/>
      <c r="G1345" s="1658"/>
      <c r="H1345" s="1658"/>
      <c r="I1345" s="1658"/>
      <c r="J1345" s="1658"/>
      <c r="K1345" s="1658"/>
      <c r="L1345" s="1658"/>
      <c r="M1345" s="1658"/>
      <c r="N1345" s="2556"/>
      <c r="O1345" s="2557"/>
      <c r="P1345" s="2557"/>
      <c r="Q1345" s="1658"/>
      <c r="R1345" s="1658"/>
      <c r="S1345" s="1658"/>
      <c r="T1345" s="1658"/>
      <c r="U1345" s="1658"/>
      <c r="V1345" s="1658"/>
      <c r="W1345" s="1658"/>
      <c r="X1345" s="1658"/>
      <c r="Y1345" s="1658"/>
      <c r="Z1345" s="1658"/>
      <c r="AA1345" s="1658"/>
      <c r="AB1345" s="1658"/>
      <c r="AC1345" s="1658"/>
      <c r="AD1345" s="1658"/>
      <c r="AE1345" s="1658"/>
      <c r="AF1345" s="1658"/>
    </row>
    <row r="1346" spans="1:32" ht="15">
      <c r="A1346" s="1658"/>
      <c r="B1346" s="1658"/>
      <c r="C1346" s="1658"/>
      <c r="D1346" s="1658"/>
      <c r="E1346" s="1658"/>
      <c r="F1346" s="1658"/>
      <c r="G1346" s="1658"/>
      <c r="H1346" s="1658"/>
      <c r="I1346" s="1658"/>
      <c r="J1346" s="1658"/>
      <c r="K1346" s="1658"/>
      <c r="L1346" s="1658"/>
      <c r="M1346" s="1658"/>
      <c r="N1346" s="2556"/>
      <c r="O1346" s="2557"/>
      <c r="P1346" s="2557"/>
      <c r="Q1346" s="1658"/>
      <c r="R1346" s="1658"/>
      <c r="S1346" s="1658"/>
      <c r="T1346" s="1658"/>
      <c r="U1346" s="1658"/>
      <c r="V1346" s="1658"/>
      <c r="W1346" s="1658"/>
      <c r="X1346" s="1658"/>
      <c r="Y1346" s="1658"/>
      <c r="Z1346" s="1658"/>
      <c r="AA1346" s="1658"/>
      <c r="AB1346" s="1658"/>
      <c r="AC1346" s="1658"/>
      <c r="AD1346" s="1658"/>
      <c r="AE1346" s="1658"/>
      <c r="AF1346" s="1658"/>
    </row>
    <row r="1347" spans="1:32" ht="15">
      <c r="A1347" s="2064" t="s">
        <v>1530</v>
      </c>
      <c r="B1347" s="2065" t="s">
        <v>1921</v>
      </c>
      <c r="C1347" s="1664"/>
      <c r="D1347" s="1664"/>
      <c r="E1347" s="1664"/>
      <c r="F1347" s="1658"/>
      <c r="G1347" s="2555"/>
      <c r="H1347" s="2413"/>
      <c r="I1347" s="1658"/>
      <c r="J1347" s="1658"/>
      <c r="K1347" s="1658"/>
      <c r="L1347" s="2409" t="s">
        <v>1767</v>
      </c>
      <c r="M1347" s="2555">
        <v>3</v>
      </c>
      <c r="N1347" s="1662"/>
      <c r="O1347" s="1657">
        <f>'Part VIII Scoring Criteria'!O190</f>
        <v>2</v>
      </c>
      <c r="P1347" s="1657">
        <f>'Part VIII Scoring Criteria'!P190</f>
        <v>0</v>
      </c>
      <c r="Q1347" s="2410" t="str">
        <f>IF(OR($O1347&lt;=$M1347,$O1347=0,$O1347=""),"","*CHECK!*")</f>
        <v/>
      </c>
      <c r="R1347" s="2413" t="s">
        <v>795</v>
      </c>
      <c r="S1347" s="2555">
        <f>$O$12</f>
        <v>0</v>
      </c>
      <c r="T1347" s="1658"/>
      <c r="U1347" s="1658"/>
      <c r="V1347" s="1658"/>
      <c r="W1347" s="1658"/>
      <c r="X1347" s="1658"/>
      <c r="Y1347" s="1658"/>
      <c r="Z1347" s="1658"/>
      <c r="AA1347" s="1658"/>
      <c r="AB1347" s="1658"/>
      <c r="AC1347" s="1658"/>
      <c r="AD1347" s="1658"/>
      <c r="AE1347" s="1658"/>
      <c r="AF1347" s="1658"/>
    </row>
    <row r="1348" spans="1:32" ht="14.1" customHeight="1">
      <c r="A1348" s="1658"/>
      <c r="B1348" s="2479"/>
      <c r="C1348" s="2479"/>
      <c r="D1348" s="2479"/>
      <c r="E1348" s="2425"/>
      <c r="F1348" s="2425" t="s">
        <v>2293</v>
      </c>
      <c r="G1348" s="2425"/>
      <c r="H1348" s="2425" t="s">
        <v>2294</v>
      </c>
      <c r="I1348" s="2425"/>
      <c r="J1348" s="2425" t="s">
        <v>2295</v>
      </c>
      <c r="K1348" s="2480"/>
      <c r="L1348" s="2425" t="s">
        <v>1925</v>
      </c>
      <c r="M1348" s="2425"/>
      <c r="N1348" s="2425"/>
      <c r="O1348" s="2425"/>
      <c r="P1348" s="2557"/>
      <c r="Q1348" s="1658"/>
      <c r="R1348" s="1658"/>
      <c r="S1348" s="1658"/>
      <c r="T1348" s="1658"/>
      <c r="U1348" s="1658"/>
      <c r="V1348" s="1658"/>
      <c r="W1348" s="1658"/>
      <c r="X1348" s="1658"/>
      <c r="Y1348" s="1658"/>
      <c r="Z1348" s="1658"/>
      <c r="AA1348" s="1658"/>
      <c r="AB1348" s="1658"/>
      <c r="AC1348" s="1658"/>
      <c r="AD1348" s="1658"/>
      <c r="AE1348" s="1658"/>
      <c r="AF1348" s="1658"/>
    </row>
    <row r="1349" spans="1:32" ht="15">
      <c r="A1349" s="1658"/>
      <c r="B1349" s="2479"/>
      <c r="C1349" s="2479"/>
      <c r="D1349" s="2479"/>
      <c r="E1349" s="2425"/>
      <c r="F1349" s="2425"/>
      <c r="G1349" s="2425"/>
      <c r="H1349" s="2425"/>
      <c r="I1349" s="2425"/>
      <c r="J1349" s="2480"/>
      <c r="K1349" s="2480"/>
      <c r="L1349" s="2425"/>
      <c r="M1349" s="2425"/>
      <c r="N1349" s="2425"/>
      <c r="O1349" s="2425"/>
      <c r="P1349" s="2557"/>
      <c r="Q1349" s="1658"/>
      <c r="R1349" s="1658"/>
      <c r="S1349" s="1658"/>
      <c r="T1349" s="1658"/>
      <c r="U1349" s="1658"/>
      <c r="V1349" s="1658"/>
      <c r="W1349" s="1658"/>
      <c r="X1349" s="1658"/>
      <c r="Y1349" s="1658"/>
      <c r="Z1349" s="1658"/>
      <c r="AA1349" s="1658"/>
      <c r="AB1349" s="1658"/>
      <c r="AC1349" s="1658"/>
      <c r="AD1349" s="1658"/>
      <c r="AE1349" s="1658"/>
      <c r="AF1349" s="1658"/>
    </row>
    <row r="1350" spans="1:32" ht="15">
      <c r="A1350" s="1658"/>
      <c r="B1350" s="2481" t="s">
        <v>1926</v>
      </c>
      <c r="C1350" s="2482"/>
      <c r="D1350" s="2425"/>
      <c r="E1350" s="2425"/>
      <c r="F1350" s="2425"/>
      <c r="G1350" s="2425"/>
      <c r="H1350" s="2425"/>
      <c r="I1350" s="2425"/>
      <c r="J1350" s="2480"/>
      <c r="K1350" s="2480"/>
      <c r="L1350" s="2425"/>
      <c r="M1350" s="2425"/>
      <c r="N1350" s="2425"/>
      <c r="O1350" s="2425"/>
      <c r="P1350" s="2557"/>
      <c r="Q1350" s="1658"/>
      <c r="R1350" s="1658"/>
      <c r="S1350" s="1658"/>
      <c r="T1350" s="1658"/>
      <c r="U1350" s="1658"/>
      <c r="V1350" s="1658"/>
      <c r="W1350" s="1658"/>
      <c r="X1350" s="1658"/>
      <c r="Y1350" s="1658"/>
      <c r="Z1350" s="1658"/>
      <c r="AA1350" s="1658"/>
      <c r="AB1350" s="1658"/>
      <c r="AC1350" s="1658"/>
      <c r="AD1350" s="1658"/>
      <c r="AE1350" s="1658"/>
      <c r="AF1350" s="1658"/>
    </row>
    <row r="1351" spans="1:32" ht="15">
      <c r="A1351" s="1658"/>
      <c r="B1351" s="1629" t="str">
        <f>'Part VIII Scoring Criteria'!B194</f>
        <v>Austell Elementary</v>
      </c>
      <c r="C1351" s="1629"/>
      <c r="D1351" s="1629"/>
      <c r="E1351" s="1629"/>
      <c r="F1351" s="1629" t="str">
        <f>'Part VIII Scoring Criteria'!F194</f>
        <v>No</v>
      </c>
      <c r="G1351" s="1629"/>
      <c r="H1351" s="1629" t="str">
        <f>'Part VIII Scoring Criteria'!H194</f>
        <v>Yes</v>
      </c>
      <c r="I1351" s="1629"/>
      <c r="J1351" s="1629" t="str">
        <f>'Part VIII Scoring Criteria'!J194</f>
        <v>Yes</v>
      </c>
      <c r="K1351" s="1629"/>
      <c r="L1351" s="1628" t="str">
        <f>'Part VIII Scoring Criteria'!L194</f>
        <v>Yes</v>
      </c>
      <c r="M1351" s="1628"/>
      <c r="N1351" s="1628"/>
      <c r="O1351" s="1628"/>
      <c r="P1351" s="2555"/>
      <c r="Q1351" s="1658"/>
      <c r="R1351" s="1658"/>
      <c r="S1351" s="1658"/>
      <c r="T1351" s="1658"/>
      <c r="U1351" s="1658"/>
      <c r="V1351" s="1658"/>
      <c r="W1351" s="1658"/>
      <c r="X1351" s="1658"/>
      <c r="Y1351" s="1658"/>
      <c r="Z1351" s="1658"/>
      <c r="AA1351" s="1658"/>
      <c r="AB1351" s="1658"/>
      <c r="AC1351" s="1658"/>
      <c r="AD1351" s="1658"/>
      <c r="AE1351" s="1658"/>
      <c r="AF1351" s="1658"/>
    </row>
    <row r="1352" spans="1:32" ht="15">
      <c r="A1352" s="1658"/>
      <c r="B1352" s="1629" t="str">
        <f>'Part VIII Scoring Criteria'!B195</f>
        <v xml:space="preserve">Garrett Middle </v>
      </c>
      <c r="C1352" s="1629"/>
      <c r="D1352" s="1629"/>
      <c r="E1352" s="1629"/>
      <c r="F1352" s="1629" t="str">
        <f>'Part VIII Scoring Criteria'!F195</f>
        <v>No</v>
      </c>
      <c r="G1352" s="1629"/>
      <c r="H1352" s="1629" t="str">
        <f>'Part VIII Scoring Criteria'!H195</f>
        <v>Yes</v>
      </c>
      <c r="I1352" s="1629"/>
      <c r="J1352" s="1629" t="str">
        <f>'Part VIII Scoring Criteria'!J195</f>
        <v>Yes</v>
      </c>
      <c r="K1352" s="1629"/>
      <c r="L1352" s="1628" t="str">
        <f>'Part VIII Scoring Criteria'!L195</f>
        <v>Yes</v>
      </c>
      <c r="M1352" s="1628"/>
      <c r="N1352" s="1628"/>
      <c r="O1352" s="1628"/>
      <c r="P1352" s="2555"/>
      <c r="Q1352" s="1658"/>
      <c r="R1352" s="1658"/>
      <c r="S1352" s="1658"/>
      <c r="T1352" s="1658"/>
      <c r="U1352" s="1658"/>
      <c r="V1352" s="1658"/>
      <c r="W1352" s="1658"/>
      <c r="X1352" s="1658"/>
      <c r="Y1352" s="1658"/>
      <c r="Z1352" s="1658"/>
      <c r="AA1352" s="1658"/>
      <c r="AB1352" s="1658"/>
      <c r="AC1352" s="1658"/>
      <c r="AD1352" s="1658"/>
      <c r="AE1352" s="1658"/>
      <c r="AF1352" s="1658"/>
    </row>
    <row r="1353" spans="1:32" ht="15">
      <c r="A1353" s="1658"/>
      <c r="B1353" s="1629" t="str">
        <f>'Part VIII Scoring Criteria'!B196</f>
        <v>South Cobb High</v>
      </c>
      <c r="C1353" s="1629"/>
      <c r="D1353" s="1629"/>
      <c r="E1353" s="1629"/>
      <c r="F1353" s="1629" t="str">
        <f>'Part VIII Scoring Criteria'!F196</f>
        <v>Yes</v>
      </c>
      <c r="G1353" s="1629"/>
      <c r="H1353" s="1629" t="str">
        <f>'Part VIII Scoring Criteria'!H196</f>
        <v>Yes</v>
      </c>
      <c r="I1353" s="1629"/>
      <c r="J1353" s="1629" t="str">
        <f>'Part VIII Scoring Criteria'!J196</f>
        <v>Yes</v>
      </c>
      <c r="K1353" s="1629"/>
      <c r="L1353" s="1628" t="str">
        <f>'Part VIII Scoring Criteria'!L196</f>
        <v>Yes</v>
      </c>
      <c r="M1353" s="1628"/>
      <c r="N1353" s="1628"/>
      <c r="O1353" s="1628"/>
      <c r="P1353" s="2555"/>
      <c r="Q1353" s="1658"/>
      <c r="R1353" s="1658"/>
      <c r="S1353" s="1658"/>
      <c r="T1353" s="1658"/>
      <c r="U1353" s="1658"/>
      <c r="V1353" s="1658"/>
      <c r="W1353" s="1658"/>
      <c r="X1353" s="1658"/>
      <c r="Y1353" s="1658"/>
      <c r="Z1353" s="1658"/>
      <c r="AA1353" s="1658"/>
      <c r="AB1353" s="1658"/>
      <c r="AC1353" s="1658"/>
      <c r="AD1353" s="1658"/>
      <c r="AE1353" s="1658"/>
      <c r="AF1353" s="1658"/>
    </row>
    <row r="1354" spans="1:32" ht="15">
      <c r="A1354" s="1658"/>
      <c r="B1354" s="1629">
        <f>'Part VIII Scoring Criteria'!B197</f>
        <v>0</v>
      </c>
      <c r="C1354" s="1629"/>
      <c r="D1354" s="1629"/>
      <c r="E1354" s="1629"/>
      <c r="F1354" s="1629">
        <f>'Part VIII Scoring Criteria'!F197</f>
        <v>0</v>
      </c>
      <c r="G1354" s="1629"/>
      <c r="H1354" s="1629">
        <f>'Part VIII Scoring Criteria'!H197</f>
        <v>0</v>
      </c>
      <c r="I1354" s="1629"/>
      <c r="J1354" s="1629">
        <f>'Part VIII Scoring Criteria'!J197</f>
        <v>0</v>
      </c>
      <c r="K1354" s="1629"/>
      <c r="L1354" s="1628">
        <f>'Part VIII Scoring Criteria'!L197</f>
        <v>0</v>
      </c>
      <c r="M1354" s="1628"/>
      <c r="N1354" s="1628"/>
      <c r="O1354" s="1628"/>
      <c r="P1354" s="2555"/>
      <c r="Q1354" s="1658"/>
      <c r="R1354" s="1658"/>
      <c r="S1354" s="1658"/>
      <c r="T1354" s="1658"/>
      <c r="U1354" s="1658"/>
      <c r="V1354" s="1658"/>
      <c r="W1354" s="1658"/>
      <c r="X1354" s="1658"/>
      <c r="Y1354" s="1658"/>
      <c r="Z1354" s="1658"/>
      <c r="AA1354" s="1658"/>
      <c r="AB1354" s="1658"/>
      <c r="AC1354" s="1658"/>
      <c r="AD1354" s="1658"/>
      <c r="AE1354" s="1658"/>
      <c r="AF1354" s="1658"/>
    </row>
    <row r="1355" spans="1:32" ht="15">
      <c r="A1355" s="1658"/>
      <c r="B1355" s="1629">
        <f>'Part VIII Scoring Criteria'!B198</f>
        <v>0</v>
      </c>
      <c r="C1355" s="1629"/>
      <c r="D1355" s="1629"/>
      <c r="E1355" s="1629"/>
      <c r="F1355" s="1629">
        <f>'Part VIII Scoring Criteria'!F198</f>
        <v>0</v>
      </c>
      <c r="G1355" s="1629"/>
      <c r="H1355" s="1629">
        <f>'Part VIII Scoring Criteria'!H198</f>
        <v>0</v>
      </c>
      <c r="I1355" s="1629"/>
      <c r="J1355" s="1629">
        <f>'Part VIII Scoring Criteria'!J198</f>
        <v>0</v>
      </c>
      <c r="K1355" s="1629"/>
      <c r="L1355" s="1628">
        <f>'Part VIII Scoring Criteria'!L198</f>
        <v>0</v>
      </c>
      <c r="M1355" s="1628"/>
      <c r="N1355" s="1628"/>
      <c r="O1355" s="1628"/>
      <c r="P1355" s="2555"/>
      <c r="Q1355" s="1658"/>
      <c r="R1355" s="1658"/>
      <c r="S1355" s="1658"/>
      <c r="T1355" s="1658"/>
      <c r="U1355" s="1658"/>
      <c r="V1355" s="1658"/>
      <c r="W1355" s="1658"/>
      <c r="X1355" s="1658"/>
      <c r="Y1355" s="1658"/>
      <c r="Z1355" s="1658"/>
      <c r="AA1355" s="1658"/>
      <c r="AB1355" s="1658"/>
      <c r="AC1355" s="1658"/>
      <c r="AD1355" s="1658"/>
      <c r="AE1355" s="1658"/>
      <c r="AF1355" s="1658"/>
    </row>
    <row r="1356" spans="1:32" ht="15">
      <c r="A1356" s="1658"/>
      <c r="B1356" s="1629">
        <f>'Part VIII Scoring Criteria'!B199</f>
        <v>0</v>
      </c>
      <c r="C1356" s="1629"/>
      <c r="D1356" s="1629"/>
      <c r="E1356" s="1629"/>
      <c r="F1356" s="1629">
        <f>'Part VIII Scoring Criteria'!F199</f>
        <v>0</v>
      </c>
      <c r="G1356" s="1629"/>
      <c r="H1356" s="1629">
        <f>'Part VIII Scoring Criteria'!H199</f>
        <v>0</v>
      </c>
      <c r="I1356" s="1629"/>
      <c r="J1356" s="1629">
        <f>'Part VIII Scoring Criteria'!J199</f>
        <v>0</v>
      </c>
      <c r="K1356" s="1629"/>
      <c r="L1356" s="1628">
        <f>'Part VIII Scoring Criteria'!L199</f>
        <v>0</v>
      </c>
      <c r="M1356" s="1628"/>
      <c r="N1356" s="1628"/>
      <c r="O1356" s="1628"/>
      <c r="P1356" s="2555"/>
      <c r="Q1356" s="1658"/>
      <c r="R1356" s="1658"/>
      <c r="S1356" s="1658"/>
      <c r="T1356" s="1658"/>
      <c r="U1356" s="1658"/>
      <c r="V1356" s="1658"/>
      <c r="W1356" s="1658"/>
      <c r="X1356" s="1658"/>
      <c r="Y1356" s="1658"/>
      <c r="Z1356" s="1658"/>
      <c r="AA1356" s="1658"/>
      <c r="AB1356" s="1658"/>
      <c r="AC1356" s="1658"/>
      <c r="AD1356" s="1658"/>
      <c r="AE1356" s="1658"/>
      <c r="AF1356" s="1658"/>
    </row>
    <row r="1357" spans="1:32" ht="15">
      <c r="A1357" s="1629"/>
      <c r="B1357" s="2407" t="s">
        <v>2286</v>
      </c>
      <c r="C1357" s="1629"/>
      <c r="D1357" s="1629"/>
      <c r="E1357" s="1629"/>
      <c r="F1357" s="1629"/>
      <c r="G1357" s="1629"/>
      <c r="H1357" s="1629"/>
      <c r="I1357" s="1629"/>
      <c r="J1357" s="1629"/>
      <c r="K1357" s="1629"/>
      <c r="L1357" s="1658"/>
      <c r="M1357" s="1643"/>
      <c r="N1357" s="2556"/>
      <c r="O1357" s="1657"/>
      <c r="P1357" s="2557"/>
      <c r="Q1357" s="1658"/>
      <c r="R1357" s="1658"/>
      <c r="S1357" s="1658"/>
      <c r="T1357" s="1658"/>
      <c r="U1357" s="1658"/>
      <c r="V1357" s="1658"/>
      <c r="W1357" s="1658"/>
      <c r="X1357" s="1658"/>
      <c r="Y1357" s="1658"/>
      <c r="Z1357" s="1658"/>
      <c r="AA1357" s="1658"/>
      <c r="AB1357" s="1658"/>
      <c r="AC1357" s="1658"/>
      <c r="AD1357" s="1658"/>
      <c r="AE1357" s="1658"/>
      <c r="AF1357" s="1658"/>
    </row>
    <row r="1358" spans="1:32" ht="15">
      <c r="A1358" s="2422" t="str">
        <f>'Part VIII Scoring Criteria'!A201</f>
        <v xml:space="preserve">Finley Place is in the Cobb County School District.  Specifically, the site has attendance zone for Austell Elementary, Garrett Middle, and South Cobb High.  Collectively they serve grades K thru 12.  All 3 schools have meet the "Beating the Odds" designation in 2018 or later as well as meetign the criteria in Option C.  Therefore, as a HFOP tenancy, is eligible for 2.0 points.  School District Maps are labeled from 2013-2014, however they reflect the current attendance zones from Cobb County School District website.    </v>
      </c>
      <c r="B1358" s="2422"/>
      <c r="C1358" s="2422"/>
      <c r="D1358" s="2422"/>
      <c r="E1358" s="2422"/>
      <c r="F1358" s="2422"/>
      <c r="G1358" s="2422"/>
      <c r="H1358" s="2422"/>
      <c r="I1358" s="2422"/>
      <c r="J1358" s="2422"/>
      <c r="K1358" s="2422"/>
      <c r="L1358" s="2422"/>
      <c r="M1358" s="2422"/>
      <c r="N1358" s="2422"/>
      <c r="O1358" s="2422"/>
      <c r="P1358" s="2422"/>
      <c r="Q1358" s="1628"/>
      <c r="R1358" s="1658"/>
      <c r="S1358" s="1658"/>
      <c r="T1358" s="1658"/>
      <c r="U1358" s="1658"/>
      <c r="V1358" s="1658"/>
      <c r="W1358" s="1658"/>
      <c r="X1358" s="1658"/>
      <c r="Y1358" s="1658"/>
      <c r="Z1358" s="1658"/>
      <c r="AA1358" s="1658"/>
      <c r="AB1358" s="1658"/>
      <c r="AC1358" s="1658"/>
      <c r="AD1358" s="1658"/>
      <c r="AE1358" s="1658"/>
      <c r="AF1358" s="1658"/>
    </row>
    <row r="1359" spans="1:32" ht="15">
      <c r="A1359" s="1629"/>
      <c r="B1359" s="2422" t="s">
        <v>1447</v>
      </c>
      <c r="C1359" s="1629"/>
      <c r="D1359" s="2422"/>
      <c r="E1359" s="1664"/>
      <c r="F1359" s="1664"/>
      <c r="G1359" s="1664"/>
      <c r="H1359" s="1664"/>
      <c r="I1359" s="1664"/>
      <c r="J1359" s="1664"/>
      <c r="K1359" s="1664"/>
      <c r="L1359" s="1664"/>
      <c r="M1359" s="1664"/>
      <c r="N1359" s="1662"/>
      <c r="O1359" s="2418"/>
      <c r="P1359" s="2555"/>
      <c r="Q1359" s="1658"/>
      <c r="R1359" s="1658"/>
      <c r="S1359" s="1658"/>
      <c r="T1359" s="1658"/>
      <c r="U1359" s="1658"/>
      <c r="V1359" s="1658"/>
      <c r="W1359" s="1658"/>
      <c r="X1359" s="1658"/>
      <c r="Y1359" s="1658"/>
      <c r="Z1359" s="1658"/>
      <c r="AA1359" s="1658"/>
      <c r="AB1359" s="1658"/>
      <c r="AC1359" s="1658"/>
      <c r="AD1359" s="1658"/>
      <c r="AE1359" s="1658"/>
      <c r="AF1359" s="1658"/>
    </row>
    <row r="1360" spans="1:32" ht="15">
      <c r="A1360" s="1663"/>
      <c r="B1360" s="1663"/>
      <c r="C1360" s="1663"/>
      <c r="D1360" s="1663"/>
      <c r="E1360" s="1663"/>
      <c r="F1360" s="1663"/>
      <c r="G1360" s="1663"/>
      <c r="H1360" s="1663"/>
      <c r="I1360" s="1663"/>
      <c r="J1360" s="1663"/>
      <c r="K1360" s="1663"/>
      <c r="L1360" s="1663"/>
      <c r="M1360" s="1663"/>
      <c r="N1360" s="1663"/>
      <c r="O1360" s="1663"/>
      <c r="P1360" s="1663"/>
      <c r="Q1360" s="1628"/>
      <c r="R1360" s="1658"/>
      <c r="S1360" s="1658"/>
      <c r="T1360" s="1658"/>
      <c r="U1360" s="1659"/>
      <c r="V1360" s="1658"/>
      <c r="W1360" s="1658"/>
      <c r="X1360" s="1658"/>
      <c r="Y1360" s="1658"/>
      <c r="Z1360" s="1658"/>
      <c r="AA1360" s="1658"/>
      <c r="AB1360" s="1658"/>
      <c r="AC1360" s="1658"/>
      <c r="AD1360" s="1658"/>
      <c r="AE1360" s="1658"/>
      <c r="AF1360" s="1658"/>
    </row>
    <row r="1361" spans="1:32" ht="15">
      <c r="A1361" s="1658"/>
      <c r="B1361" s="1658"/>
      <c r="C1361" s="1658"/>
      <c r="D1361" s="1658"/>
      <c r="E1361" s="1658"/>
      <c r="F1361" s="1658"/>
      <c r="G1361" s="1658"/>
      <c r="H1361" s="1658"/>
      <c r="I1361" s="1658"/>
      <c r="J1361" s="1658"/>
      <c r="K1361" s="1658"/>
      <c r="L1361" s="1658"/>
      <c r="M1361" s="1658"/>
      <c r="N1361" s="2556"/>
      <c r="O1361" s="2557"/>
      <c r="P1361" s="2557"/>
      <c r="Q1361" s="1658"/>
      <c r="R1361" s="1658"/>
      <c r="S1361" s="1658"/>
      <c r="T1361" s="1658"/>
      <c r="U1361" s="1658"/>
      <c r="V1361" s="1658"/>
      <c r="W1361" s="1658"/>
      <c r="X1361" s="1658"/>
      <c r="Y1361" s="1658"/>
      <c r="Z1361" s="1658"/>
      <c r="AA1361" s="1658"/>
      <c r="AB1361" s="1658"/>
      <c r="AC1361" s="1658"/>
      <c r="AD1361" s="1658"/>
      <c r="AE1361" s="1658"/>
      <c r="AF1361" s="1658"/>
    </row>
    <row r="1362" spans="1:32" ht="15">
      <c r="A1362" s="1658"/>
      <c r="B1362" s="1658"/>
      <c r="C1362" s="1658"/>
      <c r="D1362" s="1658"/>
      <c r="E1362" s="1658"/>
      <c r="F1362" s="1658"/>
      <c r="G1362" s="1658"/>
      <c r="H1362" s="1658"/>
      <c r="I1362" s="1658"/>
      <c r="J1362" s="1658"/>
      <c r="K1362" s="1658"/>
      <c r="L1362" s="1658"/>
      <c r="M1362" s="1658"/>
      <c r="N1362" s="2556"/>
      <c r="O1362" s="2557"/>
      <c r="P1362" s="2557"/>
      <c r="Q1362" s="1658"/>
      <c r="R1362" s="1658"/>
      <c r="S1362" s="1658"/>
      <c r="T1362" s="1658"/>
      <c r="U1362" s="1658"/>
      <c r="V1362" s="1658"/>
      <c r="W1362" s="1658"/>
      <c r="X1362" s="1658"/>
      <c r="Y1362" s="1658"/>
      <c r="Z1362" s="1658"/>
      <c r="AA1362" s="1658"/>
      <c r="AB1362" s="1658"/>
      <c r="AC1362" s="1658"/>
      <c r="AD1362" s="1658"/>
      <c r="AE1362" s="1658"/>
      <c r="AF1362" s="1658"/>
    </row>
    <row r="1363" spans="1:32" ht="15">
      <c r="A1363" s="2064" t="s">
        <v>1536</v>
      </c>
      <c r="B1363" s="2065" t="s">
        <v>1931</v>
      </c>
      <c r="C1363" s="1629"/>
      <c r="D1363" s="2065"/>
      <c r="E1363" s="2065"/>
      <c r="F1363" s="1629"/>
      <c r="G1363" s="1629"/>
      <c r="H1363" s="1629"/>
      <c r="I1363" s="1629"/>
      <c r="J1363" s="1629"/>
      <c r="K1363" s="2441"/>
      <c r="L1363" s="2409" t="s">
        <v>1767</v>
      </c>
      <c r="M1363" s="2555">
        <v>10</v>
      </c>
      <c r="N1363" s="1643"/>
      <c r="O1363" s="2406">
        <f>'Part VIII Scoring Criteria'!O206</f>
        <v>0</v>
      </c>
      <c r="P1363" s="2406">
        <f>'Part VIII Scoring Criteria'!P206</f>
        <v>0</v>
      </c>
      <c r="Q1363" s="2555" t="s">
        <v>795</v>
      </c>
      <c r="R1363" s="2483" t="s">
        <v>1932</v>
      </c>
      <c r="S1363" s="1628"/>
      <c r="T1363" s="1628"/>
      <c r="U1363" s="1628"/>
      <c r="V1363" s="2479">
        <f>$C$16</f>
        <v>0</v>
      </c>
      <c r="W1363" s="1629"/>
      <c r="X1363" s="1629"/>
      <c r="Y1363" s="1629"/>
      <c r="Z1363" s="1629"/>
      <c r="AA1363" s="1629"/>
      <c r="AB1363" s="1629"/>
      <c r="AC1363" s="1629"/>
      <c r="AD1363" s="1629"/>
      <c r="AE1363" s="1629"/>
      <c r="AF1363" s="1629"/>
    </row>
    <row r="1364" spans="1:32" ht="15">
      <c r="A1364" s="2064"/>
      <c r="B1364" s="2065"/>
      <c r="C1364" s="1629"/>
      <c r="D1364" s="2065"/>
      <c r="E1364" s="2065"/>
      <c r="F1364" s="1660" t="s">
        <v>2296</v>
      </c>
      <c r="G1364" s="1629"/>
      <c r="H1364" s="1629"/>
      <c r="I1364" s="1629"/>
      <c r="J1364" s="1629"/>
      <c r="K1364" s="1629"/>
      <c r="L1364" s="2071"/>
      <c r="M1364" s="2555"/>
      <c r="N1364" s="1643"/>
      <c r="O1364" s="1657">
        <f>'Part VIII Scoring Criteria'!O207</f>
        <v>0</v>
      </c>
      <c r="P1364" s="1657">
        <f>'Part VIII Scoring Criteria'!P207</f>
        <v>0</v>
      </c>
      <c r="Q1364" s="2555"/>
      <c r="R1364" s="2413"/>
      <c r="S1364" s="1628"/>
      <c r="T1364" s="1628"/>
      <c r="U1364" s="1628"/>
      <c r="V1364" s="1658"/>
      <c r="W1364" s="1658"/>
      <c r="X1364" s="1658"/>
      <c r="Y1364" s="1629"/>
      <c r="Z1364" s="1629"/>
      <c r="AA1364" s="1629"/>
      <c r="AB1364" s="1629"/>
      <c r="AC1364" s="1629"/>
      <c r="AD1364" s="1629"/>
      <c r="AE1364" s="1629"/>
      <c r="AF1364" s="1629"/>
    </row>
    <row r="1365" spans="1:32" ht="15">
      <c r="A1365" s="2555"/>
      <c r="B1365" s="1629" t="s">
        <v>2297</v>
      </c>
      <c r="C1365" s="1658"/>
      <c r="D1365" s="1628"/>
      <c r="E1365" s="1628"/>
      <c r="F1365" s="1628"/>
      <c r="G1365" s="1628"/>
      <c r="H1365" s="1628"/>
      <c r="I1365" s="1628"/>
      <c r="J1365" s="1628"/>
      <c r="K1365" s="1628"/>
      <c r="L1365" s="1628"/>
      <c r="M1365" s="1658"/>
      <c r="N1365" s="2556"/>
      <c r="O1365" s="2557"/>
      <c r="P1365" s="2557"/>
      <c r="Q1365" s="2410" t="str">
        <f>IF(OR($O1370=$M1370,$O1370=0,$O1370=""),"","*CHECK!*")</f>
        <v/>
      </c>
      <c r="R1365" s="2413"/>
      <c r="S1365" s="1628"/>
      <c r="T1365" s="1628"/>
      <c r="U1365" s="1628"/>
      <c r="V1365" s="1658"/>
      <c r="W1365" s="1658"/>
      <c r="X1365" s="1658"/>
      <c r="Y1365" s="1658"/>
      <c r="Z1365" s="1658"/>
      <c r="AA1365" s="1658"/>
      <c r="AB1365" s="1658"/>
      <c r="AC1365" s="1658"/>
      <c r="AD1365" s="1658"/>
      <c r="AE1365" s="1658"/>
      <c r="AF1365" s="1658"/>
    </row>
    <row r="1366" spans="1:32" ht="14.1" customHeight="1">
      <c r="A1366" s="2557"/>
      <c r="B1366" s="2067"/>
      <c r="C1366" s="1663" t="s">
        <v>1935</v>
      </c>
      <c r="D1366" s="1663"/>
      <c r="E1366" s="1663"/>
      <c r="F1366" s="1663"/>
      <c r="G1366" s="1663"/>
      <c r="H1366" s="1663"/>
      <c r="I1366" s="1663"/>
      <c r="J1366" s="1663"/>
      <c r="K1366" s="1663"/>
      <c r="L1366" s="2419"/>
      <c r="M1366" s="1658"/>
      <c r="N1366" s="2481" t="str">
        <f>'Part VIII Scoring Criteria'!N209</f>
        <v>&lt;Page # from Plan&gt;</v>
      </c>
      <c r="O1366" s="2481"/>
      <c r="P1366" s="2481"/>
      <c r="Q1366" s="1658"/>
      <c r="R1366" s="1658"/>
      <c r="S1366" s="1628"/>
      <c r="T1366" s="1628"/>
      <c r="U1366" s="1628"/>
      <c r="V1366" s="1658"/>
      <c r="W1366" s="1658"/>
      <c r="X1366" s="1658"/>
      <c r="Y1366" s="1658"/>
      <c r="Z1366" s="1658"/>
      <c r="AA1366" s="1658"/>
      <c r="AB1366" s="1658"/>
      <c r="AC1366" s="1658"/>
      <c r="AD1366" s="1658"/>
      <c r="AE1366" s="1658"/>
      <c r="AF1366" s="1658"/>
    </row>
    <row r="1367" spans="1:32" ht="14.1" customHeight="1">
      <c r="A1367" s="1643"/>
      <c r="B1367" s="2067"/>
      <c r="C1367" s="1629" t="s">
        <v>1937</v>
      </c>
      <c r="D1367" s="1629"/>
      <c r="E1367" s="1629"/>
      <c r="F1367" s="1629"/>
      <c r="G1367" s="1629"/>
      <c r="H1367" s="1629"/>
      <c r="I1367" s="1629"/>
      <c r="J1367" s="1629"/>
      <c r="K1367" s="1629"/>
      <c r="L1367" s="2067"/>
      <c r="M1367" s="1629"/>
      <c r="N1367" s="2481" t="str">
        <f>'Part VIII Scoring Criteria'!N210</f>
        <v>&lt;Page # from Plan&gt;</v>
      </c>
      <c r="O1367" s="2481"/>
      <c r="P1367" s="2481"/>
      <c r="Q1367" s="1629"/>
      <c r="R1367" s="1629"/>
      <c r="S1367" s="1628"/>
      <c r="T1367" s="1628"/>
      <c r="U1367" s="1628"/>
      <c r="V1367" s="1629"/>
      <c r="W1367" s="1629"/>
      <c r="X1367" s="1629"/>
      <c r="Y1367" s="1629"/>
      <c r="Z1367" s="1629"/>
      <c r="AA1367" s="1629"/>
      <c r="AB1367" s="1629"/>
      <c r="AC1367" s="1629"/>
      <c r="AD1367" s="1629"/>
      <c r="AE1367" s="1629"/>
      <c r="AF1367" s="1629"/>
    </row>
    <row r="1368" spans="1:32" ht="14.45" customHeight="1">
      <c r="A1368" s="1643"/>
      <c r="B1368" s="2067"/>
      <c r="C1368" s="1629" t="s">
        <v>1938</v>
      </c>
      <c r="D1368" s="1629"/>
      <c r="E1368" s="1629"/>
      <c r="F1368" s="1629"/>
      <c r="G1368" s="1629"/>
      <c r="H1368" s="1629"/>
      <c r="I1368" s="1629"/>
      <c r="J1368" s="1629"/>
      <c r="K1368" s="1629"/>
      <c r="L1368" s="2067"/>
      <c r="M1368" s="1629"/>
      <c r="N1368" s="2481" t="str">
        <f>'Part VIII Scoring Criteria'!N211</f>
        <v>&lt;Page # from Plan&gt;</v>
      </c>
      <c r="O1368" s="2481"/>
      <c r="P1368" s="2481"/>
      <c r="Q1368" s="1643"/>
      <c r="R1368" s="1629"/>
      <c r="S1368" s="1628"/>
      <c r="T1368" s="1628"/>
      <c r="U1368" s="1628"/>
      <c r="V1368" s="1643"/>
      <c r="W1368" s="1629"/>
      <c r="X1368" s="1629"/>
      <c r="Y1368" s="1629"/>
      <c r="Z1368" s="1629"/>
      <c r="AA1368" s="1629"/>
      <c r="AB1368" s="1629"/>
      <c r="AC1368" s="1629"/>
      <c r="AD1368" s="1629"/>
      <c r="AE1368" s="1629"/>
      <c r="AF1368" s="1629"/>
    </row>
    <row r="1369" spans="1:32" ht="15">
      <c r="A1369" s="2555" t="s">
        <v>197</v>
      </c>
      <c r="B1369" s="2413" t="s">
        <v>1939</v>
      </c>
      <c r="C1369" s="1629"/>
      <c r="D1369" s="1629"/>
      <c r="E1369" s="1629"/>
      <c r="F1369" s="1629"/>
      <c r="G1369" s="1629"/>
      <c r="H1369" s="1629"/>
      <c r="I1369" s="1629"/>
      <c r="J1369" s="1629"/>
      <c r="K1369" s="1629"/>
      <c r="L1369" s="2441" t="s">
        <v>1767</v>
      </c>
      <c r="M1369" s="1643">
        <v>6</v>
      </c>
      <c r="N1369" s="2067"/>
      <c r="O1369" s="1657">
        <f>'Part VIII Scoring Criteria'!O212</f>
        <v>0</v>
      </c>
      <c r="P1369" s="1657">
        <f>'Part VIII Scoring Criteria'!P212</f>
        <v>0</v>
      </c>
      <c r="Q1369" s="1643"/>
      <c r="R1369" s="1629"/>
      <c r="S1369" s="1628"/>
      <c r="T1369" s="1628"/>
      <c r="U1369" s="1628"/>
      <c r="V1369" s="1643"/>
      <c r="W1369" s="1629"/>
      <c r="X1369" s="1629"/>
      <c r="Y1369" s="1629"/>
      <c r="Z1369" s="1629"/>
      <c r="AA1369" s="1629"/>
      <c r="AB1369" s="1629"/>
      <c r="AC1369" s="1629"/>
      <c r="AD1369" s="1629"/>
      <c r="AE1369" s="1629"/>
      <c r="AF1369" s="1629"/>
    </row>
    <row r="1370" spans="1:32" ht="15">
      <c r="A1370" s="2557"/>
      <c r="B1370" s="2413" t="s">
        <v>1940</v>
      </c>
      <c r="C1370" s="1658"/>
      <c r="D1370" s="1663"/>
      <c r="E1370" s="1663"/>
      <c r="F1370" s="1663"/>
      <c r="G1370" s="1663"/>
      <c r="H1370" s="1663"/>
      <c r="I1370" s="1663"/>
      <c r="J1370" s="1658"/>
      <c r="K1370" s="1643"/>
      <c r="L1370" s="2411" t="str">
        <f t="shared" ref="L1370:L1371" si="426">IF(OR($O1370=$M1370,$O1370=0,$O1370=""),"","* * Check Score! * *")</f>
        <v/>
      </c>
      <c r="M1370" s="1643">
        <v>2</v>
      </c>
      <c r="N1370" s="2419"/>
      <c r="O1370" s="1657">
        <f>'Part VIII Scoring Criteria'!O213</f>
        <v>0</v>
      </c>
      <c r="P1370" s="1657"/>
      <c r="Q1370" s="1658"/>
      <c r="R1370" s="1628"/>
      <c r="S1370" s="1628"/>
      <c r="T1370" s="1628"/>
      <c r="U1370" s="1628"/>
      <c r="V1370" s="1658"/>
      <c r="W1370" s="1658"/>
      <c r="X1370" s="1658"/>
      <c r="Y1370" s="1658"/>
      <c r="Z1370" s="1658"/>
      <c r="AA1370" s="1658"/>
      <c r="AB1370" s="1658"/>
      <c r="AC1370" s="1658"/>
      <c r="AD1370" s="1658"/>
      <c r="AE1370" s="1658"/>
      <c r="AF1370" s="1658"/>
    </row>
    <row r="1371" spans="1:32" ht="15">
      <c r="A1371" s="2555"/>
      <c r="B1371" s="1658" t="s">
        <v>2298</v>
      </c>
      <c r="C1371" s="1658"/>
      <c r="D1371" s="2401"/>
      <c r="E1371" s="2401"/>
      <c r="F1371" s="2401"/>
      <c r="G1371" s="2401"/>
      <c r="H1371" s="2401"/>
      <c r="I1371" s="2401"/>
      <c r="J1371" s="2401"/>
      <c r="K1371" s="2401"/>
      <c r="L1371" s="2411" t="str">
        <f t="shared" si="426"/>
        <v/>
      </c>
      <c r="M1371" s="1643">
        <v>1</v>
      </c>
      <c r="N1371" s="2067"/>
      <c r="O1371" s="1657">
        <f>'Part VIII Scoring Criteria'!O214</f>
        <v>0</v>
      </c>
      <c r="P1371" s="1657"/>
      <c r="Q1371" s="2410" t="str">
        <f>IF(OR($O1371=$M1371,$O1371=0,$O1371=""),"","*CHECK!*")</f>
        <v/>
      </c>
      <c r="R1371" s="2413"/>
      <c r="S1371" s="1658"/>
      <c r="T1371" s="1658"/>
      <c r="U1371" s="1658"/>
      <c r="V1371" s="1658"/>
      <c r="W1371" s="1658"/>
      <c r="X1371" s="1658"/>
      <c r="Y1371" s="1658"/>
      <c r="Z1371" s="1658"/>
      <c r="AA1371" s="1658"/>
      <c r="AB1371" s="1658"/>
      <c r="AC1371" s="1658"/>
      <c r="AD1371" s="1658"/>
      <c r="AE1371" s="1658"/>
      <c r="AF1371" s="1658"/>
    </row>
    <row r="1372" spans="1:32" ht="15">
      <c r="A1372" s="2557"/>
      <c r="B1372" s="2413" t="s">
        <v>1942</v>
      </c>
      <c r="C1372" s="1658"/>
      <c r="D1372" s="1663"/>
      <c r="E1372" s="1663"/>
      <c r="F1372" s="1663"/>
      <c r="G1372" s="1663"/>
      <c r="H1372" s="1663"/>
      <c r="I1372" s="1663"/>
      <c r="J1372" s="1658"/>
      <c r="K1372" s="1643"/>
      <c r="L1372" s="2441" t="s">
        <v>1767</v>
      </c>
      <c r="M1372" s="1643">
        <v>3</v>
      </c>
      <c r="N1372" s="1658"/>
      <c r="O1372" s="1657">
        <f>'Part VIII Scoring Criteria'!O215</f>
        <v>0</v>
      </c>
      <c r="P1372" s="1657">
        <f>'Part VIII Scoring Criteria'!P215</f>
        <v>0</v>
      </c>
      <c r="Q1372" s="1658"/>
      <c r="R1372" s="1628"/>
      <c r="S1372" s="1628"/>
      <c r="T1372" s="1628"/>
      <c r="U1372" s="1628"/>
      <c r="V1372" s="1658"/>
      <c r="W1372" s="1658"/>
      <c r="X1372" s="1658"/>
      <c r="Y1372" s="1658"/>
      <c r="Z1372" s="1658"/>
      <c r="AA1372" s="1658"/>
      <c r="AB1372" s="1658"/>
      <c r="AC1372" s="1658"/>
      <c r="AD1372" s="1658"/>
      <c r="AE1372" s="1658"/>
      <c r="AF1372" s="1658"/>
    </row>
    <row r="1373" spans="1:32" ht="15">
      <c r="A1373" s="1643"/>
      <c r="B1373" s="2415"/>
      <c r="C1373" s="1664" t="s">
        <v>1943</v>
      </c>
      <c r="D1373" s="1664"/>
      <c r="E1373" s="1664"/>
      <c r="F1373" s="1664"/>
      <c r="G1373" s="1664"/>
      <c r="H1373" s="1664"/>
      <c r="I1373" s="1664"/>
      <c r="J1373" s="1664"/>
      <c r="K1373" s="1664"/>
      <c r="L1373" s="1664"/>
      <c r="M1373" s="1643">
        <v>3</v>
      </c>
      <c r="N1373" s="1662"/>
      <c r="O1373" s="1657">
        <f>'Part VIII Scoring Criteria'!O216</f>
        <v>0</v>
      </c>
      <c r="P1373" s="1657">
        <f>'Part VIII Scoring Criteria'!P216</f>
        <v>0</v>
      </c>
      <c r="Q1373" s="1658"/>
      <c r="R1373" s="1658"/>
      <c r="S1373" s="1658"/>
      <c r="T1373" s="1658"/>
      <c r="U1373" s="1658"/>
      <c r="V1373" s="1658"/>
      <c r="W1373" s="1658"/>
      <c r="X1373" s="1658"/>
      <c r="Y1373" s="1658"/>
      <c r="Z1373" s="1658"/>
      <c r="AA1373" s="1658"/>
      <c r="AB1373" s="1658"/>
      <c r="AC1373" s="1658"/>
      <c r="AD1373" s="1658"/>
      <c r="AE1373" s="1658"/>
      <c r="AF1373" s="1658"/>
    </row>
    <row r="1374" spans="1:32" ht="15">
      <c r="A1374" s="2555"/>
      <c r="B1374" s="1658"/>
      <c r="C1374" s="2409"/>
      <c r="D1374" s="1663" t="s">
        <v>1944</v>
      </c>
      <c r="E1374" s="1663"/>
      <c r="F1374" s="1663"/>
      <c r="G1374" s="1663"/>
      <c r="H1374" s="1663"/>
      <c r="I1374" s="1663"/>
      <c r="J1374" s="1663"/>
      <c r="K1374" s="1663"/>
      <c r="L1374" s="1663"/>
      <c r="M1374" s="1662"/>
      <c r="N1374" s="2419"/>
      <c r="O1374" s="1657">
        <f>'Part VIII Scoring Criteria'!O217</f>
        <v>0</v>
      </c>
      <c r="P1374" s="1657"/>
      <c r="Q1374" s="2410"/>
      <c r="R1374" s="2413"/>
      <c r="S1374" s="1658"/>
      <c r="T1374" s="1658"/>
      <c r="U1374" s="1658"/>
      <c r="V1374" s="1658"/>
      <c r="W1374" s="1658"/>
      <c r="X1374" s="1658"/>
      <c r="Y1374" s="1658"/>
      <c r="Z1374" s="1658"/>
      <c r="AA1374" s="1658"/>
      <c r="AB1374" s="1658"/>
      <c r="AC1374" s="1658"/>
      <c r="AD1374" s="1658"/>
      <c r="AE1374" s="1658"/>
      <c r="AF1374" s="1658"/>
    </row>
    <row r="1375" spans="1:32" ht="15">
      <c r="A1375" s="2555"/>
      <c r="B1375" s="1658"/>
      <c r="C1375" s="2409"/>
      <c r="D1375" s="1663" t="s">
        <v>1945</v>
      </c>
      <c r="E1375" s="1663"/>
      <c r="F1375" s="1663"/>
      <c r="G1375" s="1663"/>
      <c r="H1375" s="1663"/>
      <c r="I1375" s="1663"/>
      <c r="J1375" s="1663"/>
      <c r="K1375" s="1663"/>
      <c r="L1375" s="1663"/>
      <c r="M1375" s="1662"/>
      <c r="N1375" s="2419"/>
      <c r="O1375" s="1657">
        <f>'Part VIII Scoring Criteria'!O218</f>
        <v>0</v>
      </c>
      <c r="P1375" s="2454"/>
      <c r="Q1375" s="2410" t="str">
        <f>IF(OR($O1375=$M1375,$O1375=0,$O1375=""),"","*CHECK!*")</f>
        <v/>
      </c>
      <c r="R1375" s="2413"/>
      <c r="S1375" s="1658"/>
      <c r="T1375" s="1658"/>
      <c r="U1375" s="1658"/>
      <c r="V1375" s="1658"/>
      <c r="W1375" s="1658"/>
      <c r="X1375" s="1658"/>
      <c r="Y1375" s="1658"/>
      <c r="Z1375" s="1658"/>
      <c r="AA1375" s="1658"/>
      <c r="AB1375" s="1658"/>
      <c r="AC1375" s="1658"/>
      <c r="AD1375" s="1658"/>
      <c r="AE1375" s="1658"/>
      <c r="AF1375" s="1658"/>
    </row>
    <row r="1376" spans="1:32" ht="15">
      <c r="A1376" s="2555"/>
      <c r="B1376" s="2415"/>
      <c r="C1376" s="2409"/>
      <c r="D1376" s="1663" t="s">
        <v>1946</v>
      </c>
      <c r="E1376" s="1663"/>
      <c r="F1376" s="1663"/>
      <c r="G1376" s="1663"/>
      <c r="H1376" s="1663"/>
      <c r="I1376" s="1663"/>
      <c r="J1376" s="1663"/>
      <c r="K1376" s="1663"/>
      <c r="L1376" s="1663"/>
      <c r="M1376" s="1662"/>
      <c r="N1376" s="2419"/>
      <c r="O1376" s="1657">
        <f>'Part VIII Scoring Criteria'!O219</f>
        <v>0</v>
      </c>
      <c r="P1376" s="2454"/>
      <c r="Q1376" s="2410" t="str">
        <f>IF(OR($O1376=$M1376,$O1376=0,$O1376=""),"","*CHECK!*")</f>
        <v/>
      </c>
      <c r="R1376" s="2413"/>
      <c r="S1376" s="1658"/>
      <c r="T1376" s="1658"/>
      <c r="U1376" s="1658"/>
      <c r="V1376" s="1658"/>
      <c r="W1376" s="1658"/>
      <c r="X1376" s="1658"/>
      <c r="Y1376" s="1658"/>
      <c r="Z1376" s="1658"/>
      <c r="AA1376" s="1658"/>
      <c r="AB1376" s="1658"/>
      <c r="AC1376" s="1658"/>
      <c r="AD1376" s="1658"/>
      <c r="AE1376" s="1658"/>
      <c r="AF1376" s="1658"/>
    </row>
    <row r="1377" spans="1:32" ht="15">
      <c r="A1377" s="1643"/>
      <c r="B1377" s="1658"/>
      <c r="C1377" s="1664" t="s">
        <v>1947</v>
      </c>
      <c r="D1377" s="1658"/>
      <c r="E1377" s="1664"/>
      <c r="F1377" s="1664"/>
      <c r="G1377" s="1664"/>
      <c r="H1377" s="1664"/>
      <c r="I1377" s="1664"/>
      <c r="J1377" s="1664"/>
      <c r="K1377" s="1664"/>
      <c r="L1377" s="2411" t="str">
        <f t="shared" ref="L1377:L1378" si="427">IF(OR($O1377=$M1377,$O1377=0,$O1377=""),"","* * Check Score! * *")</f>
        <v/>
      </c>
      <c r="M1377" s="1643">
        <v>1</v>
      </c>
      <c r="N1377" s="1662"/>
      <c r="O1377" s="1657">
        <f>'Part VIII Scoring Criteria'!O220</f>
        <v>0</v>
      </c>
      <c r="P1377" s="1657"/>
      <c r="Q1377" s="1658"/>
      <c r="R1377" s="1658"/>
      <c r="S1377" s="1658"/>
      <c r="T1377" s="1658"/>
      <c r="U1377" s="1658"/>
      <c r="V1377" s="1658"/>
      <c r="W1377" s="1658"/>
      <c r="X1377" s="1658"/>
      <c r="Y1377" s="1658"/>
      <c r="Z1377" s="1658"/>
      <c r="AA1377" s="1658"/>
      <c r="AB1377" s="1658"/>
      <c r="AC1377" s="1658"/>
      <c r="AD1377" s="1658"/>
      <c r="AE1377" s="1658"/>
      <c r="AF1377" s="1658"/>
    </row>
    <row r="1378" spans="1:32" ht="15">
      <c r="A1378" s="1643"/>
      <c r="B1378" s="1658"/>
      <c r="C1378" s="1664" t="s">
        <v>1948</v>
      </c>
      <c r="D1378" s="1658"/>
      <c r="E1378" s="1664"/>
      <c r="F1378" s="1664"/>
      <c r="G1378" s="1664"/>
      <c r="H1378" s="1664"/>
      <c r="I1378" s="1664"/>
      <c r="J1378" s="1664"/>
      <c r="K1378" s="1664"/>
      <c r="L1378" s="2411" t="str">
        <f t="shared" si="427"/>
        <v/>
      </c>
      <c r="M1378" s="1643">
        <v>2</v>
      </c>
      <c r="N1378" s="1662"/>
      <c r="O1378" s="1657">
        <f>'Part VIII Scoring Criteria'!O221</f>
        <v>0</v>
      </c>
      <c r="P1378" s="1657"/>
      <c r="Q1378" s="1658"/>
      <c r="R1378" s="1658"/>
      <c r="S1378" s="1658"/>
      <c r="T1378" s="1658"/>
      <c r="U1378" s="1658"/>
      <c r="V1378" s="1658"/>
      <c r="W1378" s="1658"/>
      <c r="X1378" s="1658"/>
      <c r="Y1378" s="1658"/>
      <c r="Z1378" s="1658"/>
      <c r="AA1378" s="1658"/>
      <c r="AB1378" s="1658"/>
      <c r="AC1378" s="1658"/>
      <c r="AD1378" s="1658"/>
      <c r="AE1378" s="1658"/>
      <c r="AF1378" s="1658"/>
    </row>
    <row r="1379" spans="1:32" ht="15">
      <c r="A1379" s="2555" t="s">
        <v>209</v>
      </c>
      <c r="B1379" s="1628" t="s">
        <v>1949</v>
      </c>
      <c r="C1379" s="1664"/>
      <c r="D1379" s="1664"/>
      <c r="E1379" s="1664"/>
      <c r="F1379" s="1664"/>
      <c r="G1379" s="1664"/>
      <c r="H1379" s="1664"/>
      <c r="I1379" s="1664"/>
      <c r="J1379" s="1664"/>
      <c r="K1379" s="1664"/>
      <c r="L1379" s="2441" t="s">
        <v>1767</v>
      </c>
      <c r="M1379" s="2555">
        <v>3</v>
      </c>
      <c r="N1379" s="1662"/>
      <c r="O1379" s="1657">
        <f>'Part VIII Scoring Criteria'!O222</f>
        <v>0</v>
      </c>
      <c r="P1379" s="1657">
        <f>'Part VIII Scoring Criteria'!P222</f>
        <v>0</v>
      </c>
      <c r="Q1379" s="2555"/>
      <c r="R1379" s="2413"/>
      <c r="S1379" s="1658"/>
      <c r="T1379" s="1658"/>
      <c r="U1379" s="1658"/>
      <c r="V1379" s="1658"/>
      <c r="W1379" s="1658"/>
      <c r="X1379" s="1658"/>
      <c r="Y1379" s="1658"/>
      <c r="Z1379" s="1658"/>
      <c r="AA1379" s="1658"/>
      <c r="AB1379" s="1658"/>
      <c r="AC1379" s="1658"/>
      <c r="AD1379" s="1658"/>
      <c r="AE1379" s="1658"/>
      <c r="AF1379" s="1658"/>
    </row>
    <row r="1380" spans="1:32" ht="15">
      <c r="A1380" s="2555"/>
      <c r="B1380" s="1629" t="s">
        <v>1950</v>
      </c>
      <c r="C1380" s="1664"/>
      <c r="D1380" s="1664"/>
      <c r="E1380" s="1664"/>
      <c r="F1380" s="1664"/>
      <c r="G1380" s="1664"/>
      <c r="H1380" s="1664"/>
      <c r="I1380" s="1664"/>
      <c r="J1380" s="1664"/>
      <c r="K1380" s="1664"/>
      <c r="L1380" s="2441"/>
      <c r="M1380" s="2555"/>
      <c r="N1380" s="1662"/>
      <c r="O1380" s="2454">
        <f>'Part VIII Scoring Criteria'!O223</f>
        <v>0</v>
      </c>
      <c r="P1380" s="2454"/>
      <c r="Q1380" s="2555"/>
      <c r="R1380" s="2413"/>
      <c r="S1380" s="1658"/>
      <c r="T1380" s="1658"/>
      <c r="U1380" s="1658"/>
      <c r="V1380" s="1658"/>
      <c r="W1380" s="1658"/>
      <c r="X1380" s="1658"/>
      <c r="Y1380" s="1658"/>
      <c r="Z1380" s="1658"/>
      <c r="AA1380" s="1658"/>
      <c r="AB1380" s="1658"/>
      <c r="AC1380" s="1658"/>
      <c r="AD1380" s="1658"/>
      <c r="AE1380" s="1658"/>
      <c r="AF1380" s="1658"/>
    </row>
    <row r="1381" spans="1:32" ht="15">
      <c r="A1381" s="2064"/>
      <c r="B1381" s="2484" t="s">
        <v>212</v>
      </c>
      <c r="C1381" s="1664" t="s">
        <v>1951</v>
      </c>
      <c r="D1381" s="1664"/>
      <c r="E1381" s="1664"/>
      <c r="F1381" s="1664"/>
      <c r="G1381" s="1664"/>
      <c r="H1381" s="1664"/>
      <c r="I1381" s="1658"/>
      <c r="J1381" s="1658"/>
      <c r="K1381" s="1658"/>
      <c r="L1381" s="2441" t="s">
        <v>1767</v>
      </c>
      <c r="M1381" s="1643">
        <v>3</v>
      </c>
      <c r="N1381" s="1662"/>
      <c r="O1381" s="1657">
        <f>'Part VIII Scoring Criteria'!O224</f>
        <v>0</v>
      </c>
      <c r="P1381" s="1657">
        <f>'Part VIII Scoring Criteria'!P224</f>
        <v>0</v>
      </c>
      <c r="Q1381" s="2555"/>
      <c r="R1381" s="2413"/>
      <c r="S1381" s="1658"/>
      <c r="T1381" s="1658"/>
      <c r="U1381" s="1658"/>
      <c r="V1381" s="1658"/>
      <c r="W1381" s="1658"/>
      <c r="X1381" s="1658"/>
      <c r="Y1381" s="1658"/>
      <c r="Z1381" s="1658"/>
      <c r="AA1381" s="1658"/>
      <c r="AB1381" s="1658"/>
      <c r="AC1381" s="1658"/>
      <c r="AD1381" s="1658"/>
      <c r="AE1381" s="1658"/>
      <c r="AF1381" s="1658"/>
    </row>
    <row r="1382" spans="1:32" ht="15">
      <c r="A1382" s="1658"/>
      <c r="B1382" s="2415" t="s">
        <v>214</v>
      </c>
      <c r="C1382" s="1658" t="s">
        <v>1952</v>
      </c>
      <c r="D1382" s="1658"/>
      <c r="E1382" s="1658"/>
      <c r="F1382" s="1658"/>
      <c r="G1382" s="1658"/>
      <c r="H1382" s="1658"/>
      <c r="I1382" s="1658"/>
      <c r="J1382" s="1658"/>
      <c r="K1382" s="1658"/>
      <c r="L1382" s="2411" t="str">
        <f>IF(OR($O1382=$M1382,$O1382=0,$O1382=""),"","* * Check Score! * *")</f>
        <v/>
      </c>
      <c r="M1382" s="2556">
        <v>1</v>
      </c>
      <c r="N1382" s="2556"/>
      <c r="O1382" s="1657">
        <f>'Part VIII Scoring Criteria'!O225</f>
        <v>0</v>
      </c>
      <c r="P1382" s="1657"/>
      <c r="Q1382" s="1658"/>
      <c r="R1382" s="1658"/>
      <c r="S1382" s="1658"/>
      <c r="T1382" s="1658"/>
      <c r="U1382" s="1658"/>
      <c r="V1382" s="1658"/>
      <c r="W1382" s="1658"/>
      <c r="X1382" s="1658"/>
      <c r="Y1382" s="1658"/>
      <c r="Z1382" s="1658"/>
      <c r="AA1382" s="1658"/>
      <c r="AB1382" s="1658"/>
      <c r="AC1382" s="1658"/>
      <c r="AD1382" s="1658"/>
      <c r="AE1382" s="1658"/>
      <c r="AF1382" s="1658"/>
    </row>
    <row r="1383" spans="1:32" ht="15">
      <c r="A1383" s="1658"/>
      <c r="B1383" s="2415" t="s">
        <v>217</v>
      </c>
      <c r="C1383" s="1658" t="s">
        <v>1953</v>
      </c>
      <c r="D1383" s="1658"/>
      <c r="E1383" s="1658"/>
      <c r="F1383" s="1658"/>
      <c r="G1383" s="1658"/>
      <c r="H1383" s="1658"/>
      <c r="I1383" s="1658"/>
      <c r="J1383" s="1658"/>
      <c r="K1383" s="1658"/>
      <c r="L1383" s="2411" t="str">
        <f t="shared" ref="L1383" si="428">IF(OR($O1383=$M1383,$O1383=0,$O1383=""),"","* * Check Score! * *")</f>
        <v/>
      </c>
      <c r="M1383" s="2556">
        <v>1</v>
      </c>
      <c r="N1383" s="2556"/>
      <c r="O1383" s="1657">
        <f>'Part VIII Scoring Criteria'!O226</f>
        <v>0</v>
      </c>
      <c r="P1383" s="1657"/>
      <c r="Q1383" s="1658"/>
      <c r="R1383" s="1658"/>
      <c r="S1383" s="1658"/>
      <c r="T1383" s="1658"/>
      <c r="U1383" s="1658"/>
      <c r="V1383" s="1658"/>
      <c r="W1383" s="1658"/>
      <c r="X1383" s="1658"/>
      <c r="Y1383" s="1658"/>
      <c r="Z1383" s="1658"/>
      <c r="AA1383" s="1658"/>
      <c r="AB1383" s="1658"/>
      <c r="AC1383" s="1658"/>
      <c r="AD1383" s="1658"/>
      <c r="AE1383" s="1658"/>
      <c r="AF1383" s="1658"/>
    </row>
    <row r="1384" spans="1:32" ht="15">
      <c r="A1384" s="1658"/>
      <c r="B1384" s="2415" t="s">
        <v>219</v>
      </c>
      <c r="C1384" s="1658" t="s">
        <v>1954</v>
      </c>
      <c r="D1384" s="1658"/>
      <c r="E1384" s="1658"/>
      <c r="F1384" s="1658"/>
      <c r="G1384" s="1658"/>
      <c r="H1384" s="1658"/>
      <c r="I1384" s="1658"/>
      <c r="J1384" s="1658"/>
      <c r="K1384" s="1658"/>
      <c r="L1384" s="2411"/>
      <c r="M1384" s="2556">
        <v>1</v>
      </c>
      <c r="N1384" s="2556"/>
      <c r="O1384" s="1657">
        <f>'Part VIII Scoring Criteria'!O227</f>
        <v>0</v>
      </c>
      <c r="P1384" s="1657"/>
      <c r="Q1384" s="1658"/>
      <c r="R1384" s="1658"/>
      <c r="S1384" s="1658"/>
      <c r="T1384" s="1658"/>
      <c r="U1384" s="1658"/>
      <c r="V1384" s="1658"/>
      <c r="W1384" s="1658"/>
      <c r="X1384" s="1658"/>
      <c r="Y1384" s="1658"/>
      <c r="Z1384" s="1658"/>
      <c r="AA1384" s="1658"/>
      <c r="AB1384" s="1658"/>
      <c r="AC1384" s="1658"/>
      <c r="AD1384" s="1658"/>
      <c r="AE1384" s="1658"/>
      <c r="AF1384" s="1658"/>
    </row>
    <row r="1385" spans="1:32" ht="15">
      <c r="A1385" s="2064"/>
      <c r="B1385" s="2414" t="s">
        <v>220</v>
      </c>
      <c r="C1385" s="1629" t="s">
        <v>1955</v>
      </c>
      <c r="D1385" s="2441"/>
      <c r="E1385" s="1664"/>
      <c r="F1385" s="1664"/>
      <c r="G1385" s="1664"/>
      <c r="H1385" s="1664"/>
      <c r="I1385" s="1658"/>
      <c r="J1385" s="1658"/>
      <c r="K1385" s="1658"/>
      <c r="L1385" s="1658"/>
      <c r="M1385" s="1643">
        <v>2</v>
      </c>
      <c r="N1385" s="2485" t="str">
        <f>IF(OR(O$265&gt;0,O$238&gt;0),"Applicant is ineligible for points in this section!  Points claimed in Stable Communities or Community Designations.","")</f>
        <v>Applicant is ineligible for points in this section!  Points claimed in Stable Communities or Community Designations.</v>
      </c>
      <c r="O1385" s="1657">
        <f>'Part VIII Scoring Criteria'!O228</f>
        <v>0</v>
      </c>
      <c r="P1385" s="1657"/>
      <c r="Q1385" s="2555"/>
      <c r="R1385" s="1628"/>
      <c r="S1385" s="1628"/>
      <c r="T1385" s="1628"/>
      <c r="U1385" s="1628"/>
      <c r="V1385" s="1658"/>
      <c r="W1385" s="1658"/>
      <c r="X1385" s="1658"/>
      <c r="Y1385" s="1658"/>
      <c r="Z1385" s="1658"/>
      <c r="AA1385" s="1658"/>
      <c r="AB1385" s="1658"/>
      <c r="AC1385" s="1658"/>
      <c r="AD1385" s="1658"/>
      <c r="AE1385" s="1658"/>
      <c r="AF1385" s="1658"/>
    </row>
    <row r="1386" spans="1:32" ht="15">
      <c r="A1386" s="2555" t="s">
        <v>230</v>
      </c>
      <c r="B1386" s="1628" t="s">
        <v>1956</v>
      </c>
      <c r="C1386" s="1658"/>
      <c r="D1386" s="1629"/>
      <c r="E1386" s="1658"/>
      <c r="F1386" s="2486"/>
      <c r="G1386" s="1658"/>
      <c r="H1386" s="1658"/>
      <c r="I1386" s="1658"/>
      <c r="J1386" s="1658"/>
      <c r="K1386" s="2071"/>
      <c r="L1386" s="2441" t="s">
        <v>1767</v>
      </c>
      <c r="M1386" s="2555">
        <v>3</v>
      </c>
      <c r="N1386" s="2067"/>
      <c r="O1386" s="2406">
        <f>'Part VIII Scoring Criteria'!O229</f>
        <v>0</v>
      </c>
      <c r="P1386" s="2406">
        <f>'Part VIII Scoring Criteria'!P229</f>
        <v>0</v>
      </c>
      <c r="Q1386" s="2412"/>
      <c r="R1386" s="2413"/>
      <c r="S1386" s="1658"/>
      <c r="T1386" s="1658"/>
      <c r="U1386" s="1658"/>
      <c r="V1386" s="1658"/>
      <c r="W1386" s="1658"/>
      <c r="X1386" s="1658"/>
      <c r="Y1386" s="1658"/>
      <c r="Z1386" s="1658"/>
      <c r="AA1386" s="1658"/>
      <c r="AB1386" s="1658"/>
      <c r="AC1386" s="1658"/>
      <c r="AD1386" s="1658"/>
      <c r="AE1386" s="1658"/>
      <c r="AF1386" s="1658"/>
    </row>
    <row r="1387" spans="1:32" ht="15">
      <c r="A1387" s="1629"/>
      <c r="B1387" s="2484" t="s">
        <v>212</v>
      </c>
      <c r="C1387" s="1664" t="s">
        <v>1957</v>
      </c>
      <c r="D1387" s="1664"/>
      <c r="E1387" s="1664"/>
      <c r="F1387" s="1664"/>
      <c r="G1387" s="1664"/>
      <c r="H1387" s="1664"/>
      <c r="I1387" s="1664"/>
      <c r="J1387" s="1664"/>
      <c r="K1387" s="1664"/>
      <c r="L1387" s="2441" t="s">
        <v>1767</v>
      </c>
      <c r="M1387" s="1662">
        <v>2</v>
      </c>
      <c r="N1387" s="1662"/>
      <c r="O1387" s="2406">
        <f>'Part VIII Scoring Criteria'!O230</f>
        <v>0</v>
      </c>
      <c r="P1387" s="1657"/>
      <c r="Q1387" s="1658"/>
      <c r="R1387" s="1658"/>
      <c r="S1387" s="1658"/>
      <c r="T1387" s="1658"/>
      <c r="U1387" s="1658"/>
      <c r="V1387" s="1658"/>
      <c r="W1387" s="1658"/>
      <c r="X1387" s="1658"/>
      <c r="Y1387" s="1658"/>
      <c r="Z1387" s="1658"/>
      <c r="AA1387" s="1658"/>
      <c r="AB1387" s="1658"/>
      <c r="AC1387" s="1658"/>
      <c r="AD1387" s="1658"/>
      <c r="AE1387" s="1658"/>
      <c r="AF1387" s="1658"/>
    </row>
    <row r="1388" spans="1:32" ht="15">
      <c r="A1388" s="1629"/>
      <c r="B1388" s="2414" t="s">
        <v>220</v>
      </c>
      <c r="C1388" s="1664" t="s">
        <v>1958</v>
      </c>
      <c r="D1388" s="1664"/>
      <c r="E1388" s="1664"/>
      <c r="F1388" s="1664"/>
      <c r="G1388" s="1664"/>
      <c r="H1388" s="1664"/>
      <c r="I1388" s="1664"/>
      <c r="J1388" s="1664"/>
      <c r="K1388" s="1664"/>
      <c r="L1388" s="1664"/>
      <c r="M1388" s="1662">
        <v>1</v>
      </c>
      <c r="N1388" s="1662"/>
      <c r="O1388" s="2406">
        <f>'Part VIII Scoring Criteria'!O231</f>
        <v>0</v>
      </c>
      <c r="P1388" s="1657"/>
      <c r="Q1388" s="1658"/>
      <c r="R1388" s="1658"/>
      <c r="S1388" s="1658"/>
      <c r="T1388" s="1658"/>
      <c r="U1388" s="1658"/>
      <c r="V1388" s="1658"/>
      <c r="W1388" s="1658"/>
      <c r="X1388" s="1658"/>
      <c r="Y1388" s="1658"/>
      <c r="Z1388" s="1658"/>
      <c r="AA1388" s="1658"/>
      <c r="AB1388" s="1658"/>
      <c r="AC1388" s="1658"/>
      <c r="AD1388" s="1658"/>
      <c r="AE1388" s="1658"/>
      <c r="AF1388" s="1658"/>
    </row>
    <row r="1389" spans="1:32" ht="15">
      <c r="A1389" s="1629"/>
      <c r="B1389" s="2407" t="s">
        <v>2286</v>
      </c>
      <c r="C1389" s="1629"/>
      <c r="D1389" s="1629"/>
      <c r="E1389" s="1629"/>
      <c r="F1389" s="1629"/>
      <c r="G1389" s="1629"/>
      <c r="H1389" s="1629"/>
      <c r="I1389" s="1629"/>
      <c r="J1389" s="1629"/>
      <c r="K1389" s="1629"/>
      <c r="L1389" s="1658"/>
      <c r="M1389" s="1643"/>
      <c r="N1389" s="2556"/>
      <c r="O1389" s="1657"/>
      <c r="P1389" s="2557"/>
      <c r="Q1389" s="1629"/>
      <c r="R1389" s="1629"/>
      <c r="S1389" s="1629"/>
      <c r="T1389" s="1629"/>
      <c r="U1389" s="1629"/>
      <c r="V1389" s="1629"/>
      <c r="W1389" s="1629"/>
      <c r="X1389" s="1629"/>
      <c r="Y1389" s="1629"/>
      <c r="Z1389" s="1629"/>
      <c r="AA1389" s="1629"/>
      <c r="AB1389" s="1629"/>
      <c r="AC1389" s="1629"/>
      <c r="AD1389" s="1629"/>
      <c r="AE1389" s="1629"/>
      <c r="AF1389" s="1629"/>
    </row>
    <row r="1390" spans="1:32" ht="15">
      <c r="A1390" s="2422" t="str">
        <f>'Part VIII Scoring Criteria'!A233</f>
        <v>N/A - Claiming Stable Communities Points</v>
      </c>
      <c r="B1390" s="2422"/>
      <c r="C1390" s="2422"/>
      <c r="D1390" s="2422"/>
      <c r="E1390" s="2422"/>
      <c r="F1390" s="2422"/>
      <c r="G1390" s="2422"/>
      <c r="H1390" s="2422"/>
      <c r="I1390" s="2422"/>
      <c r="J1390" s="2422"/>
      <c r="K1390" s="2422"/>
      <c r="L1390" s="2422"/>
      <c r="M1390" s="2422"/>
      <c r="N1390" s="2422"/>
      <c r="O1390" s="2422"/>
      <c r="P1390" s="2422"/>
      <c r="Q1390" s="1628"/>
      <c r="R1390" s="1658"/>
      <c r="S1390" s="1658"/>
      <c r="T1390" s="1658"/>
      <c r="U1390" s="1658"/>
      <c r="V1390" s="1658"/>
      <c r="W1390" s="1658"/>
      <c r="X1390" s="1658"/>
      <c r="Y1390" s="1658"/>
      <c r="Z1390" s="1658"/>
      <c r="AA1390" s="1658"/>
      <c r="AB1390" s="1658"/>
      <c r="AC1390" s="1658"/>
      <c r="AD1390" s="1658"/>
      <c r="AE1390" s="1658"/>
      <c r="AF1390" s="1658"/>
    </row>
    <row r="1391" spans="1:32" ht="15">
      <c r="A1391" s="1629"/>
      <c r="B1391" s="2407" t="s">
        <v>1447</v>
      </c>
      <c r="C1391" s="1629"/>
      <c r="D1391" s="2407"/>
      <c r="E1391" s="1660"/>
      <c r="F1391" s="1660"/>
      <c r="G1391" s="1660"/>
      <c r="H1391" s="1660"/>
      <c r="I1391" s="1660"/>
      <c r="J1391" s="1660"/>
      <c r="K1391" s="1660"/>
      <c r="L1391" s="1660"/>
      <c r="M1391" s="1660"/>
      <c r="N1391" s="1643"/>
      <c r="O1391" s="2555"/>
      <c r="P1391" s="2555"/>
      <c r="Q1391" s="1658"/>
      <c r="R1391" s="1629"/>
      <c r="S1391" s="1629"/>
      <c r="T1391" s="1629"/>
      <c r="U1391" s="1629"/>
      <c r="V1391" s="1629"/>
      <c r="W1391" s="1629"/>
      <c r="X1391" s="1629"/>
      <c r="Y1391" s="1629"/>
      <c r="Z1391" s="1629"/>
      <c r="AA1391" s="1629"/>
      <c r="AB1391" s="1629"/>
      <c r="AC1391" s="1629"/>
      <c r="AD1391" s="1629"/>
      <c r="AE1391" s="1629"/>
      <c r="AF1391" s="1629"/>
    </row>
    <row r="1392" spans="1:32" ht="15">
      <c r="A1392" s="1663"/>
      <c r="B1392" s="1663"/>
      <c r="C1392" s="1663"/>
      <c r="D1392" s="1663"/>
      <c r="E1392" s="1663"/>
      <c r="F1392" s="1663"/>
      <c r="G1392" s="1663"/>
      <c r="H1392" s="1663"/>
      <c r="I1392" s="1663"/>
      <c r="J1392" s="1663"/>
      <c r="K1392" s="1663"/>
      <c r="L1392" s="1663"/>
      <c r="M1392" s="1663"/>
      <c r="N1392" s="1663"/>
      <c r="O1392" s="1663"/>
      <c r="P1392" s="1663"/>
      <c r="Q1392" s="1628"/>
      <c r="R1392" s="1658"/>
      <c r="S1392" s="1658"/>
      <c r="T1392" s="1658"/>
      <c r="U1392" s="1658"/>
      <c r="V1392" s="1658"/>
      <c r="W1392" s="1658"/>
      <c r="X1392" s="1658"/>
      <c r="Y1392" s="1658"/>
      <c r="Z1392" s="1658"/>
      <c r="AA1392" s="1658"/>
      <c r="AB1392" s="1658"/>
      <c r="AC1392" s="1658"/>
      <c r="AD1392" s="1658"/>
      <c r="AE1392" s="1658"/>
      <c r="AF1392" s="1658"/>
    </row>
    <row r="1393" spans="1:32" ht="15">
      <c r="A1393" s="1658"/>
      <c r="B1393" s="1658"/>
      <c r="C1393" s="1658"/>
      <c r="D1393" s="1658"/>
      <c r="E1393" s="1658"/>
      <c r="F1393" s="1658"/>
      <c r="G1393" s="1658"/>
      <c r="H1393" s="1658"/>
      <c r="I1393" s="1658"/>
      <c r="J1393" s="1658"/>
      <c r="K1393" s="1658"/>
      <c r="L1393" s="1658"/>
      <c r="M1393" s="1658"/>
      <c r="N1393" s="2556"/>
      <c r="O1393" s="2557"/>
      <c r="P1393" s="2557"/>
      <c r="Q1393" s="1658"/>
      <c r="R1393" s="1658"/>
      <c r="S1393" s="1658"/>
      <c r="T1393" s="1658"/>
      <c r="U1393" s="1658"/>
      <c r="V1393" s="1658"/>
      <c r="W1393" s="1658"/>
      <c r="X1393" s="1658"/>
      <c r="Y1393" s="1658"/>
      <c r="Z1393" s="1658"/>
      <c r="AA1393" s="1658"/>
      <c r="AB1393" s="1658"/>
      <c r="AC1393" s="1658"/>
      <c r="AD1393" s="1658"/>
      <c r="AE1393" s="1658"/>
      <c r="AF1393" s="1658"/>
    </row>
    <row r="1394" spans="1:32" ht="15">
      <c r="A1394" s="1658"/>
      <c r="B1394" s="1658"/>
      <c r="C1394" s="1658"/>
      <c r="D1394" s="1658"/>
      <c r="E1394" s="1658"/>
      <c r="F1394" s="1658"/>
      <c r="G1394" s="1658"/>
      <c r="H1394" s="1658"/>
      <c r="I1394" s="1658"/>
      <c r="J1394" s="1658"/>
      <c r="K1394" s="1658"/>
      <c r="L1394" s="1658"/>
      <c r="M1394" s="1658"/>
      <c r="N1394" s="2556"/>
      <c r="O1394" s="2557"/>
      <c r="P1394" s="2557"/>
      <c r="Q1394" s="1658"/>
      <c r="R1394" s="1658"/>
      <c r="S1394" s="1658"/>
      <c r="T1394" s="1658"/>
      <c r="U1394" s="1658"/>
      <c r="V1394" s="1658"/>
      <c r="W1394" s="1658"/>
      <c r="X1394" s="1658"/>
      <c r="Y1394" s="1658"/>
      <c r="Z1394" s="1658"/>
      <c r="AA1394" s="1658"/>
      <c r="AB1394" s="1658"/>
      <c r="AC1394" s="1658"/>
      <c r="AD1394" s="1658"/>
      <c r="AE1394" s="1658"/>
      <c r="AF1394" s="1658"/>
    </row>
    <row r="1395" spans="1:32" ht="15">
      <c r="A1395" s="2064" t="s">
        <v>1539</v>
      </c>
      <c r="B1395" s="2065" t="s">
        <v>1960</v>
      </c>
      <c r="C1395" s="1629"/>
      <c r="D1395" s="2065"/>
      <c r="E1395" s="2065"/>
      <c r="F1395" s="1660" t="s">
        <v>55</v>
      </c>
      <c r="G1395" s="1660" t="str">
        <f>'Part I-Project Identification'!$P$26</f>
        <v>No</v>
      </c>
      <c r="H1395" s="1629"/>
      <c r="I1395" s="1629"/>
      <c r="J1395" s="1629"/>
      <c r="K1395" s="2071" t="str">
        <f>IF(OR($O$206&gt;0,$O$265&gt;0,$O$303&gt;0),"Points already claimed in another restricted section!","")</f>
        <v>Points already claimed in another restricted section!</v>
      </c>
      <c r="L1395" s="2411" t="str">
        <f>IF(OR($O1395=$M1395,$O1395=0,$O1395=""),"",IF(OR($O1395&lt;$J$251,$O1395&gt;$J$251),"* * Check Score! * *",""))</f>
        <v>* * Check Score! * *</v>
      </c>
      <c r="M1395" s="2555">
        <v>10</v>
      </c>
      <c r="N1395" s="1643"/>
      <c r="O1395" s="1657">
        <f>'Part VIII Scoring Criteria'!O238</f>
        <v>9</v>
      </c>
      <c r="P1395" s="1657">
        <f>'Part VIII Scoring Criteria'!P238</f>
        <v>0</v>
      </c>
      <c r="Q1395" s="2555" t="s">
        <v>795</v>
      </c>
      <c r="R1395" s="2483" t="s">
        <v>1932</v>
      </c>
      <c r="S1395" s="1628"/>
      <c r="T1395" s="1628"/>
      <c r="U1395" s="1628"/>
      <c r="V1395" s="2479">
        <f>$C$16</f>
        <v>0</v>
      </c>
      <c r="W1395" s="1658"/>
      <c r="X1395" s="1658"/>
      <c r="Y1395" s="1629"/>
      <c r="Z1395" s="1629"/>
      <c r="AA1395" s="1629"/>
      <c r="AB1395" s="1629"/>
      <c r="AC1395" s="1629"/>
      <c r="AD1395" s="1629"/>
      <c r="AE1395" s="1629"/>
      <c r="AF1395" s="1629"/>
    </row>
    <row r="1396" spans="1:32" ht="15">
      <c r="A1396" s="2064"/>
      <c r="B1396" s="2065"/>
      <c r="C1396" s="1629"/>
      <c r="D1396" s="2065"/>
      <c r="E1396" s="2065"/>
      <c r="F1396" s="1660" t="s">
        <v>2296</v>
      </c>
      <c r="G1396" s="1629"/>
      <c r="H1396" s="1629"/>
      <c r="I1396" s="1629"/>
      <c r="J1396" s="1629"/>
      <c r="K1396" s="1629"/>
      <c r="L1396" s="2071"/>
      <c r="M1396" s="2555"/>
      <c r="N1396" s="1643"/>
      <c r="O1396" s="1657">
        <f>'Part VIII Scoring Criteria'!O239</f>
        <v>9</v>
      </c>
      <c r="P1396" s="1657">
        <f>'Part VIII Scoring Criteria'!P239</f>
        <v>0</v>
      </c>
      <c r="Q1396" s="2555"/>
      <c r="R1396" s="2413"/>
      <c r="S1396" s="1628"/>
      <c r="T1396" s="1628"/>
      <c r="U1396" s="1628"/>
      <c r="V1396" s="1658"/>
      <c r="W1396" s="1658"/>
      <c r="X1396" s="1658"/>
      <c r="Y1396" s="1629"/>
      <c r="Z1396" s="1629"/>
      <c r="AA1396" s="1629"/>
      <c r="AB1396" s="1629"/>
      <c r="AC1396" s="1629"/>
      <c r="AD1396" s="1629"/>
      <c r="AE1396" s="1629"/>
      <c r="AF1396" s="1629"/>
    </row>
    <row r="1397" spans="1:32" ht="15">
      <c r="A1397" s="2064"/>
      <c r="B1397" s="1628" t="s">
        <v>1961</v>
      </c>
      <c r="C1397" s="1629"/>
      <c r="D1397" s="2065"/>
      <c r="E1397" s="2065"/>
      <c r="F1397" s="1629"/>
      <c r="G1397" s="1629"/>
      <c r="H1397" s="1629"/>
      <c r="I1397" s="1629"/>
      <c r="J1397" s="2555" t="s">
        <v>1758</v>
      </c>
      <c r="K1397" s="2487" t="s">
        <v>1749</v>
      </c>
      <c r="L1397" s="2071"/>
      <c r="M1397" s="2555"/>
      <c r="N1397" s="1643"/>
      <c r="O1397" s="1657"/>
      <c r="P1397" s="1657"/>
      <c r="Q1397" s="2555"/>
      <c r="R1397" s="2413"/>
      <c r="S1397" s="1628"/>
      <c r="T1397" s="1628"/>
      <c r="U1397" s="1628"/>
      <c r="V1397" s="1658"/>
      <c r="W1397" s="1658"/>
      <c r="X1397" s="1658"/>
      <c r="Y1397" s="1629"/>
      <c r="Z1397" s="1629"/>
      <c r="AA1397" s="1629"/>
      <c r="AB1397" s="1629"/>
      <c r="AC1397" s="1629"/>
      <c r="AD1397" s="1629"/>
      <c r="AE1397" s="1629"/>
      <c r="AF1397" s="1629"/>
    </row>
    <row r="1398" spans="1:32" ht="15">
      <c r="A1398" s="2064"/>
      <c r="B1398" s="1629"/>
      <c r="C1398" s="1660" t="s">
        <v>1970</v>
      </c>
      <c r="D1398" s="2481"/>
      <c r="E1398" s="2065"/>
      <c r="F1398" s="1629"/>
      <c r="G1398" s="1629"/>
      <c r="H1398" s="1629"/>
      <c r="I1398" s="1629"/>
      <c r="J1398" s="2443">
        <f>'Part VIII Scoring Criteria'!J249</f>
        <v>4</v>
      </c>
      <c r="K1398" s="2443">
        <f>'Part VIII Scoring Criteria'!K249</f>
        <v>0</v>
      </c>
      <c r="L1398" s="1629"/>
      <c r="M1398" s="2443"/>
      <c r="N1398" s="1643"/>
      <c r="O1398" s="1657"/>
      <c r="P1398" s="1657"/>
      <c r="Q1398" s="2555"/>
      <c r="R1398" s="2413"/>
      <c r="S1398" s="1628"/>
      <c r="T1398" s="1628"/>
      <c r="U1398" s="1628"/>
      <c r="V1398" s="1658"/>
      <c r="W1398" s="1658"/>
      <c r="X1398" s="1658"/>
      <c r="Y1398" s="1629"/>
      <c r="Z1398" s="1629"/>
      <c r="AA1398" s="1629"/>
      <c r="AB1398" s="1629"/>
      <c r="AC1398" s="1629"/>
      <c r="AD1398" s="1629"/>
      <c r="AE1398" s="1629"/>
      <c r="AF1398" s="1629"/>
    </row>
    <row r="1399" spans="1:32" ht="15">
      <c r="A1399" s="2064"/>
      <c r="B1399" s="1629"/>
      <c r="C1399" s="1660" t="s">
        <v>2299</v>
      </c>
      <c r="D1399" s="2481"/>
      <c r="E1399" s="2065"/>
      <c r="F1399" s="1629"/>
      <c r="G1399" s="1629"/>
      <c r="H1399" s="1629"/>
      <c r="I1399" s="1629"/>
      <c r="J1399" s="2443" t="str">
        <f>'Part VIII Scoring Criteria'!J250</f>
        <v>Yes</v>
      </c>
      <c r="K1399" s="2443" t="str">
        <f>'Part VIII Scoring Criteria'!K250</f>
        <v>No</v>
      </c>
      <c r="L1399" s="1629"/>
      <c r="M1399" s="2443"/>
      <c r="N1399" s="1643"/>
      <c r="O1399" s="1657"/>
      <c r="P1399" s="1657"/>
      <c r="Q1399" s="2555"/>
      <c r="R1399" s="2413"/>
      <c r="S1399" s="1628"/>
      <c r="T1399" s="1628"/>
      <c r="U1399" s="1628"/>
      <c r="V1399" s="1658"/>
      <c r="W1399" s="1658"/>
      <c r="X1399" s="1658"/>
      <c r="Y1399" s="1629"/>
      <c r="Z1399" s="1629"/>
      <c r="AA1399" s="1629"/>
      <c r="AB1399" s="1629"/>
      <c r="AC1399" s="1629"/>
      <c r="AD1399" s="1629"/>
      <c r="AE1399" s="1629"/>
      <c r="AF1399" s="1629"/>
    </row>
    <row r="1400" spans="1:32" ht="15">
      <c r="A1400" s="2064"/>
      <c r="B1400" s="1629"/>
      <c r="C1400" s="1660" t="s">
        <v>1972</v>
      </c>
      <c r="D1400" s="2481"/>
      <c r="E1400" s="2065"/>
      <c r="F1400" s="1629"/>
      <c r="G1400" s="1629"/>
      <c r="H1400" s="1629"/>
      <c r="I1400" s="1629"/>
      <c r="J1400" s="2487">
        <f>'Part VIII Scoring Criteria'!J251</f>
        <v>9</v>
      </c>
      <c r="K1400" s="2487">
        <f>'Part VIII Scoring Criteria'!K251</f>
        <v>0</v>
      </c>
      <c r="L1400" s="2443"/>
      <c r="M1400" s="2443"/>
      <c r="N1400" s="1643"/>
      <c r="O1400" s="1657"/>
      <c r="P1400" s="1657"/>
      <c r="Q1400" s="2555"/>
      <c r="R1400" s="2413"/>
      <c r="S1400" s="1628"/>
      <c r="T1400" s="1628"/>
      <c r="U1400" s="1628"/>
      <c r="V1400" s="1658"/>
      <c r="W1400" s="1658"/>
      <c r="X1400" s="1658"/>
      <c r="Y1400" s="1629"/>
      <c r="Z1400" s="1629"/>
      <c r="AA1400" s="1629"/>
      <c r="AB1400" s="1629"/>
      <c r="AC1400" s="1629"/>
      <c r="AD1400" s="1629"/>
      <c r="AE1400" s="1629"/>
      <c r="AF1400" s="1629"/>
    </row>
    <row r="1401" spans="1:32" ht="15">
      <c r="A1401" s="2064"/>
      <c r="B1401" s="1628" t="s">
        <v>1973</v>
      </c>
      <c r="C1401" s="1629"/>
      <c r="D1401" s="2065"/>
      <c r="E1401" s="2065"/>
      <c r="F1401" s="1629"/>
      <c r="G1401" s="1629"/>
      <c r="H1401" s="1629"/>
      <c r="I1401" s="1629"/>
      <c r="J1401" s="1629"/>
      <c r="K1401" s="1629"/>
      <c r="L1401" s="1628"/>
      <c r="M1401" s="1628"/>
      <c r="N1401" s="1643"/>
      <c r="O1401" s="1657"/>
      <c r="P1401" s="1657"/>
      <c r="Q1401" s="2555"/>
      <c r="R1401" s="2413"/>
      <c r="S1401" s="1628"/>
      <c r="T1401" s="1628"/>
      <c r="U1401" s="1628"/>
      <c r="V1401" s="1658"/>
      <c r="W1401" s="1658"/>
      <c r="X1401" s="1658"/>
      <c r="Y1401" s="1629"/>
      <c r="Z1401" s="1629"/>
      <c r="AA1401" s="1629"/>
      <c r="AB1401" s="1629"/>
      <c r="AC1401" s="1629"/>
      <c r="AD1401" s="1629"/>
      <c r="AE1401" s="1629"/>
      <c r="AF1401" s="1629"/>
    </row>
    <row r="1402" spans="1:32" ht="43.5" customHeight="1">
      <c r="A1402" s="2064"/>
      <c r="B1402" s="2488" t="s">
        <v>1974</v>
      </c>
      <c r="C1402" s="1658"/>
      <c r="D1402" s="2432"/>
      <c r="E1402" s="2432" t="s">
        <v>1975</v>
      </c>
      <c r="F1402" s="2432"/>
      <c r="G1402" s="2432"/>
      <c r="H1402" s="2489" t="s">
        <v>1976</v>
      </c>
      <c r="I1402" s="2432" t="s">
        <v>2300</v>
      </c>
      <c r="J1402" s="2432"/>
      <c r="K1402" s="2432"/>
      <c r="L1402" s="2432"/>
      <c r="M1402" s="2432"/>
      <c r="N1402" s="2432"/>
      <c r="O1402" s="2432"/>
      <c r="P1402" s="2432"/>
      <c r="Q1402" s="1629"/>
      <c r="R1402" s="2413"/>
      <c r="S1402" s="1628"/>
      <c r="T1402" s="1628"/>
      <c r="U1402" s="1628"/>
      <c r="V1402" s="1658"/>
      <c r="W1402" s="1658"/>
      <c r="X1402" s="1658"/>
      <c r="Y1402" s="1629"/>
      <c r="Z1402" s="1629"/>
      <c r="AA1402" s="1629"/>
      <c r="AB1402" s="1629"/>
      <c r="AC1402" s="1629"/>
      <c r="AD1402" s="1629"/>
      <c r="AE1402" s="1629"/>
      <c r="AF1402" s="1629"/>
    </row>
    <row r="1403" spans="1:32" ht="15">
      <c r="A1403" s="2064"/>
      <c r="B1403" s="1629" t="s">
        <v>1978</v>
      </c>
      <c r="C1403" s="1658"/>
      <c r="D1403" s="2432"/>
      <c r="E1403" s="2490" t="str">
        <f>'Part VIII Scoring Criteria'!E254</f>
        <v>Above 50th</v>
      </c>
      <c r="F1403" s="2490"/>
      <c r="G1403" s="2491"/>
      <c r="H1403" s="2450"/>
      <c r="I1403" s="2490" t="str">
        <f>'Part VIII Scoring Criteria'!I254</f>
        <v>Near Census Tract</v>
      </c>
      <c r="J1403" s="2490"/>
      <c r="K1403" s="2490"/>
      <c r="L1403" s="2490"/>
      <c r="M1403" s="2490">
        <f>'Part VIII Scoring Criteria'!M254</f>
        <v>130670314.14</v>
      </c>
      <c r="N1403" s="2490"/>
      <c r="O1403" s="2490"/>
      <c r="P1403" s="2490"/>
      <c r="Q1403" s="1629"/>
      <c r="R1403" s="2413"/>
      <c r="S1403" s="1628"/>
      <c r="T1403" s="1628"/>
      <c r="U1403" s="1628"/>
      <c r="V1403" s="1658"/>
      <c r="W1403" s="1658"/>
      <c r="X1403" s="1658"/>
      <c r="Y1403" s="1629"/>
      <c r="Z1403" s="1629"/>
      <c r="AA1403" s="1629"/>
      <c r="AB1403" s="1629"/>
      <c r="AC1403" s="1629"/>
      <c r="AD1403" s="1629"/>
      <c r="AE1403" s="1629"/>
      <c r="AF1403" s="1629"/>
    </row>
    <row r="1404" spans="1:32" ht="15">
      <c r="A1404" s="2064"/>
      <c r="B1404" s="1629" t="s">
        <v>1981</v>
      </c>
      <c r="C1404" s="1658"/>
      <c r="D1404" s="2432"/>
      <c r="E1404" s="2490" t="str">
        <f>'Part VIII Scoring Criteria'!E255</f>
        <v>Above 50th</v>
      </c>
      <c r="F1404" s="2490"/>
      <c r="G1404" s="2491"/>
      <c r="H1404" s="2450"/>
      <c r="I1404" s="2490" t="str">
        <f>'Part VIII Scoring Criteria'!I255</f>
        <v>Within Census Tract</v>
      </c>
      <c r="J1404" s="2490"/>
      <c r="K1404" s="2490"/>
      <c r="L1404" s="2490"/>
      <c r="M1404" s="2490">
        <f>'Part VIII Scoring Criteria'!M255</f>
        <v>130670314.15000001</v>
      </c>
      <c r="N1404" s="2490"/>
      <c r="O1404" s="2490"/>
      <c r="P1404" s="2490"/>
      <c r="Q1404" s="1629"/>
      <c r="R1404" s="2413"/>
      <c r="S1404" s="1628"/>
      <c r="T1404" s="1628"/>
      <c r="U1404" s="1628"/>
      <c r="V1404" s="1658"/>
      <c r="W1404" s="1658"/>
      <c r="X1404" s="1658"/>
      <c r="Y1404" s="1629"/>
      <c r="Z1404" s="1629"/>
      <c r="AA1404" s="1629"/>
      <c r="AB1404" s="1629"/>
      <c r="AC1404" s="1629"/>
      <c r="AD1404" s="1629"/>
      <c r="AE1404" s="1629"/>
      <c r="AF1404" s="1629"/>
    </row>
    <row r="1405" spans="1:32" ht="15">
      <c r="A1405" s="2064"/>
      <c r="B1405" s="1629" t="s">
        <v>1983</v>
      </c>
      <c r="C1405" s="1658"/>
      <c r="D1405" s="2432"/>
      <c r="E1405" s="2490" t="str">
        <f>'Part VIII Scoring Criteria'!E256</f>
        <v>At or below 50th</v>
      </c>
      <c r="F1405" s="2490"/>
      <c r="G1405" s="2491"/>
      <c r="H1405" s="2450"/>
      <c r="I1405" s="2490">
        <f>'Part VIII Scoring Criteria'!I256</f>
        <v>0</v>
      </c>
      <c r="J1405" s="2490"/>
      <c r="K1405" s="2490"/>
      <c r="L1405" s="2490"/>
      <c r="M1405" s="2490">
        <f>'Part VIII Scoring Criteria'!M256</f>
        <v>0</v>
      </c>
      <c r="N1405" s="2490"/>
      <c r="O1405" s="2490"/>
      <c r="P1405" s="2490"/>
      <c r="Q1405" s="1629"/>
      <c r="R1405" s="2413"/>
      <c r="S1405" s="1628"/>
      <c r="T1405" s="1628"/>
      <c r="U1405" s="1628"/>
      <c r="V1405" s="1658"/>
      <c r="W1405" s="1658"/>
      <c r="X1405" s="1658"/>
      <c r="Y1405" s="1629"/>
      <c r="Z1405" s="1629"/>
      <c r="AA1405" s="1629"/>
      <c r="AB1405" s="1629"/>
      <c r="AC1405" s="1629"/>
      <c r="AD1405" s="1629"/>
      <c r="AE1405" s="1629"/>
      <c r="AF1405" s="1629"/>
    </row>
    <row r="1406" spans="1:32" ht="15">
      <c r="A1406" s="2064"/>
      <c r="B1406" s="1629" t="s">
        <v>1985</v>
      </c>
      <c r="C1406" s="2065"/>
      <c r="D1406" s="2065"/>
      <c r="E1406" s="2490" t="str">
        <f>'Part VIII Scoring Criteria'!E257</f>
        <v>Above 50th</v>
      </c>
      <c r="F1406" s="2490"/>
      <c r="G1406" s="2491"/>
      <c r="H1406" s="1643">
        <f>'Part VIII Scoring Criteria'!H257</f>
        <v>2022</v>
      </c>
      <c r="I1406" s="2490" t="str">
        <f>'Part VIII Scoring Criteria'!I257</f>
        <v>Near Census Tract</v>
      </c>
      <c r="J1406" s="2490"/>
      <c r="K1406" s="2490"/>
      <c r="L1406" s="2490"/>
      <c r="M1406" s="2490">
        <f>'Part VIII Scoring Criteria'!M257</f>
        <v>130670314.14</v>
      </c>
      <c r="N1406" s="2490"/>
      <c r="O1406" s="2490"/>
      <c r="P1406" s="2490"/>
      <c r="Q1406" s="1629"/>
      <c r="R1406" s="2413"/>
      <c r="S1406" s="1628"/>
      <c r="T1406" s="1628"/>
      <c r="U1406" s="1628"/>
      <c r="V1406" s="1658"/>
      <c r="W1406" s="1658"/>
      <c r="X1406" s="1658"/>
      <c r="Y1406" s="1629"/>
      <c r="Z1406" s="1629"/>
      <c r="AA1406" s="1629"/>
      <c r="AB1406" s="1629"/>
      <c r="AC1406" s="1629"/>
      <c r="AD1406" s="1629"/>
      <c r="AE1406" s="1629"/>
      <c r="AF1406" s="1629"/>
    </row>
    <row r="1407" spans="1:32" ht="15">
      <c r="A1407" s="2064"/>
      <c r="B1407" s="1629" t="s">
        <v>1986</v>
      </c>
      <c r="C1407" s="2065"/>
      <c r="D1407" s="2065"/>
      <c r="E1407" s="2490" t="str">
        <f>'Part VIII Scoring Criteria'!E258</f>
        <v>Above 50th</v>
      </c>
      <c r="F1407" s="2490"/>
      <c r="G1407" s="2491"/>
      <c r="H1407" s="1643">
        <f>'Part VIII Scoring Criteria'!H258</f>
        <v>2022</v>
      </c>
      <c r="I1407" s="2490" t="str">
        <f>'Part VIII Scoring Criteria'!I258</f>
        <v>Near Census Tract</v>
      </c>
      <c r="J1407" s="2490"/>
      <c r="K1407" s="2490"/>
      <c r="L1407" s="2490"/>
      <c r="M1407" s="2490">
        <f>'Part VIII Scoring Criteria'!M258</f>
        <v>130670314.14</v>
      </c>
      <c r="N1407" s="2490"/>
      <c r="O1407" s="2490"/>
      <c r="P1407" s="2490"/>
      <c r="Q1407" s="1629"/>
      <c r="R1407" s="2413"/>
      <c r="S1407" s="1628"/>
      <c r="T1407" s="1628"/>
      <c r="U1407" s="1628"/>
      <c r="V1407" s="1658"/>
      <c r="W1407" s="1658"/>
      <c r="X1407" s="1658"/>
      <c r="Y1407" s="1629"/>
      <c r="Z1407" s="1629"/>
      <c r="AA1407" s="1629"/>
      <c r="AB1407" s="1629"/>
      <c r="AC1407" s="1629"/>
      <c r="AD1407" s="1629"/>
      <c r="AE1407" s="1629"/>
      <c r="AF1407" s="1629"/>
    </row>
    <row r="1408" spans="1:32" ht="15">
      <c r="A1408" s="1629"/>
      <c r="B1408" s="2407" t="s">
        <v>2286</v>
      </c>
      <c r="C1408" s="1629"/>
      <c r="D1408" s="1629"/>
      <c r="E1408" s="1629"/>
      <c r="F1408" s="1629"/>
      <c r="G1408" s="1629"/>
      <c r="H1408" s="1629"/>
      <c r="I1408" s="1629"/>
      <c r="J1408" s="1629"/>
      <c r="K1408" s="1629"/>
      <c r="L1408" s="1658"/>
      <c r="M1408" s="1643"/>
      <c r="N1408" s="2556"/>
      <c r="O1408" s="1657"/>
      <c r="P1408" s="2557"/>
      <c r="Q1408" s="1658"/>
      <c r="R1408" s="1658"/>
      <c r="S1408" s="1658"/>
      <c r="T1408" s="1658"/>
      <c r="U1408" s="1658"/>
      <c r="V1408" s="1658"/>
      <c r="W1408" s="1658"/>
      <c r="X1408" s="1658"/>
      <c r="Y1408" s="1658"/>
      <c r="Z1408" s="1658"/>
      <c r="AA1408" s="1658"/>
      <c r="AB1408" s="1658"/>
      <c r="AC1408" s="1658"/>
      <c r="AD1408" s="1658"/>
      <c r="AE1408" s="1658"/>
      <c r="AF1408" s="1658"/>
    </row>
    <row r="1409" spans="1:32" ht="15">
      <c r="A1409" s="2422" t="str">
        <f>'Part VIII Scoring Criteria'!A260</f>
        <v xml:space="preserve">Finley Place is located in Cenus Tract: 13067031415.  The Nearby Census Tract is 13067031414 and located less than 0.25 miles driving distance from Subject.  There are 4 indicators above 50th percentile.  3 indicators in the Nearby Census Tract, plus 1 indicator  Within Census Tract, making it eligible for 9 points.   </v>
      </c>
      <c r="B1409" s="2422"/>
      <c r="C1409" s="2422"/>
      <c r="D1409" s="2422"/>
      <c r="E1409" s="2422"/>
      <c r="F1409" s="2422"/>
      <c r="G1409" s="2422"/>
      <c r="H1409" s="2422"/>
      <c r="I1409" s="2422"/>
      <c r="J1409" s="2422"/>
      <c r="K1409" s="2422"/>
      <c r="L1409" s="2422"/>
      <c r="M1409" s="2422"/>
      <c r="N1409" s="2422"/>
      <c r="O1409" s="2422"/>
      <c r="P1409" s="2422"/>
      <c r="Q1409" s="1628"/>
      <c r="R1409" s="1658"/>
      <c r="S1409" s="1658"/>
      <c r="T1409" s="1658"/>
      <c r="U1409" s="1658"/>
      <c r="V1409" s="1658"/>
      <c r="W1409" s="1658"/>
      <c r="X1409" s="1658"/>
      <c r="Y1409" s="1658"/>
      <c r="Z1409" s="1658"/>
      <c r="AA1409" s="1658"/>
      <c r="AB1409" s="1658"/>
      <c r="AC1409" s="1658"/>
      <c r="AD1409" s="1658"/>
      <c r="AE1409" s="1658"/>
      <c r="AF1409" s="1658"/>
    </row>
    <row r="1410" spans="1:32" ht="15">
      <c r="A1410" s="1629"/>
      <c r="B1410" s="2422" t="s">
        <v>1447</v>
      </c>
      <c r="C1410" s="1629"/>
      <c r="D1410" s="2422"/>
      <c r="E1410" s="1664"/>
      <c r="F1410" s="1664"/>
      <c r="G1410" s="1664"/>
      <c r="H1410" s="1664"/>
      <c r="I1410" s="1664"/>
      <c r="J1410" s="1664"/>
      <c r="K1410" s="1664"/>
      <c r="L1410" s="1664"/>
      <c r="M1410" s="1664"/>
      <c r="N1410" s="1662"/>
      <c r="O1410" s="2418"/>
      <c r="P1410" s="2555"/>
      <c r="Q1410" s="1658"/>
      <c r="R1410" s="1658"/>
      <c r="S1410" s="1658"/>
      <c r="T1410" s="1658"/>
      <c r="U1410" s="1658"/>
      <c r="V1410" s="1658"/>
      <c r="W1410" s="1658"/>
      <c r="X1410" s="1658"/>
      <c r="Y1410" s="1658"/>
      <c r="Z1410" s="1658"/>
      <c r="AA1410" s="1658"/>
      <c r="AB1410" s="1658"/>
      <c r="AC1410" s="1658"/>
      <c r="AD1410" s="1658"/>
      <c r="AE1410" s="1658"/>
      <c r="AF1410" s="1658"/>
    </row>
    <row r="1411" spans="1:32" ht="15">
      <c r="A1411" s="1663"/>
      <c r="B1411" s="1663"/>
      <c r="C1411" s="1663"/>
      <c r="D1411" s="1663"/>
      <c r="E1411" s="1663"/>
      <c r="F1411" s="1663"/>
      <c r="G1411" s="1663"/>
      <c r="H1411" s="1663"/>
      <c r="I1411" s="1663"/>
      <c r="J1411" s="1663"/>
      <c r="K1411" s="1663"/>
      <c r="L1411" s="1663"/>
      <c r="M1411" s="1663"/>
      <c r="N1411" s="1663"/>
      <c r="O1411" s="1663"/>
      <c r="P1411" s="1663"/>
      <c r="Q1411" s="1628"/>
      <c r="R1411" s="1658"/>
      <c r="S1411" s="1658"/>
      <c r="T1411" s="1658"/>
      <c r="U1411" s="1658"/>
      <c r="V1411" s="1658"/>
      <c r="W1411" s="1658"/>
      <c r="X1411" s="1658"/>
      <c r="Y1411" s="1658"/>
      <c r="Z1411" s="1658"/>
      <c r="AA1411" s="1658"/>
      <c r="AB1411" s="1658"/>
      <c r="AC1411" s="1658"/>
      <c r="AD1411" s="1658"/>
      <c r="AE1411" s="1658"/>
      <c r="AF1411" s="1658"/>
    </row>
    <row r="1412" spans="1:32" ht="15">
      <c r="A1412" s="1658"/>
      <c r="B1412" s="1658"/>
      <c r="C1412" s="1658"/>
      <c r="D1412" s="1658"/>
      <c r="E1412" s="1658"/>
      <c r="F1412" s="1658"/>
      <c r="G1412" s="1658"/>
      <c r="H1412" s="1658"/>
      <c r="I1412" s="1658"/>
      <c r="J1412" s="1658"/>
      <c r="K1412" s="1658"/>
      <c r="L1412" s="1658"/>
      <c r="M1412" s="1658"/>
      <c r="N1412" s="2556"/>
      <c r="O1412" s="2557"/>
      <c r="P1412" s="2557"/>
      <c r="Q1412" s="1658"/>
      <c r="R1412" s="1658"/>
      <c r="S1412" s="1658"/>
      <c r="T1412" s="1658"/>
      <c r="U1412" s="1658"/>
      <c r="V1412" s="1658"/>
      <c r="W1412" s="1658"/>
      <c r="X1412" s="1658"/>
      <c r="Y1412" s="1658"/>
      <c r="Z1412" s="1658"/>
      <c r="AA1412" s="1658"/>
      <c r="AB1412" s="1658"/>
      <c r="AC1412" s="1658"/>
      <c r="AD1412" s="1658"/>
      <c r="AE1412" s="1658"/>
      <c r="AF1412" s="1658"/>
    </row>
    <row r="1413" spans="1:32" ht="15">
      <c r="A1413" s="1658"/>
      <c r="B1413" s="1658"/>
      <c r="C1413" s="1658"/>
      <c r="D1413" s="1658"/>
      <c r="E1413" s="1658"/>
      <c r="F1413" s="1658"/>
      <c r="G1413" s="1658"/>
      <c r="H1413" s="1658"/>
      <c r="I1413" s="1658"/>
      <c r="J1413" s="1658"/>
      <c r="K1413" s="1658"/>
      <c r="L1413" s="1658"/>
      <c r="M1413" s="1658"/>
      <c r="N1413" s="2556"/>
      <c r="O1413" s="2557"/>
      <c r="P1413" s="2557"/>
      <c r="Q1413" s="1658"/>
      <c r="R1413" s="1658"/>
      <c r="S1413" s="1658"/>
      <c r="T1413" s="1658"/>
      <c r="U1413" s="1658"/>
      <c r="V1413" s="1658"/>
      <c r="W1413" s="1658"/>
      <c r="X1413" s="1658"/>
      <c r="Y1413" s="1658"/>
      <c r="Z1413" s="1658"/>
      <c r="AA1413" s="1658"/>
      <c r="AB1413" s="1658"/>
      <c r="AC1413" s="1658"/>
      <c r="AD1413" s="1658"/>
      <c r="AE1413" s="1658"/>
      <c r="AF1413" s="1658"/>
    </row>
    <row r="1414" spans="1:32" ht="15">
      <c r="A1414" s="2064" t="s">
        <v>1547</v>
      </c>
      <c r="B1414" s="2065" t="s">
        <v>1988</v>
      </c>
      <c r="C1414" s="1629"/>
      <c r="D1414" s="2065"/>
      <c r="E1414" s="2065"/>
      <c r="F1414" s="1629"/>
      <c r="G1414" s="2423"/>
      <c r="H1414" s="1629"/>
      <c r="I1414" s="1629"/>
      <c r="J1414" s="2071" t="str">
        <f>IF(OR($O$206&gt;0,$O$238&gt;0,$O$303&gt;0),"Points already claimed in another restricted section!","")</f>
        <v>Points already claimed in another restricted section!</v>
      </c>
      <c r="K1414" s="1629"/>
      <c r="L1414" s="2492" t="str">
        <f>IF(AND(O1414&gt;0,NOT($F$12="New Affordability")), "Not New Affordability!","")</f>
        <v/>
      </c>
      <c r="M1414" s="2555">
        <v>10</v>
      </c>
      <c r="N1414" s="1643"/>
      <c r="O1414" s="1657">
        <f>'Part VIII Scoring Criteria'!O265</f>
        <v>0</v>
      </c>
      <c r="P1414" s="1657">
        <f>'Part VIII Scoring Criteria'!P265</f>
        <v>0</v>
      </c>
      <c r="Q1414" s="2555" t="s">
        <v>795</v>
      </c>
      <c r="R1414" s="2483" t="s">
        <v>1932</v>
      </c>
      <c r="S1414" s="1628"/>
      <c r="T1414" s="1628"/>
      <c r="U1414" s="1628"/>
      <c r="V1414" s="2479">
        <f>$C$16</f>
        <v>0</v>
      </c>
      <c r="W1414" s="1629"/>
      <c r="X1414" s="1629"/>
      <c r="Y1414" s="1629"/>
      <c r="Z1414" s="1629"/>
      <c r="AA1414" s="1629"/>
      <c r="AB1414" s="1629"/>
      <c r="AC1414" s="1629"/>
      <c r="AD1414" s="1629"/>
      <c r="AE1414" s="1629"/>
      <c r="AF1414" s="1629"/>
    </row>
    <row r="1415" spans="1:32" ht="15">
      <c r="A1415" s="2555" t="s">
        <v>197</v>
      </c>
      <c r="B1415" s="2427" t="s">
        <v>1989</v>
      </c>
      <c r="C1415" s="1658"/>
      <c r="D1415" s="1664"/>
      <c r="E1415" s="1664"/>
      <c r="F1415" s="1664"/>
      <c r="G1415" s="1664"/>
      <c r="H1415" s="1664"/>
      <c r="I1415" s="1658"/>
      <c r="J1415" s="1658"/>
      <c r="K1415" s="1658"/>
      <c r="L1415" s="1664"/>
      <c r="M1415" s="1628" t="str">
        <f>IF(AND(O1415="Yes",O1416="Yes"),"Only one category can be selected!","")</f>
        <v/>
      </c>
      <c r="N1415" s="2067"/>
      <c r="O1415" s="2555">
        <f>'Part VIII Scoring Criteria'!O266</f>
        <v>0</v>
      </c>
      <c r="P1415" s="2555"/>
      <c r="Q1415" s="2556"/>
      <c r="R1415" s="1628"/>
      <c r="S1415" s="1628"/>
      <c r="T1415" s="1628"/>
      <c r="U1415" s="1628"/>
      <c r="V1415" s="1628"/>
      <c r="W1415" s="1658"/>
      <c r="X1415" s="1658"/>
      <c r="Y1415" s="1658"/>
      <c r="Z1415" s="1658"/>
      <c r="AA1415" s="1658"/>
      <c r="AB1415" s="1658"/>
      <c r="AC1415" s="1658"/>
      <c r="AD1415" s="1658"/>
      <c r="AE1415" s="1658"/>
      <c r="AF1415" s="1658"/>
    </row>
    <row r="1416" spans="1:32" ht="15">
      <c r="A1416" s="2555" t="s">
        <v>209</v>
      </c>
      <c r="B1416" s="2427" t="s">
        <v>1990</v>
      </c>
      <c r="C1416" s="1658"/>
      <c r="D1416" s="1664"/>
      <c r="E1416" s="1658"/>
      <c r="F1416" s="1658"/>
      <c r="G1416" s="1658"/>
      <c r="H1416" s="1658"/>
      <c r="I1416" s="1658"/>
      <c r="J1416" s="1658"/>
      <c r="K1416" s="1658"/>
      <c r="L1416" s="1664"/>
      <c r="M1416" s="1628"/>
      <c r="N1416" s="2067"/>
      <c r="O1416" s="2555">
        <f>'Part VIII Scoring Criteria'!O267</f>
        <v>0</v>
      </c>
      <c r="P1416" s="2555"/>
      <c r="Q1416" s="2556"/>
      <c r="R1416" s="1628"/>
      <c r="S1416" s="1628"/>
      <c r="T1416" s="1628"/>
      <c r="U1416" s="1628"/>
      <c r="V1416" s="1628"/>
      <c r="W1416" s="1658"/>
      <c r="X1416" s="1658"/>
      <c r="Y1416" s="1658"/>
      <c r="Z1416" s="1658"/>
      <c r="AA1416" s="1658"/>
      <c r="AB1416" s="1658"/>
      <c r="AC1416" s="1658"/>
      <c r="AD1416" s="1658"/>
      <c r="AE1416" s="1658"/>
      <c r="AF1416" s="1658"/>
    </row>
    <row r="1417" spans="1:32" ht="15">
      <c r="A1417" s="1629"/>
      <c r="B1417" s="2407" t="s">
        <v>2286</v>
      </c>
      <c r="C1417" s="1629"/>
      <c r="D1417" s="1629"/>
      <c r="E1417" s="1629"/>
      <c r="F1417" s="1629"/>
      <c r="G1417" s="1629"/>
      <c r="H1417" s="1629"/>
      <c r="I1417" s="1629"/>
      <c r="J1417" s="1629"/>
      <c r="K1417" s="1629"/>
      <c r="L1417" s="1658"/>
      <c r="M1417" s="1643"/>
      <c r="N1417" s="2556"/>
      <c r="O1417" s="1657"/>
      <c r="P1417" s="2557"/>
      <c r="Q1417" s="1658"/>
      <c r="R1417" s="1628"/>
      <c r="S1417" s="1628"/>
      <c r="T1417" s="1628"/>
      <c r="U1417" s="1628"/>
      <c r="V1417" s="1628"/>
      <c r="W1417" s="1658"/>
      <c r="X1417" s="1658"/>
      <c r="Y1417" s="1658"/>
      <c r="Z1417" s="1658"/>
      <c r="AA1417" s="1658"/>
      <c r="AB1417" s="1658"/>
      <c r="AC1417" s="1658"/>
      <c r="AD1417" s="1658"/>
      <c r="AE1417" s="1658"/>
      <c r="AF1417" s="1658"/>
    </row>
    <row r="1418" spans="1:32" ht="15">
      <c r="A1418" s="2422" t="str">
        <f>'Part VIII Scoring Criteria'!A269</f>
        <v>N/A-Claiming Stable Community Points</v>
      </c>
      <c r="B1418" s="2422"/>
      <c r="C1418" s="2422"/>
      <c r="D1418" s="2422"/>
      <c r="E1418" s="2422"/>
      <c r="F1418" s="2422"/>
      <c r="G1418" s="2422"/>
      <c r="H1418" s="2422"/>
      <c r="I1418" s="2422"/>
      <c r="J1418" s="2422"/>
      <c r="K1418" s="2422"/>
      <c r="L1418" s="2422"/>
      <c r="M1418" s="2422"/>
      <c r="N1418" s="2422"/>
      <c r="O1418" s="2422"/>
      <c r="P1418" s="2422"/>
      <c r="Q1418" s="1628"/>
      <c r="R1418" s="1658"/>
      <c r="S1418" s="1658"/>
      <c r="T1418" s="1658"/>
      <c r="U1418" s="1658"/>
      <c r="V1418" s="1658"/>
      <c r="W1418" s="1658"/>
      <c r="X1418" s="1658"/>
      <c r="Y1418" s="1658"/>
      <c r="Z1418" s="1658"/>
      <c r="AA1418" s="1658"/>
      <c r="AB1418" s="1658"/>
      <c r="AC1418" s="1658"/>
      <c r="AD1418" s="1658"/>
      <c r="AE1418" s="1658"/>
      <c r="AF1418" s="1658"/>
    </row>
    <row r="1419" spans="1:32" ht="15">
      <c r="A1419" s="1629"/>
      <c r="B1419" s="2422" t="s">
        <v>1447</v>
      </c>
      <c r="C1419" s="1629"/>
      <c r="D1419" s="2422"/>
      <c r="E1419" s="1664"/>
      <c r="F1419" s="1664"/>
      <c r="G1419" s="1664"/>
      <c r="H1419" s="1664"/>
      <c r="I1419" s="1664"/>
      <c r="J1419" s="1664"/>
      <c r="K1419" s="1664"/>
      <c r="L1419" s="1664"/>
      <c r="M1419" s="1664"/>
      <c r="N1419" s="1662"/>
      <c r="O1419" s="2418"/>
      <c r="P1419" s="2555"/>
      <c r="Q1419" s="1658"/>
      <c r="R1419" s="1658"/>
      <c r="S1419" s="1658"/>
      <c r="T1419" s="1658"/>
      <c r="U1419" s="1658"/>
      <c r="V1419" s="1658"/>
      <c r="W1419" s="1658"/>
      <c r="X1419" s="1658"/>
      <c r="Y1419" s="1658"/>
      <c r="Z1419" s="1658"/>
      <c r="AA1419" s="1658"/>
      <c r="AB1419" s="1658"/>
      <c r="AC1419" s="1658"/>
      <c r="AD1419" s="1658"/>
      <c r="AE1419" s="1658"/>
      <c r="AF1419" s="1658"/>
    </row>
    <row r="1420" spans="1:32" ht="15">
      <c r="A1420" s="1663"/>
      <c r="B1420" s="1663"/>
      <c r="C1420" s="1663"/>
      <c r="D1420" s="1663"/>
      <c r="E1420" s="1663"/>
      <c r="F1420" s="1663"/>
      <c r="G1420" s="1663"/>
      <c r="H1420" s="1663"/>
      <c r="I1420" s="1663"/>
      <c r="J1420" s="1663"/>
      <c r="K1420" s="1663"/>
      <c r="L1420" s="1663"/>
      <c r="M1420" s="1663"/>
      <c r="N1420" s="1663"/>
      <c r="O1420" s="1663"/>
      <c r="P1420" s="1663"/>
      <c r="Q1420" s="1628"/>
      <c r="R1420" s="1658"/>
      <c r="S1420" s="1658"/>
      <c r="T1420" s="1658"/>
      <c r="U1420" s="1658"/>
      <c r="V1420" s="1658"/>
      <c r="W1420" s="1658"/>
      <c r="X1420" s="1658"/>
      <c r="Y1420" s="1658"/>
      <c r="Z1420" s="1658"/>
      <c r="AA1420" s="1658"/>
      <c r="AB1420" s="1658"/>
      <c r="AC1420" s="1658"/>
      <c r="AD1420" s="1658"/>
      <c r="AE1420" s="1658"/>
      <c r="AF1420" s="1658"/>
    </row>
    <row r="1421" spans="1:32" ht="15">
      <c r="A1421" s="1658"/>
      <c r="B1421" s="1658"/>
      <c r="C1421" s="1658"/>
      <c r="D1421" s="1658"/>
      <c r="E1421" s="1658"/>
      <c r="F1421" s="1658"/>
      <c r="G1421" s="1658"/>
      <c r="H1421" s="1658"/>
      <c r="I1421" s="1658"/>
      <c r="J1421" s="1658"/>
      <c r="K1421" s="1658"/>
      <c r="L1421" s="1658"/>
      <c r="M1421" s="1658"/>
      <c r="N1421" s="2556"/>
      <c r="O1421" s="2557"/>
      <c r="P1421" s="2557"/>
      <c r="Q1421" s="1658"/>
      <c r="R1421" s="1658"/>
      <c r="S1421" s="1658"/>
      <c r="T1421" s="1658"/>
      <c r="U1421" s="1658"/>
      <c r="V1421" s="1658"/>
      <c r="W1421" s="1658"/>
      <c r="X1421" s="1658"/>
      <c r="Y1421" s="1658"/>
      <c r="Z1421" s="1658"/>
      <c r="AA1421" s="1658"/>
      <c r="AB1421" s="1658"/>
      <c r="AC1421" s="1658"/>
      <c r="AD1421" s="1658"/>
      <c r="AE1421" s="1658"/>
      <c r="AF1421" s="1658"/>
    </row>
    <row r="1422" spans="1:32" ht="15">
      <c r="A1422" s="1658"/>
      <c r="B1422" s="1658"/>
      <c r="C1422" s="1658"/>
      <c r="D1422" s="1658"/>
      <c r="E1422" s="1658"/>
      <c r="F1422" s="1658"/>
      <c r="G1422" s="1658"/>
      <c r="H1422" s="1658"/>
      <c r="I1422" s="1658"/>
      <c r="J1422" s="1658"/>
      <c r="K1422" s="1658"/>
      <c r="L1422" s="1658"/>
      <c r="M1422" s="1658"/>
      <c r="N1422" s="2556"/>
      <c r="O1422" s="2557"/>
      <c r="P1422" s="2557"/>
      <c r="Q1422" s="1658"/>
      <c r="R1422" s="1658"/>
      <c r="S1422" s="1658"/>
      <c r="T1422" s="1658"/>
      <c r="U1422" s="1658"/>
      <c r="V1422" s="1658"/>
      <c r="W1422" s="1658"/>
      <c r="X1422" s="1658"/>
      <c r="Y1422" s="1658"/>
      <c r="Z1422" s="1658"/>
      <c r="AA1422" s="1658"/>
      <c r="AB1422" s="1658"/>
      <c r="AC1422" s="1658"/>
      <c r="AD1422" s="1658"/>
      <c r="AE1422" s="1658"/>
      <c r="AF1422" s="1658"/>
    </row>
    <row r="1423" spans="1:32" ht="15">
      <c r="A1423" s="2064" t="s">
        <v>1568</v>
      </c>
      <c r="B1423" s="2065" t="s">
        <v>1992</v>
      </c>
      <c r="C1423" s="1658"/>
      <c r="D1423" s="1658"/>
      <c r="E1423" s="2413" t="str">
        <f>IF(AND(O1423&gt;0,NOT($F$12="New Affordability"),NOT($O$12="9%")), "Ineligible, not New Affordability and 9%!","")</f>
        <v/>
      </c>
      <c r="F1423" s="1658"/>
      <c r="G1423" s="2425">
        <f>$O$12</f>
        <v>0</v>
      </c>
      <c r="H1423" s="2440">
        <f>$J$12</f>
        <v>0</v>
      </c>
      <c r="I1423" s="1658"/>
      <c r="J1423" s="1658"/>
      <c r="K1423" s="1658"/>
      <c r="L1423" s="2409" t="s">
        <v>1767</v>
      </c>
      <c r="M1423" s="2555">
        <v>4</v>
      </c>
      <c r="N1423" s="1643"/>
      <c r="O1423" s="1657">
        <f>'Part VIII Scoring Criteria'!O274</f>
        <v>0</v>
      </c>
      <c r="P1423" s="1657">
        <f>'Part VIII Scoring Criteria'!P274</f>
        <v>0</v>
      </c>
      <c r="Q1423" s="2555" t="s">
        <v>795</v>
      </c>
      <c r="R1423" s="2413"/>
      <c r="S1423" s="1628"/>
      <c r="T1423" s="1628"/>
      <c r="U1423" s="1628"/>
      <c r="V1423" s="1628"/>
      <c r="W1423" s="1665"/>
      <c r="X1423" s="1665"/>
      <c r="Y1423" s="1658"/>
      <c r="Z1423" s="1658"/>
      <c r="AA1423" s="1658"/>
      <c r="AB1423" s="1658"/>
      <c r="AC1423" s="1658"/>
      <c r="AD1423" s="1658"/>
      <c r="AE1423" s="1658"/>
      <c r="AF1423" s="1658"/>
    </row>
    <row r="1424" spans="1:32" ht="15">
      <c r="A1424" s="2493"/>
      <c r="B1424" s="1663" t="s">
        <v>1993</v>
      </c>
      <c r="C1424" s="1663"/>
      <c r="D1424" s="1663"/>
      <c r="E1424" s="1663"/>
      <c r="F1424" s="1663"/>
      <c r="G1424" s="1658"/>
      <c r="H1424" s="1658"/>
      <c r="I1424" s="1658"/>
      <c r="J1424" s="1658"/>
      <c r="K1424" s="1658"/>
      <c r="L1424" s="1658"/>
      <c r="M1424" s="1658"/>
      <c r="N1424" s="2419"/>
      <c r="O1424" s="2418">
        <f>'Part VIII Scoring Criteria'!O275</f>
        <v>0</v>
      </c>
      <c r="P1424" s="2418"/>
      <c r="Q1424" s="1663"/>
      <c r="R1424" s="1663"/>
      <c r="S1424" s="1663"/>
      <c r="T1424" s="1663"/>
      <c r="U1424" s="1658"/>
      <c r="V1424" s="1658"/>
      <c r="W1424" s="1663"/>
      <c r="X1424" s="1663"/>
      <c r="Y1424" s="1663"/>
      <c r="Z1424" s="1663"/>
      <c r="AA1424" s="1663"/>
      <c r="AB1424" s="1658"/>
      <c r="AC1424" s="1658"/>
      <c r="AD1424" s="1658"/>
      <c r="AE1424" s="1658"/>
      <c r="AF1424" s="1658"/>
    </row>
    <row r="1425" spans="1:32" ht="14.1" customHeight="1">
      <c r="A1425" s="2493"/>
      <c r="B1425" s="1663"/>
      <c r="C1425" s="1663"/>
      <c r="D1425" s="1663"/>
      <c r="E1425" s="1663"/>
      <c r="F1425" s="1663"/>
      <c r="G1425" s="2556" t="s">
        <v>1994</v>
      </c>
      <c r="H1425" s="1658" t="s">
        <v>53</v>
      </c>
      <c r="I1425" s="1658"/>
      <c r="J1425" s="1658"/>
      <c r="K1425" s="1658" t="s">
        <v>1995</v>
      </c>
      <c r="L1425" s="1658"/>
      <c r="M1425" s="1658"/>
      <c r="N1425" s="2556"/>
      <c r="O1425" s="2556"/>
      <c r="P1425" s="2556"/>
      <c r="Q1425" s="1663"/>
      <c r="R1425" s="1663"/>
      <c r="S1425" s="1663"/>
      <c r="T1425" s="1663"/>
      <c r="U1425" s="1658"/>
      <c r="V1425" s="1658"/>
      <c r="W1425" s="1663"/>
      <c r="X1425" s="1663"/>
      <c r="Y1425" s="1663"/>
      <c r="Z1425" s="1663"/>
      <c r="AA1425" s="1663"/>
      <c r="AB1425" s="1658"/>
      <c r="AC1425" s="1658"/>
      <c r="AD1425" s="1658"/>
      <c r="AE1425" s="1658"/>
      <c r="AF1425" s="1658"/>
    </row>
    <row r="1426" spans="1:32" ht="15">
      <c r="A1426" s="2493"/>
      <c r="B1426" s="2493"/>
      <c r="C1426" s="1658"/>
      <c r="D1426" s="1659" t="s">
        <v>1996</v>
      </c>
      <c r="E1426" s="1658"/>
      <c r="F1426" s="1658"/>
      <c r="G1426" s="1643">
        <f>'Part VIII Scoring Criteria'!G277</f>
        <v>0</v>
      </c>
      <c r="H1426" s="1629">
        <f>'Part VIII Scoring Criteria'!H277</f>
        <v>0</v>
      </c>
      <c r="I1426" s="1629"/>
      <c r="J1426" s="1629"/>
      <c r="K1426" s="2494">
        <f>'Part VIII Scoring Criteria'!K277</f>
        <v>0</v>
      </c>
      <c r="L1426" s="2494"/>
      <c r="M1426" s="2494"/>
      <c r="N1426" s="2419"/>
      <c r="O1426" s="2418"/>
      <c r="P1426" s="2418"/>
      <c r="Q1426" s="1663"/>
      <c r="R1426" s="1663"/>
      <c r="S1426" s="1663"/>
      <c r="T1426" s="1663"/>
      <c r="U1426" s="1658"/>
      <c r="V1426" s="1658"/>
      <c r="W1426" s="1663"/>
      <c r="X1426" s="1663"/>
      <c r="Y1426" s="1663"/>
      <c r="Z1426" s="1663"/>
      <c r="AA1426" s="1663"/>
      <c r="AB1426" s="1658"/>
      <c r="AC1426" s="1658"/>
      <c r="AD1426" s="1658"/>
      <c r="AE1426" s="1658"/>
      <c r="AF1426" s="1658"/>
    </row>
    <row r="1427" spans="1:32" ht="15">
      <c r="A1427" s="2430"/>
      <c r="B1427" s="2493"/>
      <c r="C1427" s="1629"/>
      <c r="D1427" s="1660" t="s">
        <v>1997</v>
      </c>
      <c r="E1427" s="1629"/>
      <c r="F1427" s="1629"/>
      <c r="G1427" s="1643">
        <f>'Part VIII Scoring Criteria'!G278</f>
        <v>0</v>
      </c>
      <c r="H1427" s="1629">
        <f>'Part VIII Scoring Criteria'!H278</f>
        <v>0</v>
      </c>
      <c r="I1427" s="1629"/>
      <c r="J1427" s="1629"/>
      <c r="K1427" s="2494">
        <f>'Part VIII Scoring Criteria'!K278</f>
        <v>0</v>
      </c>
      <c r="L1427" s="2494"/>
      <c r="M1427" s="2494"/>
      <c r="N1427" s="1629"/>
      <c r="O1427" s="1629"/>
      <c r="P1427" s="1629"/>
      <c r="Q1427" s="1629"/>
      <c r="R1427" s="1629"/>
      <c r="S1427" s="1629"/>
      <c r="T1427" s="1629"/>
      <c r="U1427" s="1629"/>
      <c r="V1427" s="1629"/>
      <c r="W1427" s="1629"/>
      <c r="X1427" s="1629"/>
      <c r="Y1427" s="1629"/>
      <c r="Z1427" s="1629"/>
      <c r="AA1427" s="1629"/>
      <c r="AB1427" s="1629"/>
      <c r="AC1427" s="1629"/>
      <c r="AD1427" s="1629"/>
      <c r="AE1427" s="1629"/>
      <c r="AF1427" s="1629"/>
    </row>
    <row r="1428" spans="1:32" ht="15">
      <c r="A1428" s="1629"/>
      <c r="B1428" s="1658"/>
      <c r="C1428" s="1658"/>
      <c r="D1428" s="1629"/>
      <c r="E1428" s="1629"/>
      <c r="F1428" s="2555"/>
      <c r="G1428" s="2555"/>
      <c r="H1428" s="2555"/>
      <c r="I1428" s="2555"/>
      <c r="J1428" s="1660"/>
      <c r="K1428" s="1660"/>
      <c r="L1428" s="1660"/>
      <c r="M1428" s="1643"/>
      <c r="N1428" s="2555"/>
      <c r="O1428" s="2557"/>
      <c r="P1428" s="1657"/>
      <c r="Q1428" s="1658"/>
      <c r="R1428" s="1658"/>
      <c r="S1428" s="1658"/>
      <c r="T1428" s="1658"/>
      <c r="U1428" s="1658"/>
      <c r="V1428" s="1658"/>
      <c r="W1428" s="1658"/>
      <c r="X1428" s="1658"/>
      <c r="Y1428" s="1658"/>
      <c r="Z1428" s="1658"/>
      <c r="AA1428" s="1658"/>
      <c r="AB1428" s="1658"/>
      <c r="AC1428" s="1658"/>
      <c r="AD1428" s="1658"/>
      <c r="AE1428" s="1658"/>
      <c r="AF1428" s="1658"/>
    </row>
    <row r="1429" spans="1:32" ht="15">
      <c r="A1429" s="1629"/>
      <c r="B1429" s="2407" t="s">
        <v>2286</v>
      </c>
      <c r="C1429" s="1629"/>
      <c r="D1429" s="1629"/>
      <c r="E1429" s="1629"/>
      <c r="F1429" s="1629"/>
      <c r="G1429" s="1629"/>
      <c r="H1429" s="1629"/>
      <c r="I1429" s="1629"/>
      <c r="J1429" s="1629"/>
      <c r="K1429" s="1629"/>
      <c r="L1429" s="1658"/>
      <c r="M1429" s="1643"/>
      <c r="N1429" s="2556"/>
      <c r="O1429" s="1657"/>
      <c r="P1429" s="2557"/>
      <c r="Q1429" s="1658"/>
      <c r="R1429" s="1658"/>
      <c r="S1429" s="1658"/>
      <c r="T1429" s="1658"/>
      <c r="U1429" s="1658"/>
      <c r="V1429" s="1658"/>
      <c r="W1429" s="1658"/>
      <c r="X1429" s="1658"/>
      <c r="Y1429" s="1658"/>
      <c r="Z1429" s="1658"/>
      <c r="AA1429" s="1658"/>
      <c r="AB1429" s="1658"/>
      <c r="AC1429" s="1658"/>
      <c r="AD1429" s="1658"/>
      <c r="AE1429" s="1658"/>
      <c r="AF1429" s="1658"/>
    </row>
    <row r="1430" spans="1:32" ht="15">
      <c r="A1430" s="2422" t="str">
        <f>'Part VIII Scoring Criteria'!A281</f>
        <v>Finley Place is the first phase of a multiple phase development</v>
      </c>
      <c r="B1430" s="2422"/>
      <c r="C1430" s="2422"/>
      <c r="D1430" s="2422"/>
      <c r="E1430" s="2422"/>
      <c r="F1430" s="2422"/>
      <c r="G1430" s="2422"/>
      <c r="H1430" s="2422"/>
      <c r="I1430" s="2422"/>
      <c r="J1430" s="2422"/>
      <c r="K1430" s="2422"/>
      <c r="L1430" s="2422"/>
      <c r="M1430" s="2422"/>
      <c r="N1430" s="2422"/>
      <c r="O1430" s="2422"/>
      <c r="P1430" s="2422"/>
      <c r="Q1430" s="1628"/>
      <c r="R1430" s="1658"/>
      <c r="S1430" s="1658"/>
      <c r="T1430" s="1658"/>
      <c r="U1430" s="1658"/>
      <c r="V1430" s="1658"/>
      <c r="W1430" s="1658"/>
      <c r="X1430" s="1658"/>
      <c r="Y1430" s="1658"/>
      <c r="Z1430" s="1658"/>
      <c r="AA1430" s="1658"/>
      <c r="AB1430" s="1658"/>
      <c r="AC1430" s="1658"/>
      <c r="AD1430" s="1658"/>
      <c r="AE1430" s="1658"/>
      <c r="AF1430" s="1658"/>
    </row>
    <row r="1431" spans="1:32" ht="15">
      <c r="A1431" s="1658"/>
      <c r="B1431" s="2422" t="s">
        <v>1447</v>
      </c>
      <c r="C1431" s="1629"/>
      <c r="D1431" s="2422"/>
      <c r="E1431" s="1664"/>
      <c r="F1431" s="1664"/>
      <c r="G1431" s="1664"/>
      <c r="H1431" s="1664"/>
      <c r="I1431" s="1664"/>
      <c r="J1431" s="1664"/>
      <c r="K1431" s="1664"/>
      <c r="L1431" s="1664"/>
      <c r="M1431" s="1664"/>
      <c r="N1431" s="1662"/>
      <c r="O1431" s="2418"/>
      <c r="P1431" s="2555"/>
      <c r="Q1431" s="1658"/>
      <c r="R1431" s="1658"/>
      <c r="S1431" s="1658"/>
      <c r="T1431" s="1658"/>
      <c r="U1431" s="1658"/>
      <c r="V1431" s="1658"/>
      <c r="W1431" s="1658"/>
      <c r="X1431" s="1658"/>
      <c r="Y1431" s="1658"/>
      <c r="Z1431" s="1658"/>
      <c r="AA1431" s="1658"/>
      <c r="AB1431" s="1658"/>
      <c r="AC1431" s="1658"/>
      <c r="AD1431" s="1658"/>
      <c r="AE1431" s="1658"/>
      <c r="AF1431" s="1658"/>
    </row>
    <row r="1432" spans="1:32" ht="15">
      <c r="A1432" s="1663"/>
      <c r="B1432" s="1663"/>
      <c r="C1432" s="1663"/>
      <c r="D1432" s="1663"/>
      <c r="E1432" s="1663"/>
      <c r="F1432" s="1663"/>
      <c r="G1432" s="1663"/>
      <c r="H1432" s="1663"/>
      <c r="I1432" s="1663"/>
      <c r="J1432" s="1663"/>
      <c r="K1432" s="1663"/>
      <c r="L1432" s="1663"/>
      <c r="M1432" s="1663"/>
      <c r="N1432" s="1663"/>
      <c r="O1432" s="1663"/>
      <c r="P1432" s="1663"/>
      <c r="Q1432" s="1628"/>
      <c r="R1432" s="1658"/>
      <c r="S1432" s="1658"/>
      <c r="T1432" s="1658"/>
      <c r="U1432" s="1658"/>
      <c r="V1432" s="1658"/>
      <c r="W1432" s="1658"/>
      <c r="X1432" s="1658"/>
      <c r="Y1432" s="1658"/>
      <c r="Z1432" s="1658"/>
      <c r="AA1432" s="1658"/>
      <c r="AB1432" s="1658"/>
      <c r="AC1432" s="1658"/>
      <c r="AD1432" s="1658"/>
      <c r="AE1432" s="1658"/>
      <c r="AF1432" s="1658"/>
    </row>
    <row r="1433" spans="1:32" ht="15">
      <c r="A1433" s="1658"/>
      <c r="B1433" s="1658"/>
      <c r="C1433" s="1658"/>
      <c r="D1433" s="1658"/>
      <c r="E1433" s="1658"/>
      <c r="F1433" s="1658"/>
      <c r="G1433" s="1658"/>
      <c r="H1433" s="1658"/>
      <c r="I1433" s="1658"/>
      <c r="J1433" s="1658"/>
      <c r="K1433" s="1658"/>
      <c r="L1433" s="1658"/>
      <c r="M1433" s="1658"/>
      <c r="N1433" s="2556"/>
      <c r="O1433" s="2557"/>
      <c r="P1433" s="2557"/>
      <c r="Q1433" s="1658"/>
      <c r="R1433" s="1658"/>
      <c r="S1433" s="1658"/>
      <c r="T1433" s="1658"/>
      <c r="U1433" s="1658"/>
      <c r="V1433" s="1658"/>
      <c r="W1433" s="1658"/>
      <c r="X1433" s="1658"/>
      <c r="Y1433" s="1658"/>
      <c r="Z1433" s="1658"/>
      <c r="AA1433" s="1658"/>
      <c r="AB1433" s="1658"/>
      <c r="AC1433" s="1658"/>
      <c r="AD1433" s="1658"/>
      <c r="AE1433" s="1658"/>
      <c r="AF1433" s="1658"/>
    </row>
    <row r="1434" spans="1:32" ht="15">
      <c r="A1434" s="1658"/>
      <c r="B1434" s="1658"/>
      <c r="C1434" s="1658"/>
      <c r="D1434" s="1658"/>
      <c r="E1434" s="1658"/>
      <c r="F1434" s="1658"/>
      <c r="G1434" s="1658"/>
      <c r="H1434" s="1658"/>
      <c r="I1434" s="1658"/>
      <c r="J1434" s="1658"/>
      <c r="K1434" s="1658"/>
      <c r="L1434" s="1658"/>
      <c r="M1434" s="1658"/>
      <c r="N1434" s="2556"/>
      <c r="O1434" s="2557"/>
      <c r="P1434" s="2557"/>
      <c r="Q1434" s="1658"/>
      <c r="R1434" s="1658"/>
      <c r="S1434" s="1658"/>
      <c r="T1434" s="1658"/>
      <c r="U1434" s="1658"/>
      <c r="V1434" s="1658"/>
      <c r="W1434" s="1658"/>
      <c r="X1434" s="1658"/>
      <c r="Y1434" s="1658"/>
      <c r="Z1434" s="1658"/>
      <c r="AA1434" s="1658"/>
      <c r="AB1434" s="1658"/>
      <c r="AC1434" s="1658"/>
      <c r="AD1434" s="1658"/>
      <c r="AE1434" s="1658"/>
      <c r="AF1434" s="1658"/>
    </row>
    <row r="1435" spans="1:32" ht="15">
      <c r="A1435" s="2064" t="s">
        <v>1578</v>
      </c>
      <c r="B1435" s="2065" t="s">
        <v>1999</v>
      </c>
      <c r="C1435" s="1658"/>
      <c r="D1435" s="1658"/>
      <c r="E1435" s="1658"/>
      <c r="F1435" s="1658"/>
      <c r="G1435" s="2410"/>
      <c r="H1435" s="1658"/>
      <c r="I1435" s="2071" t="str">
        <f>IF($O$274&gt;0,"Points already claimed in another restricted section!","")</f>
        <v/>
      </c>
      <c r="J1435" s="1658"/>
      <c r="K1435" s="2492" t="str">
        <f>IF(AND(SUM(O1437,O1440,O1443)&gt;0,NOT($F$12="New Affordability"),NOT($O$12="9%")), "Not 9% New Affordability!","")</f>
        <v>Not 9% New Affordability!</v>
      </c>
      <c r="L1435" s="2409" t="s">
        <v>1767</v>
      </c>
      <c r="M1435" s="2555">
        <v>5</v>
      </c>
      <c r="N1435" s="1643"/>
      <c r="O1435" s="1657">
        <f>'Part VIII Scoring Criteria'!O286</f>
        <v>5</v>
      </c>
      <c r="P1435" s="1657">
        <f>'Part VIII Scoring Criteria'!P286</f>
        <v>0</v>
      </c>
      <c r="Q1435" s="2555" t="s">
        <v>795</v>
      </c>
      <c r="R1435" s="2413"/>
      <c r="S1435" s="1628"/>
      <c r="T1435" s="1628"/>
      <c r="U1435" s="1628"/>
      <c r="V1435" s="1628"/>
      <c r="W1435" s="1665"/>
      <c r="X1435" s="1665"/>
      <c r="Y1435" s="1658"/>
      <c r="Z1435" s="1658"/>
      <c r="AA1435" s="1658"/>
      <c r="AB1435" s="1658"/>
      <c r="AC1435" s="1658"/>
      <c r="AD1435" s="1658"/>
      <c r="AE1435" s="1658"/>
      <c r="AF1435" s="1658"/>
    </row>
    <row r="1436" spans="1:32" ht="15">
      <c r="A1436" s="1658"/>
      <c r="B1436" s="1658" t="s">
        <v>2000</v>
      </c>
      <c r="C1436" s="1658"/>
      <c r="D1436" s="1658"/>
      <c r="E1436" s="1658"/>
      <c r="F1436" s="1658"/>
      <c r="G1436" s="1658"/>
      <c r="H1436" s="1658"/>
      <c r="I1436" s="1658"/>
      <c r="J1436" s="1658"/>
      <c r="K1436" s="1658"/>
      <c r="L1436" s="1658"/>
      <c r="M1436" s="1658"/>
      <c r="N1436" s="2556"/>
      <c r="O1436" s="2557"/>
      <c r="P1436" s="2557"/>
      <c r="Q1436" s="1658"/>
      <c r="R1436" s="1658"/>
      <c r="S1436" s="1658"/>
      <c r="T1436" s="1658"/>
      <c r="U1436" s="1658"/>
      <c r="V1436" s="1658"/>
      <c r="W1436" s="1658"/>
      <c r="X1436" s="1658"/>
      <c r="Y1436" s="1658"/>
      <c r="Z1436" s="1658"/>
      <c r="AA1436" s="1658"/>
      <c r="AB1436" s="1658"/>
      <c r="AC1436" s="1658"/>
      <c r="AD1436" s="1658"/>
      <c r="AE1436" s="1658"/>
      <c r="AF1436" s="1658"/>
    </row>
    <row r="1437" spans="1:32" ht="15">
      <c r="A1437" s="2555" t="s">
        <v>197</v>
      </c>
      <c r="B1437" s="1628" t="s">
        <v>2001</v>
      </c>
      <c r="C1437" s="1629"/>
      <c r="D1437" s="1629"/>
      <c r="E1437" s="1629"/>
      <c r="F1437" s="1629"/>
      <c r="G1437" s="1629"/>
      <c r="H1437" s="1629"/>
      <c r="I1437" s="1629"/>
      <c r="J1437" s="1629"/>
      <c r="K1437" s="1629"/>
      <c r="L1437" s="2441" t="s">
        <v>1767</v>
      </c>
      <c r="M1437" s="1643">
        <v>5</v>
      </c>
      <c r="N1437" s="2067"/>
      <c r="O1437" s="1657">
        <f>'Part VIII Scoring Criteria'!O288</f>
        <v>5</v>
      </c>
      <c r="P1437" s="1657"/>
      <c r="Q1437" s="2412" t="str">
        <f>IF(OR($O1437&lt;=$M1437,$O1437=""),"","*CHECK!*")</f>
        <v/>
      </c>
      <c r="R1437" s="2413"/>
      <c r="S1437" s="1628"/>
      <c r="T1437" s="1628"/>
      <c r="U1437" s="1628"/>
      <c r="V1437" s="1628"/>
      <c r="W1437" s="1629"/>
      <c r="X1437" s="1629"/>
      <c r="Y1437" s="1629"/>
      <c r="Z1437" s="1629"/>
      <c r="AA1437" s="1629"/>
      <c r="AB1437" s="1629"/>
      <c r="AC1437" s="1629"/>
      <c r="AD1437" s="1629"/>
      <c r="AE1437" s="1629"/>
      <c r="AF1437" s="1629"/>
    </row>
    <row r="1438" spans="1:32" ht="15">
      <c r="A1438" s="1658"/>
      <c r="B1438" s="1658"/>
      <c r="C1438" s="1658" t="s">
        <v>2002</v>
      </c>
      <c r="D1438" s="1658"/>
      <c r="E1438" s="1658"/>
      <c r="F1438" s="1658"/>
      <c r="G1438" s="1658"/>
      <c r="H1438" s="1658"/>
      <c r="I1438" s="1658"/>
      <c r="J1438" s="1658"/>
      <c r="K1438" s="1658"/>
      <c r="L1438" s="1658"/>
      <c r="M1438" s="1658"/>
      <c r="N1438" s="2556"/>
      <c r="O1438" s="1657">
        <f>'Part VIII Scoring Criteria'!O289</f>
        <v>0</v>
      </c>
      <c r="P1438" s="1657"/>
      <c r="Q1438" s="1658"/>
      <c r="R1438" s="1658"/>
      <c r="S1438" s="1658"/>
      <c r="T1438" s="1658"/>
      <c r="U1438" s="1658"/>
      <c r="V1438" s="1658"/>
      <c r="W1438" s="1658"/>
      <c r="X1438" s="1658"/>
      <c r="Y1438" s="1658"/>
      <c r="Z1438" s="1658"/>
      <c r="AA1438" s="1658"/>
      <c r="AB1438" s="1658"/>
      <c r="AC1438" s="1658"/>
      <c r="AD1438" s="1658"/>
      <c r="AE1438" s="1658"/>
      <c r="AF1438" s="1658"/>
    </row>
    <row r="1439" spans="1:32" ht="15">
      <c r="A1439" s="1658"/>
      <c r="B1439" s="1658"/>
      <c r="C1439" s="1658" t="s">
        <v>2003</v>
      </c>
      <c r="D1439" s="1658"/>
      <c r="E1439" s="1658"/>
      <c r="F1439" s="1658"/>
      <c r="G1439" s="1658"/>
      <c r="H1439" s="1658"/>
      <c r="I1439" s="1658"/>
      <c r="J1439" s="1658"/>
      <c r="K1439" s="1658"/>
      <c r="L1439" s="1658"/>
      <c r="M1439" s="1658"/>
      <c r="N1439" s="2556"/>
      <c r="O1439" s="1657" t="str">
        <f>'Part VIII Scoring Criteria'!O290</f>
        <v>N/a</v>
      </c>
      <c r="P1439" s="1657"/>
      <c r="Q1439" s="1658"/>
      <c r="R1439" s="1658"/>
      <c r="S1439" s="1658"/>
      <c r="T1439" s="1658"/>
      <c r="U1439" s="1658"/>
      <c r="V1439" s="1658"/>
      <c r="W1439" s="1658"/>
      <c r="X1439" s="1658"/>
      <c r="Y1439" s="1658"/>
      <c r="Z1439" s="1658"/>
      <c r="AA1439" s="1658"/>
      <c r="AB1439" s="1658"/>
      <c r="AC1439" s="1658"/>
      <c r="AD1439" s="1658"/>
      <c r="AE1439" s="1658"/>
      <c r="AF1439" s="1658"/>
    </row>
    <row r="1440" spans="1:32" ht="15">
      <c r="A1440" s="2555" t="s">
        <v>209</v>
      </c>
      <c r="B1440" s="1628" t="s">
        <v>2004</v>
      </c>
      <c r="C1440" s="1629"/>
      <c r="D1440" s="1629"/>
      <c r="E1440" s="1629"/>
      <c r="F1440" s="1629"/>
      <c r="G1440" s="1629"/>
      <c r="H1440" s="1629"/>
      <c r="I1440" s="1629"/>
      <c r="J1440" s="1629"/>
      <c r="K1440" s="1629"/>
      <c r="L1440" s="2441" t="s">
        <v>1767</v>
      </c>
      <c r="M1440" s="1643">
        <v>3</v>
      </c>
      <c r="N1440" s="2067"/>
      <c r="O1440" s="1657">
        <f>'Part VIII Scoring Criteria'!O291</f>
        <v>0</v>
      </c>
      <c r="P1440" s="1657"/>
      <c r="Q1440" s="2412" t="str">
        <f>IF(OR($O1440&lt;=$M1440,$O1440=""),"","*CHECK!*")</f>
        <v/>
      </c>
      <c r="R1440" s="2413"/>
      <c r="S1440" s="1629"/>
      <c r="T1440" s="1629"/>
      <c r="U1440" s="1629"/>
      <c r="V1440" s="1629"/>
      <c r="W1440" s="1629"/>
      <c r="X1440" s="1629"/>
      <c r="Y1440" s="1629"/>
      <c r="Z1440" s="1629"/>
      <c r="AA1440" s="1629"/>
      <c r="AB1440" s="1629"/>
      <c r="AC1440" s="1629"/>
      <c r="AD1440" s="1629"/>
      <c r="AE1440" s="1629"/>
      <c r="AF1440" s="1629"/>
    </row>
    <row r="1441" spans="1:32" ht="15">
      <c r="A1441" s="1658"/>
      <c r="B1441" s="1658"/>
      <c r="C1441" s="1658" t="s">
        <v>2005</v>
      </c>
      <c r="D1441" s="1658"/>
      <c r="E1441" s="1658"/>
      <c r="F1441" s="1658"/>
      <c r="G1441" s="1658"/>
      <c r="H1441" s="1658"/>
      <c r="I1441" s="1658"/>
      <c r="J1441" s="1658"/>
      <c r="K1441" s="1658"/>
      <c r="L1441" s="1658"/>
      <c r="M1441" s="1658"/>
      <c r="N1441" s="2556"/>
      <c r="O1441" s="1657">
        <f>'Part VIII Scoring Criteria'!O292</f>
        <v>0</v>
      </c>
      <c r="P1441" s="1657"/>
      <c r="Q1441" s="1658"/>
      <c r="R1441" s="1658"/>
      <c r="S1441" s="1658"/>
      <c r="T1441" s="1658"/>
      <c r="U1441" s="1658"/>
      <c r="V1441" s="1658"/>
      <c r="W1441" s="1658"/>
      <c r="X1441" s="1658"/>
      <c r="Y1441" s="1658"/>
      <c r="Z1441" s="1658"/>
      <c r="AA1441" s="1658"/>
      <c r="AB1441" s="1658"/>
      <c r="AC1441" s="1658"/>
      <c r="AD1441" s="1658"/>
      <c r="AE1441" s="1658"/>
      <c r="AF1441" s="1658"/>
    </row>
    <row r="1442" spans="1:32" ht="15">
      <c r="A1442" s="1658"/>
      <c r="B1442" s="1658"/>
      <c r="C1442" s="1658" t="s">
        <v>2006</v>
      </c>
      <c r="D1442" s="1658"/>
      <c r="E1442" s="1658"/>
      <c r="F1442" s="1658"/>
      <c r="G1442" s="1658"/>
      <c r="H1442" s="1658"/>
      <c r="I1442" s="1658"/>
      <c r="J1442" s="1658"/>
      <c r="K1442" s="1658"/>
      <c r="L1442" s="1658"/>
      <c r="M1442" s="1658"/>
      <c r="N1442" s="2556"/>
      <c r="O1442" s="1657">
        <f>'Part VIII Scoring Criteria'!O293</f>
        <v>0</v>
      </c>
      <c r="P1442" s="1657"/>
      <c r="Q1442" s="1658"/>
      <c r="R1442" s="1658"/>
      <c r="S1442" s="1658"/>
      <c r="T1442" s="1658"/>
      <c r="U1442" s="1658"/>
      <c r="V1442" s="1658"/>
      <c r="W1442" s="1658"/>
      <c r="X1442" s="1658"/>
      <c r="Y1442" s="1658"/>
      <c r="Z1442" s="1658"/>
      <c r="AA1442" s="1658"/>
      <c r="AB1442" s="1658"/>
      <c r="AC1442" s="1658"/>
      <c r="AD1442" s="1658"/>
      <c r="AE1442" s="1658"/>
      <c r="AF1442" s="1658"/>
    </row>
    <row r="1443" spans="1:32" ht="15">
      <c r="A1443" s="2555" t="s">
        <v>230</v>
      </c>
      <c r="B1443" s="1628" t="s">
        <v>2007</v>
      </c>
      <c r="C1443" s="1658"/>
      <c r="D1443" s="1658"/>
      <c r="E1443" s="1658"/>
      <c r="F1443" s="1658"/>
      <c r="G1443" s="1660"/>
      <c r="H1443" s="1658"/>
      <c r="I1443" s="2410"/>
      <c r="J1443" s="1658"/>
      <c r="K1443" s="1658"/>
      <c r="L1443" s="2441" t="s">
        <v>1767</v>
      </c>
      <c r="M1443" s="1643">
        <v>3</v>
      </c>
      <c r="N1443" s="2067"/>
      <c r="O1443" s="1657">
        <f>'Part VIII Scoring Criteria'!O294</f>
        <v>0</v>
      </c>
      <c r="P1443" s="1657"/>
      <c r="Q1443" s="2412" t="str">
        <f>IF(OR($O1443&lt;=$M1443,$O1443=""),"","*CHECK!*")</f>
        <v/>
      </c>
      <c r="R1443" s="2413"/>
      <c r="S1443" s="1658"/>
      <c r="T1443" s="1658"/>
      <c r="U1443" s="1658"/>
      <c r="V1443" s="1658"/>
      <c r="W1443" s="1658"/>
      <c r="X1443" s="1658"/>
      <c r="Y1443" s="1658"/>
      <c r="Z1443" s="1658"/>
      <c r="AA1443" s="1658"/>
      <c r="AB1443" s="1658"/>
      <c r="AC1443" s="1658"/>
      <c r="AD1443" s="1658"/>
      <c r="AE1443" s="1658"/>
      <c r="AF1443" s="1658"/>
    </row>
    <row r="1444" spans="1:32" ht="15">
      <c r="A1444" s="1658"/>
      <c r="B1444" s="1658"/>
      <c r="C1444" s="1658" t="s">
        <v>2008</v>
      </c>
      <c r="D1444" s="1658"/>
      <c r="E1444" s="1658"/>
      <c r="F1444" s="1658"/>
      <c r="G1444" s="1658"/>
      <c r="H1444" s="1658"/>
      <c r="I1444" s="1658"/>
      <c r="J1444" s="1658"/>
      <c r="K1444" s="1658"/>
      <c r="L1444" s="1658"/>
      <c r="M1444" s="1658"/>
      <c r="N1444" s="2556"/>
      <c r="O1444" s="1657">
        <f>'Part VIII Scoring Criteria'!O295</f>
        <v>0</v>
      </c>
      <c r="P1444" s="2495"/>
      <c r="Q1444" s="1658"/>
      <c r="R1444" s="1658"/>
      <c r="S1444" s="1658"/>
      <c r="T1444" s="1658"/>
      <c r="U1444" s="1658"/>
      <c r="V1444" s="1658"/>
      <c r="W1444" s="1658"/>
      <c r="X1444" s="1658"/>
      <c r="Y1444" s="1658"/>
      <c r="Z1444" s="1658"/>
      <c r="AA1444" s="1658"/>
      <c r="AB1444" s="1658"/>
      <c r="AC1444" s="1658"/>
      <c r="AD1444" s="1658"/>
      <c r="AE1444" s="1658"/>
      <c r="AF1444" s="1658"/>
    </row>
    <row r="1445" spans="1:32" ht="15">
      <c r="A1445" s="1658"/>
      <c r="B1445" s="1658"/>
      <c r="C1445" s="1658"/>
      <c r="D1445" s="1658"/>
      <c r="E1445" s="1658"/>
      <c r="F1445" s="1658"/>
      <c r="G1445" s="1658"/>
      <c r="H1445" s="1658"/>
      <c r="I1445" s="1658"/>
      <c r="J1445" s="1658"/>
      <c r="K1445" s="1658"/>
      <c r="L1445" s="1658"/>
      <c r="M1445" s="1658"/>
      <c r="N1445" s="2556"/>
      <c r="O1445" s="2557"/>
      <c r="P1445" s="2557"/>
      <c r="Q1445" s="1658"/>
      <c r="R1445" s="1658"/>
      <c r="S1445" s="1658"/>
      <c r="T1445" s="1658"/>
      <c r="U1445" s="1658"/>
      <c r="V1445" s="1658"/>
      <c r="W1445" s="1658"/>
      <c r="X1445" s="1658"/>
      <c r="Y1445" s="1658"/>
      <c r="Z1445" s="1658"/>
      <c r="AA1445" s="1658"/>
      <c r="AB1445" s="1658"/>
      <c r="AC1445" s="1658"/>
      <c r="AD1445" s="1658"/>
      <c r="AE1445" s="1658"/>
      <c r="AF1445" s="1658"/>
    </row>
    <row r="1446" spans="1:32" ht="15">
      <c r="A1446" s="1629"/>
      <c r="B1446" s="2407" t="s">
        <v>2286</v>
      </c>
      <c r="C1446" s="1629"/>
      <c r="D1446" s="1629"/>
      <c r="E1446" s="1629"/>
      <c r="F1446" s="1629"/>
      <c r="G1446" s="1629"/>
      <c r="H1446" s="1629"/>
      <c r="I1446" s="1629"/>
      <c r="J1446" s="1629"/>
      <c r="K1446" s="1629"/>
      <c r="L1446" s="1658"/>
      <c r="M1446" s="1643"/>
      <c r="N1446" s="2556"/>
      <c r="O1446" s="1657"/>
      <c r="P1446" s="2557"/>
      <c r="Q1446" s="1658"/>
      <c r="R1446" s="1658"/>
      <c r="S1446" s="1658"/>
      <c r="T1446" s="1658"/>
      <c r="U1446" s="1658"/>
      <c r="V1446" s="1658"/>
      <c r="W1446" s="1658"/>
      <c r="X1446" s="1658"/>
      <c r="Y1446" s="1658"/>
      <c r="Z1446" s="1658"/>
      <c r="AA1446" s="1658"/>
      <c r="AB1446" s="1658"/>
      <c r="AC1446" s="1658"/>
      <c r="AD1446" s="1658"/>
      <c r="AE1446" s="1658"/>
      <c r="AF1446" s="1658"/>
    </row>
    <row r="1447" spans="1:32" ht="15">
      <c r="A1447" s="2422" t="str">
        <f>'Part VIII Scoring Criteria'!A298</f>
        <v>There have been no awards of 9% or 4% credits given within the Local Government Boundary of Austell in the last fifteen DCA Housing Credit Competitive Rounds. The site has been annexed into the City of Austell. Austell has been incorporated since before January 1, 2018. Therefore, the development is eligible to receive five (5) points within the category.  The site was annexed into the city of Austell prior to Prestwick's involvement.</v>
      </c>
      <c r="B1447" s="2422"/>
      <c r="C1447" s="2422"/>
      <c r="D1447" s="2422"/>
      <c r="E1447" s="2422"/>
      <c r="F1447" s="2422"/>
      <c r="G1447" s="2422"/>
      <c r="H1447" s="2422"/>
      <c r="I1447" s="2422"/>
      <c r="J1447" s="2422"/>
      <c r="K1447" s="2422"/>
      <c r="L1447" s="2422"/>
      <c r="M1447" s="2422"/>
      <c r="N1447" s="2422"/>
      <c r="O1447" s="2422"/>
      <c r="P1447" s="2422"/>
      <c r="Q1447" s="1628"/>
      <c r="R1447" s="1658"/>
      <c r="S1447" s="1658"/>
      <c r="T1447" s="1658"/>
      <c r="U1447" s="1658"/>
      <c r="V1447" s="1658"/>
      <c r="W1447" s="1658"/>
      <c r="X1447" s="1658"/>
      <c r="Y1447" s="1658"/>
      <c r="Z1447" s="1658"/>
      <c r="AA1447" s="1658"/>
      <c r="AB1447" s="1658"/>
      <c r="AC1447" s="1658"/>
      <c r="AD1447" s="1658"/>
      <c r="AE1447" s="1658"/>
      <c r="AF1447" s="1658"/>
    </row>
    <row r="1448" spans="1:32" ht="15">
      <c r="A1448" s="1658"/>
      <c r="B1448" s="2422" t="s">
        <v>1447</v>
      </c>
      <c r="C1448" s="1629"/>
      <c r="D1448" s="2422"/>
      <c r="E1448" s="1664"/>
      <c r="F1448" s="1664"/>
      <c r="G1448" s="1664"/>
      <c r="H1448" s="1664"/>
      <c r="I1448" s="1664"/>
      <c r="J1448" s="1664"/>
      <c r="K1448" s="1664"/>
      <c r="L1448" s="1664"/>
      <c r="M1448" s="1664"/>
      <c r="N1448" s="1662"/>
      <c r="O1448" s="2418"/>
      <c r="P1448" s="2555"/>
      <c r="Q1448" s="1658"/>
      <c r="R1448" s="1658"/>
      <c r="S1448" s="1658"/>
      <c r="T1448" s="1658"/>
      <c r="U1448" s="1658"/>
      <c r="V1448" s="1658"/>
      <c r="W1448" s="1658"/>
      <c r="X1448" s="1658"/>
      <c r="Y1448" s="1658"/>
      <c r="Z1448" s="1658"/>
      <c r="AA1448" s="1658"/>
      <c r="AB1448" s="1658"/>
      <c r="AC1448" s="1658"/>
      <c r="AD1448" s="1658"/>
      <c r="AE1448" s="1658"/>
      <c r="AF1448" s="1658"/>
    </row>
    <row r="1449" spans="1:32" ht="15">
      <c r="A1449" s="1663"/>
      <c r="B1449" s="1663"/>
      <c r="C1449" s="1663"/>
      <c r="D1449" s="1663"/>
      <c r="E1449" s="1663"/>
      <c r="F1449" s="1663"/>
      <c r="G1449" s="1663"/>
      <c r="H1449" s="1663"/>
      <c r="I1449" s="1663"/>
      <c r="J1449" s="1663"/>
      <c r="K1449" s="1663"/>
      <c r="L1449" s="1663"/>
      <c r="M1449" s="1663"/>
      <c r="N1449" s="1663"/>
      <c r="O1449" s="1663"/>
      <c r="P1449" s="1663"/>
      <c r="Q1449" s="1628"/>
      <c r="R1449" s="1658"/>
      <c r="S1449" s="1658"/>
      <c r="T1449" s="1658"/>
      <c r="U1449" s="1658"/>
      <c r="V1449" s="1658"/>
      <c r="W1449" s="1658"/>
      <c r="X1449" s="1658"/>
      <c r="Y1449" s="1658"/>
      <c r="Z1449" s="1658"/>
      <c r="AA1449" s="1658"/>
      <c r="AB1449" s="1658"/>
      <c r="AC1449" s="1658"/>
      <c r="AD1449" s="1658"/>
      <c r="AE1449" s="1658"/>
      <c r="AF1449" s="1658"/>
    </row>
    <row r="1450" spans="1:32" ht="15">
      <c r="A1450" s="1658"/>
      <c r="B1450" s="1658"/>
      <c r="C1450" s="1658"/>
      <c r="D1450" s="1658"/>
      <c r="E1450" s="1658"/>
      <c r="F1450" s="1658"/>
      <c r="G1450" s="1658"/>
      <c r="H1450" s="1658"/>
      <c r="I1450" s="1658"/>
      <c r="J1450" s="1658"/>
      <c r="K1450" s="1658"/>
      <c r="L1450" s="1658"/>
      <c r="M1450" s="1658"/>
      <c r="N1450" s="2556"/>
      <c r="O1450" s="2557"/>
      <c r="P1450" s="2557"/>
      <c r="Q1450" s="1658"/>
      <c r="R1450" s="1658"/>
      <c r="S1450" s="1658"/>
      <c r="T1450" s="1658"/>
      <c r="U1450" s="1658"/>
      <c r="V1450" s="1658"/>
      <c r="W1450" s="1658"/>
      <c r="X1450" s="1658"/>
      <c r="Y1450" s="1658"/>
      <c r="Z1450" s="1658"/>
      <c r="AA1450" s="1658"/>
      <c r="AB1450" s="1658"/>
      <c r="AC1450" s="1658"/>
      <c r="AD1450" s="1658"/>
      <c r="AE1450" s="1658"/>
      <c r="AF1450" s="1658"/>
    </row>
    <row r="1451" spans="1:32" ht="15">
      <c r="A1451" s="1658"/>
      <c r="B1451" s="1658"/>
      <c r="C1451" s="1658"/>
      <c r="D1451" s="1658"/>
      <c r="E1451" s="1658"/>
      <c r="F1451" s="1658"/>
      <c r="G1451" s="1658"/>
      <c r="H1451" s="1658"/>
      <c r="I1451" s="1658"/>
      <c r="J1451" s="1658"/>
      <c r="K1451" s="1658"/>
      <c r="L1451" s="1658"/>
      <c r="M1451" s="1658"/>
      <c r="N1451" s="2556"/>
      <c r="O1451" s="2557"/>
      <c r="P1451" s="2557"/>
      <c r="Q1451" s="1658"/>
      <c r="R1451" s="1658"/>
      <c r="S1451" s="1658"/>
      <c r="T1451" s="1658"/>
      <c r="U1451" s="1658"/>
      <c r="V1451" s="1658"/>
      <c r="W1451" s="1658"/>
      <c r="X1451" s="1658"/>
      <c r="Y1451" s="1658"/>
      <c r="Z1451" s="1658"/>
      <c r="AA1451" s="1658"/>
      <c r="AB1451" s="1658"/>
      <c r="AC1451" s="1658"/>
      <c r="AD1451" s="1658"/>
      <c r="AE1451" s="1658"/>
      <c r="AF1451" s="1658"/>
    </row>
    <row r="1452" spans="1:32" ht="15">
      <c r="A1452" s="2064" t="s">
        <v>1589</v>
      </c>
      <c r="B1452" s="2065" t="s">
        <v>2010</v>
      </c>
      <c r="C1452" s="1629"/>
      <c r="D1452" s="2065"/>
      <c r="E1452" s="2065"/>
      <c r="F1452" s="1629"/>
      <c r="G1452" s="2423"/>
      <c r="H1452" s="1629"/>
      <c r="I1452" s="1629"/>
      <c r="J1452" s="2071" t="str">
        <f>IF(OR($O$206&gt;0,$O$238&gt;0,$O$265&gt;0),"Points already claimed in another restricted section!","")</f>
        <v>Points already claimed in another restricted section!</v>
      </c>
      <c r="K1452" s="2071" t="str">
        <f>IF(AND(O1452&gt;0,NOT($F$12="New Affordability")), "Not New Affordability!","")</f>
        <v/>
      </c>
      <c r="L1452" s="2409" t="s">
        <v>1767</v>
      </c>
      <c r="M1452" s="2555">
        <v>10</v>
      </c>
      <c r="N1452" s="1643"/>
      <c r="O1452" s="1657">
        <f>'Part VIII Scoring Criteria'!O303</f>
        <v>0</v>
      </c>
      <c r="P1452" s="1657">
        <f>'Part VIII Scoring Criteria'!P303</f>
        <v>0</v>
      </c>
      <c r="Q1452" s="2555" t="s">
        <v>795</v>
      </c>
      <c r="R1452" s="2483" t="s">
        <v>1932</v>
      </c>
      <c r="S1452" s="1628"/>
      <c r="T1452" s="1628"/>
      <c r="U1452" s="1628"/>
      <c r="V1452" s="2479">
        <f>$C$16</f>
        <v>0</v>
      </c>
      <c r="W1452" s="1629"/>
      <c r="X1452" s="1629"/>
      <c r="Y1452" s="1629"/>
      <c r="Z1452" s="1629"/>
      <c r="AA1452" s="1629"/>
      <c r="AB1452" s="1629"/>
      <c r="AC1452" s="1629"/>
      <c r="AD1452" s="1629"/>
      <c r="AE1452" s="1629"/>
      <c r="AF1452" s="1629"/>
    </row>
    <row r="1453" spans="1:32" ht="15">
      <c r="A1453" s="2064"/>
      <c r="B1453" s="2065"/>
      <c r="C1453" s="1629"/>
      <c r="D1453" s="2065"/>
      <c r="E1453" s="2065"/>
      <c r="F1453" s="1629"/>
      <c r="G1453" s="1629"/>
      <c r="H1453" s="1629"/>
      <c r="I1453" s="1629"/>
      <c r="J1453" s="1629"/>
      <c r="K1453" s="1629"/>
      <c r="L1453" s="2071"/>
      <c r="M1453" s="2555"/>
      <c r="N1453" s="1643"/>
      <c r="O1453" s="1657"/>
      <c r="P1453" s="1657"/>
      <c r="Q1453" s="2555"/>
      <c r="R1453" s="2413"/>
      <c r="S1453" s="1628"/>
      <c r="T1453" s="1628"/>
      <c r="U1453" s="1628"/>
      <c r="V1453" s="1658"/>
      <c r="W1453" s="1658"/>
      <c r="X1453" s="1658"/>
      <c r="Y1453" s="1629"/>
      <c r="Z1453" s="1629"/>
      <c r="AA1453" s="1629"/>
      <c r="AB1453" s="1629"/>
      <c r="AC1453" s="1629"/>
      <c r="AD1453" s="1629"/>
      <c r="AE1453" s="1629"/>
      <c r="AF1453" s="1629"/>
    </row>
    <row r="1454" spans="1:32" ht="15">
      <c r="A1454" s="2064"/>
      <c r="B1454" s="1629"/>
      <c r="C1454" s="1629" t="s">
        <v>2011</v>
      </c>
      <c r="D1454" s="2065"/>
      <c r="E1454" s="2065"/>
      <c r="F1454" s="1629"/>
      <c r="G1454" s="1629"/>
      <c r="H1454" s="1629"/>
      <c r="I1454" s="1629"/>
      <c r="J1454" s="2555" t="s">
        <v>1758</v>
      </c>
      <c r="K1454" s="2555" t="s">
        <v>1749</v>
      </c>
      <c r="L1454" s="2071"/>
      <c r="M1454" s="2555"/>
      <c r="N1454" s="1643"/>
      <c r="O1454" s="1657"/>
      <c r="P1454" s="1657"/>
      <c r="Q1454" s="2555"/>
      <c r="R1454" s="2413"/>
      <c r="S1454" s="1628"/>
      <c r="T1454" s="1628"/>
      <c r="U1454" s="1628"/>
      <c r="V1454" s="1658"/>
      <c r="W1454" s="1658"/>
      <c r="X1454" s="1658"/>
      <c r="Y1454" s="1629"/>
      <c r="Z1454" s="1629"/>
      <c r="AA1454" s="1629"/>
      <c r="AB1454" s="1629"/>
      <c r="AC1454" s="1629"/>
      <c r="AD1454" s="1629"/>
      <c r="AE1454" s="1629"/>
      <c r="AF1454" s="1629"/>
    </row>
    <row r="1455" spans="1:32" ht="15">
      <c r="A1455" s="2064"/>
      <c r="B1455" s="2065"/>
      <c r="C1455" s="1629"/>
      <c r="D1455" s="1629" t="s">
        <v>2012</v>
      </c>
      <c r="E1455" s="2065"/>
      <c r="F1455" s="1629"/>
      <c r="G1455" s="1629"/>
      <c r="H1455" s="1629"/>
      <c r="I1455" s="1629"/>
      <c r="J1455" s="2496">
        <f>'Part VIII Scoring Criteria'!J306</f>
        <v>0</v>
      </c>
      <c r="K1455" s="2496">
        <f>'Part VIII Scoring Criteria'!K306</f>
        <v>0</v>
      </c>
      <c r="L1455" s="2071"/>
      <c r="M1455" s="1629" t="str">
        <f>'Part VIII Scoring Criteria'!M306</f>
        <v>Atlanta Metro</v>
      </c>
      <c r="N1455" s="1629"/>
      <c r="O1455" s="1629"/>
      <c r="P1455" s="1629"/>
      <c r="Q1455" s="2555"/>
      <c r="R1455" s="2413"/>
      <c r="S1455" s="1628"/>
      <c r="T1455" s="1628"/>
      <c r="U1455" s="1628"/>
      <c r="V1455" s="1658"/>
      <c r="W1455" s="1658"/>
      <c r="X1455" s="1658"/>
      <c r="Y1455" s="1629"/>
      <c r="Z1455" s="1629"/>
      <c r="AA1455" s="1629"/>
      <c r="AB1455" s="1629"/>
      <c r="AC1455" s="1629"/>
      <c r="AD1455" s="1629"/>
      <c r="AE1455" s="1629"/>
      <c r="AF1455" s="1629"/>
    </row>
    <row r="1456" spans="1:32" ht="15">
      <c r="A1456" s="2064"/>
      <c r="B1456" s="2065"/>
      <c r="C1456" s="1629"/>
      <c r="D1456" s="1629" t="s">
        <v>1763</v>
      </c>
      <c r="E1456" s="2065"/>
      <c r="F1456" s="1629"/>
      <c r="G1456" s="1629"/>
      <c r="H1456" s="1629"/>
      <c r="I1456" s="1629"/>
      <c r="J1456" s="2405">
        <f>'Part VIII Scoring Criteria'!J307</f>
        <v>9</v>
      </c>
      <c r="K1456" s="2405">
        <f>'Part VIII Scoring Criteria'!K307</f>
        <v>0</v>
      </c>
      <c r="L1456" s="2071"/>
      <c r="M1456" s="2555"/>
      <c r="N1456" s="1643"/>
      <c r="O1456" s="1657"/>
      <c r="P1456" s="1657"/>
      <c r="Q1456" s="2555"/>
      <c r="R1456" s="2413"/>
      <c r="S1456" s="1628"/>
      <c r="T1456" s="1628"/>
      <c r="U1456" s="1628"/>
      <c r="V1456" s="1658"/>
      <c r="W1456" s="1658"/>
      <c r="X1456" s="1658"/>
      <c r="Y1456" s="1629"/>
      <c r="Z1456" s="1629"/>
      <c r="AA1456" s="1629"/>
      <c r="AB1456" s="1629"/>
      <c r="AC1456" s="1629"/>
      <c r="AD1456" s="1629"/>
      <c r="AE1456" s="1629"/>
      <c r="AF1456" s="1629"/>
    </row>
    <row r="1457" spans="1:32" ht="15">
      <c r="A1457" s="2064"/>
      <c r="B1457" s="2065"/>
      <c r="C1457" s="1629"/>
      <c r="D1457" s="2065"/>
      <c r="E1457" s="2065"/>
      <c r="F1457" s="1629"/>
      <c r="G1457" s="1629"/>
      <c r="H1457" s="1629"/>
      <c r="I1457" s="1629"/>
      <c r="J1457" s="1629"/>
      <c r="K1457" s="1629"/>
      <c r="L1457" s="2071"/>
      <c r="M1457" s="2555"/>
      <c r="N1457" s="1643"/>
      <c r="O1457" s="1657"/>
      <c r="P1457" s="1657"/>
      <c r="Q1457" s="2555"/>
      <c r="R1457" s="2413"/>
      <c r="S1457" s="1628"/>
      <c r="T1457" s="1628"/>
      <c r="U1457" s="1628"/>
      <c r="V1457" s="1658"/>
      <c r="W1457" s="1658"/>
      <c r="X1457" s="1658"/>
      <c r="Y1457" s="1629"/>
      <c r="Z1457" s="1629"/>
      <c r="AA1457" s="1629"/>
      <c r="AB1457" s="1629"/>
      <c r="AC1457" s="1629"/>
      <c r="AD1457" s="1629"/>
      <c r="AE1457" s="1629"/>
      <c r="AF1457" s="1629"/>
    </row>
    <row r="1458" spans="1:32" ht="15">
      <c r="A1458" s="2555" t="s">
        <v>197</v>
      </c>
      <c r="B1458" s="2427" t="s">
        <v>2013</v>
      </c>
      <c r="C1458" s="1658"/>
      <c r="D1458" s="1664"/>
      <c r="E1458" s="1664"/>
      <c r="F1458" s="1664"/>
      <c r="G1458" s="1664"/>
      <c r="H1458" s="1664"/>
      <c r="I1458" s="1658"/>
      <c r="J1458" s="1658"/>
      <c r="K1458" s="1658"/>
      <c r="L1458" s="2411" t="str">
        <f t="shared" ref="L1458:L1459" si="429">IF(OR($O1458=$M1458,$O1458=0,$O1458=""),"","* * Check Score! * *")</f>
        <v/>
      </c>
      <c r="M1458" s="2555">
        <v>5</v>
      </c>
      <c r="N1458" s="2067"/>
      <c r="O1458" s="1657">
        <f>'Part VIII Scoring Criteria'!O309</f>
        <v>0</v>
      </c>
      <c r="P1458" s="1657"/>
      <c r="Q1458" s="2556"/>
      <c r="R1458" s="1628"/>
      <c r="S1458" s="1628"/>
      <c r="T1458" s="1628"/>
      <c r="U1458" s="1628"/>
      <c r="V1458" s="1628"/>
      <c r="W1458" s="1658"/>
      <c r="X1458" s="1658"/>
      <c r="Y1458" s="1658"/>
      <c r="Z1458" s="1658"/>
      <c r="AA1458" s="1658"/>
      <c r="AB1458" s="1658"/>
      <c r="AC1458" s="1658"/>
      <c r="AD1458" s="1658"/>
      <c r="AE1458" s="1658"/>
      <c r="AF1458" s="1658"/>
    </row>
    <row r="1459" spans="1:32" ht="15">
      <c r="A1459" s="2555" t="s">
        <v>209</v>
      </c>
      <c r="B1459" s="2427" t="s">
        <v>2014</v>
      </c>
      <c r="C1459" s="1658"/>
      <c r="D1459" s="1664"/>
      <c r="E1459" s="1658"/>
      <c r="F1459" s="1658"/>
      <c r="G1459" s="1658"/>
      <c r="H1459" s="1658"/>
      <c r="I1459" s="1658"/>
      <c r="J1459" s="2497" t="str">
        <f>IF(AND(O1458=$M1458,OR((O1364+O1379+O1386)&gt;=5,J1400&gt;=5)),"Eligible","Currently not eligible")</f>
        <v>Currently not eligible</v>
      </c>
      <c r="K1459" s="1658"/>
      <c r="L1459" s="2411" t="str">
        <f t="shared" si="429"/>
        <v/>
      </c>
      <c r="M1459" s="2555">
        <v>5</v>
      </c>
      <c r="N1459" s="2067"/>
      <c r="O1459" s="1657">
        <f>'Part VIII Scoring Criteria'!O310</f>
        <v>0</v>
      </c>
      <c r="P1459" s="1657">
        <f>'Part VIII Scoring Criteria'!P310</f>
        <v>0</v>
      </c>
      <c r="Q1459" s="2556"/>
      <c r="R1459" s="1628"/>
      <c r="S1459" s="1628"/>
      <c r="T1459" s="1628"/>
      <c r="U1459" s="1628"/>
      <c r="V1459" s="1628"/>
      <c r="W1459" s="1658"/>
      <c r="X1459" s="1658"/>
      <c r="Y1459" s="1658"/>
      <c r="Z1459" s="1658"/>
      <c r="AA1459" s="1658"/>
      <c r="AB1459" s="1658"/>
      <c r="AC1459" s="1658"/>
      <c r="AD1459" s="1658"/>
      <c r="AE1459" s="1658"/>
      <c r="AF1459" s="1658"/>
    </row>
    <row r="1460" spans="1:32" ht="15">
      <c r="A1460" s="1629"/>
      <c r="B1460" s="2407" t="s">
        <v>2286</v>
      </c>
      <c r="C1460" s="1629"/>
      <c r="D1460" s="1629"/>
      <c r="E1460" s="1629"/>
      <c r="F1460" s="1629"/>
      <c r="G1460" s="1629"/>
      <c r="H1460" s="1629"/>
      <c r="I1460" s="1629"/>
      <c r="J1460" s="1629"/>
      <c r="K1460" s="1629"/>
      <c r="L1460" s="1658"/>
      <c r="M1460" s="1643"/>
      <c r="N1460" s="2556"/>
      <c r="O1460" s="1657"/>
      <c r="P1460" s="2557"/>
      <c r="Q1460" s="1658"/>
      <c r="R1460" s="1628"/>
      <c r="S1460" s="1628"/>
      <c r="T1460" s="1628"/>
      <c r="U1460" s="1628"/>
      <c r="V1460" s="1628"/>
      <c r="W1460" s="1658"/>
      <c r="X1460" s="1658"/>
      <c r="Y1460" s="1658"/>
      <c r="Z1460" s="1658"/>
      <c r="AA1460" s="1658"/>
      <c r="AB1460" s="1658"/>
      <c r="AC1460" s="1658"/>
      <c r="AD1460" s="1658"/>
      <c r="AE1460" s="1658"/>
      <c r="AF1460" s="1658"/>
    </row>
    <row r="1461" spans="1:32" ht="15">
      <c r="A1461" s="2422" t="str">
        <f>'Part VIII Scoring Criteria'!A312</f>
        <v>N/A-Claiming Stable Communities Points</v>
      </c>
      <c r="B1461" s="2422"/>
      <c r="C1461" s="2422"/>
      <c r="D1461" s="2422"/>
      <c r="E1461" s="2422"/>
      <c r="F1461" s="2422"/>
      <c r="G1461" s="2422"/>
      <c r="H1461" s="2422"/>
      <c r="I1461" s="2422"/>
      <c r="J1461" s="2422"/>
      <c r="K1461" s="2422"/>
      <c r="L1461" s="2422"/>
      <c r="M1461" s="2422"/>
      <c r="N1461" s="2422"/>
      <c r="O1461" s="2422"/>
      <c r="P1461" s="2422"/>
      <c r="Q1461" s="1628"/>
      <c r="R1461" s="1658"/>
      <c r="S1461" s="1658"/>
      <c r="T1461" s="1658"/>
      <c r="U1461" s="1658"/>
      <c r="V1461" s="1658"/>
      <c r="W1461" s="1658"/>
      <c r="X1461" s="1658"/>
      <c r="Y1461" s="1658"/>
      <c r="Z1461" s="1658"/>
      <c r="AA1461" s="1658"/>
      <c r="AB1461" s="1658"/>
      <c r="AC1461" s="1658"/>
      <c r="AD1461" s="1658"/>
      <c r="AE1461" s="1658"/>
      <c r="AF1461" s="1658"/>
    </row>
    <row r="1462" spans="1:32" ht="15">
      <c r="A1462" s="1629"/>
      <c r="B1462" s="2422" t="s">
        <v>1447</v>
      </c>
      <c r="C1462" s="1629"/>
      <c r="D1462" s="2422"/>
      <c r="E1462" s="1664"/>
      <c r="F1462" s="1664"/>
      <c r="G1462" s="1664"/>
      <c r="H1462" s="1664"/>
      <c r="I1462" s="1664"/>
      <c r="J1462" s="1664"/>
      <c r="K1462" s="1664"/>
      <c r="L1462" s="1664"/>
      <c r="M1462" s="1664"/>
      <c r="N1462" s="1662"/>
      <c r="O1462" s="2418"/>
      <c r="P1462" s="2555"/>
      <c r="Q1462" s="1658"/>
      <c r="R1462" s="1658"/>
      <c r="S1462" s="1658"/>
      <c r="T1462" s="1658"/>
      <c r="U1462" s="1658"/>
      <c r="V1462" s="1658"/>
      <c r="W1462" s="1658"/>
      <c r="X1462" s="1658"/>
      <c r="Y1462" s="1658"/>
      <c r="Z1462" s="1658"/>
      <c r="AA1462" s="1658"/>
      <c r="AB1462" s="1658"/>
      <c r="AC1462" s="1658"/>
      <c r="AD1462" s="1658"/>
      <c r="AE1462" s="1658"/>
      <c r="AF1462" s="1658"/>
    </row>
    <row r="1463" spans="1:32" ht="15">
      <c r="A1463" s="1663"/>
      <c r="B1463" s="1663"/>
      <c r="C1463" s="1663"/>
      <c r="D1463" s="1663"/>
      <c r="E1463" s="1663"/>
      <c r="F1463" s="1663"/>
      <c r="G1463" s="1663"/>
      <c r="H1463" s="1663"/>
      <c r="I1463" s="1663"/>
      <c r="J1463" s="1663"/>
      <c r="K1463" s="1663"/>
      <c r="L1463" s="1663"/>
      <c r="M1463" s="1663"/>
      <c r="N1463" s="1663"/>
      <c r="O1463" s="1663"/>
      <c r="P1463" s="1663"/>
      <c r="Q1463" s="1628"/>
      <c r="R1463" s="1658"/>
      <c r="S1463" s="1658"/>
      <c r="T1463" s="1658"/>
      <c r="U1463" s="1658"/>
      <c r="V1463" s="1658"/>
      <c r="W1463" s="1658"/>
      <c r="X1463" s="1658"/>
      <c r="Y1463" s="1658"/>
      <c r="Z1463" s="1658"/>
      <c r="AA1463" s="1658"/>
      <c r="AB1463" s="1658"/>
      <c r="AC1463" s="1658"/>
      <c r="AD1463" s="1658"/>
      <c r="AE1463" s="1658"/>
      <c r="AF1463" s="1658"/>
    </row>
    <row r="1464" spans="1:32" ht="15">
      <c r="A1464" s="1658"/>
      <c r="B1464" s="1658"/>
      <c r="C1464" s="1658"/>
      <c r="D1464" s="1658"/>
      <c r="E1464" s="1658"/>
      <c r="F1464" s="1658"/>
      <c r="G1464" s="1658"/>
      <c r="H1464" s="1658"/>
      <c r="I1464" s="1658"/>
      <c r="J1464" s="1658"/>
      <c r="K1464" s="1658"/>
      <c r="L1464" s="1658"/>
      <c r="M1464" s="1658"/>
      <c r="N1464" s="2556"/>
      <c r="O1464" s="2557"/>
      <c r="P1464" s="2557"/>
      <c r="Q1464" s="1658"/>
      <c r="R1464" s="1658"/>
      <c r="S1464" s="1658"/>
      <c r="T1464" s="1658"/>
      <c r="U1464" s="1658"/>
      <c r="V1464" s="1658"/>
      <c r="W1464" s="1658"/>
      <c r="X1464" s="1658"/>
      <c r="Y1464" s="1658"/>
      <c r="Z1464" s="1658"/>
      <c r="AA1464" s="1658"/>
      <c r="AB1464" s="1658"/>
      <c r="AC1464" s="1658"/>
      <c r="AD1464" s="1658"/>
      <c r="AE1464" s="1658"/>
      <c r="AF1464" s="1658"/>
    </row>
    <row r="1465" spans="1:32" ht="15">
      <c r="A1465" s="1658"/>
      <c r="B1465" s="1658"/>
      <c r="C1465" s="1658"/>
      <c r="D1465" s="1658"/>
      <c r="E1465" s="1658"/>
      <c r="F1465" s="1658"/>
      <c r="G1465" s="1658"/>
      <c r="H1465" s="1658"/>
      <c r="I1465" s="1658"/>
      <c r="J1465" s="1658"/>
      <c r="K1465" s="1658"/>
      <c r="L1465" s="1658"/>
      <c r="M1465" s="1658"/>
      <c r="N1465" s="2556"/>
      <c r="O1465" s="2557"/>
      <c r="P1465" s="2557"/>
      <c r="Q1465" s="1658"/>
      <c r="R1465" s="1658"/>
      <c r="S1465" s="1658"/>
      <c r="T1465" s="1658"/>
      <c r="U1465" s="1658"/>
      <c r="V1465" s="1658"/>
      <c r="W1465" s="1658"/>
      <c r="X1465" s="1658"/>
      <c r="Y1465" s="1658"/>
      <c r="Z1465" s="1658"/>
      <c r="AA1465" s="1658"/>
      <c r="AB1465" s="1658"/>
      <c r="AC1465" s="1658"/>
      <c r="AD1465" s="1658"/>
      <c r="AE1465" s="1658"/>
      <c r="AF1465" s="1658"/>
    </row>
    <row r="1466" spans="1:32" ht="15">
      <c r="A1466" s="2064" t="s">
        <v>1601</v>
      </c>
      <c r="B1466" s="2065" t="s">
        <v>2016</v>
      </c>
      <c r="C1466" s="1629"/>
      <c r="D1466" s="2065"/>
      <c r="E1466" s="2065"/>
      <c r="F1466" s="1629"/>
      <c r="G1466" s="1629" t="str">
        <f>'Part VIII Scoring Criteria'!G317</f>
        <v>Atlanta Metro</v>
      </c>
      <c r="H1466" s="1629"/>
      <c r="I1466" s="1629"/>
      <c r="J1466" s="2411" t="str">
        <f t="shared" ref="J1466" si="430">IF(OR($O1466=$M1466,$O1466=0,$O1466=""),"","* * Check Score! * *")</f>
        <v/>
      </c>
      <c r="K1466" s="1629"/>
      <c r="L1466" s="2071" t="str">
        <f>IF(AND(O1466&gt;0,$J$12="Atlanta Metro"), "Atlanta Metro is ineligible to score in this section!","")</f>
        <v/>
      </c>
      <c r="M1466" s="2555">
        <v>1</v>
      </c>
      <c r="N1466" s="1643"/>
      <c r="O1466" s="2073">
        <f>'Part VIII Scoring Criteria'!O317</f>
        <v>0</v>
      </c>
      <c r="P1466" s="2073"/>
      <c r="Q1466" s="2555" t="s">
        <v>795</v>
      </c>
      <c r="R1466" s="1628"/>
      <c r="S1466" s="1628"/>
      <c r="T1466" s="1628"/>
      <c r="U1466" s="1628"/>
      <c r="V1466" s="1628"/>
      <c r="W1466" s="1629"/>
      <c r="X1466" s="1629"/>
      <c r="Y1466" s="1629"/>
      <c r="Z1466" s="1629"/>
      <c r="AA1466" s="1629"/>
      <c r="AB1466" s="1629"/>
      <c r="AC1466" s="1629"/>
      <c r="AD1466" s="1629"/>
      <c r="AE1466" s="1629"/>
      <c r="AF1466" s="1629"/>
    </row>
    <row r="1467" spans="1:32" ht="15">
      <c r="A1467" s="2064"/>
      <c r="B1467" s="2065"/>
      <c r="C1467" s="1629"/>
      <c r="D1467" s="2065"/>
      <c r="E1467" s="2065"/>
      <c r="F1467" s="1629"/>
      <c r="G1467" s="1629"/>
      <c r="H1467" s="1629"/>
      <c r="I1467" s="1629"/>
      <c r="J1467" s="1629"/>
      <c r="K1467" s="1629"/>
      <c r="L1467" s="1629"/>
      <c r="M1467" s="2555"/>
      <c r="N1467" s="1629"/>
      <c r="O1467" s="1629"/>
      <c r="P1467" s="1629"/>
      <c r="Q1467" s="2555"/>
      <c r="R1467" s="1628"/>
      <c r="S1467" s="1628"/>
      <c r="T1467" s="1628"/>
      <c r="U1467" s="1628"/>
      <c r="V1467" s="1628"/>
      <c r="W1467" s="1658"/>
      <c r="X1467" s="1658"/>
      <c r="Y1467" s="1629"/>
      <c r="Z1467" s="1629"/>
      <c r="AA1467" s="1629"/>
      <c r="AB1467" s="1629"/>
      <c r="AC1467" s="1629"/>
      <c r="AD1467" s="1629"/>
      <c r="AE1467" s="1629"/>
      <c r="AF1467" s="1629"/>
    </row>
    <row r="1468" spans="1:32" ht="14.1" customHeight="1">
      <c r="A1468" s="2064"/>
      <c r="B1468" s="2065"/>
      <c r="C1468" s="1629" t="s">
        <v>2017</v>
      </c>
      <c r="D1468" s="2065"/>
      <c r="E1468" s="2065"/>
      <c r="F1468" s="1629"/>
      <c r="G1468" s="1629"/>
      <c r="H1468" s="1629"/>
      <c r="I1468" s="1629"/>
      <c r="J1468" s="1629"/>
      <c r="K1468" s="1629"/>
      <c r="L1468" s="1629" t="s">
        <v>2018</v>
      </c>
      <c r="M1468" s="1629"/>
      <c r="N1468" s="1629"/>
      <c r="O1468" s="1629" t="s">
        <v>2019</v>
      </c>
      <c r="P1468" s="1629"/>
      <c r="Q1468" s="2555"/>
      <c r="R1468" s="1628"/>
      <c r="S1468" s="1628"/>
      <c r="T1468" s="1628"/>
      <c r="U1468" s="1628"/>
      <c r="V1468" s="1628"/>
      <c r="W1468" s="1658"/>
      <c r="X1468" s="1658"/>
      <c r="Y1468" s="1629"/>
      <c r="Z1468" s="1629"/>
      <c r="AA1468" s="1629"/>
      <c r="AB1468" s="1629"/>
      <c r="AC1468" s="1629"/>
      <c r="AD1468" s="1629"/>
      <c r="AE1468" s="1629"/>
      <c r="AF1468" s="1629"/>
    </row>
    <row r="1469" spans="1:32" ht="15">
      <c r="A1469" s="2064"/>
      <c r="B1469" s="1629"/>
      <c r="C1469" s="1629" t="s">
        <v>2020</v>
      </c>
      <c r="D1469" s="2065"/>
      <c r="E1469" s="2065"/>
      <c r="F1469" s="1629" t="s">
        <v>247</v>
      </c>
      <c r="G1469" s="1629"/>
      <c r="H1469" s="1629"/>
      <c r="I1469" s="1629" t="s">
        <v>57</v>
      </c>
      <c r="J1469" s="1629"/>
      <c r="K1469" s="1643" t="s">
        <v>2021</v>
      </c>
      <c r="L1469" s="1629"/>
      <c r="M1469" s="1629"/>
      <c r="N1469" s="1629"/>
      <c r="O1469" s="1629"/>
      <c r="P1469" s="1629"/>
      <c r="Q1469" s="2555"/>
      <c r="R1469" s="1628"/>
      <c r="S1469" s="1628"/>
      <c r="T1469" s="1628"/>
      <c r="U1469" s="1628"/>
      <c r="V1469" s="1628"/>
      <c r="W1469" s="1658"/>
      <c r="X1469" s="1658"/>
      <c r="Y1469" s="1629"/>
      <c r="Z1469" s="1629"/>
      <c r="AA1469" s="1629"/>
      <c r="AB1469" s="1629"/>
      <c r="AC1469" s="1629"/>
      <c r="AD1469" s="1629"/>
      <c r="AE1469" s="1629"/>
      <c r="AF1469" s="1629"/>
    </row>
    <row r="1470" spans="1:32" ht="15">
      <c r="A1470" s="2064"/>
      <c r="B1470" s="2484" t="s">
        <v>212</v>
      </c>
      <c r="C1470" s="2498">
        <f>'Part VIII Scoring Criteria'!C321</f>
        <v>0</v>
      </c>
      <c r="D1470" s="2498"/>
      <c r="E1470" s="2498"/>
      <c r="F1470" s="2498">
        <f>'Part VIII Scoring Criteria'!F321</f>
        <v>0</v>
      </c>
      <c r="G1470" s="2498"/>
      <c r="H1470" s="2498"/>
      <c r="I1470" s="2498">
        <f>'Part VIII Scoring Criteria'!I321</f>
        <v>0</v>
      </c>
      <c r="J1470" s="2498"/>
      <c r="K1470" s="2499">
        <f>'Part VIII Scoring Criteria'!K321</f>
        <v>0</v>
      </c>
      <c r="L1470" s="2498">
        <f>'Part VIII Scoring Criteria'!L321</f>
        <v>0</v>
      </c>
      <c r="M1470" s="2498"/>
      <c r="N1470" s="2481"/>
      <c r="O1470" s="2481">
        <f>'Part VIII Scoring Criteria'!O321</f>
        <v>0</v>
      </c>
      <c r="P1470" s="2481"/>
      <c r="Q1470" s="2555"/>
      <c r="R1470" s="1628"/>
      <c r="S1470" s="1628"/>
      <c r="T1470" s="1628"/>
      <c r="U1470" s="1628"/>
      <c r="V1470" s="1628"/>
      <c r="W1470" s="1658"/>
      <c r="X1470" s="1658"/>
      <c r="Y1470" s="1629"/>
      <c r="Z1470" s="1629"/>
      <c r="AA1470" s="1629"/>
      <c r="AB1470" s="1629"/>
      <c r="AC1470" s="1629"/>
      <c r="AD1470" s="1629"/>
      <c r="AE1470" s="1629"/>
      <c r="AF1470" s="1629"/>
    </row>
    <row r="1471" spans="1:32" ht="15">
      <c r="A1471" s="2064"/>
      <c r="B1471" s="2414" t="s">
        <v>220</v>
      </c>
      <c r="C1471" s="2498">
        <f>'Part VIII Scoring Criteria'!C322</f>
        <v>0</v>
      </c>
      <c r="D1471" s="2498"/>
      <c r="E1471" s="2498"/>
      <c r="F1471" s="2498">
        <f>'Part VIII Scoring Criteria'!F322</f>
        <v>0</v>
      </c>
      <c r="G1471" s="2498"/>
      <c r="H1471" s="2498"/>
      <c r="I1471" s="2498">
        <f>'Part VIII Scoring Criteria'!I322</f>
        <v>0</v>
      </c>
      <c r="J1471" s="2498"/>
      <c r="K1471" s="2499">
        <f>'Part VIII Scoring Criteria'!K322</f>
        <v>0</v>
      </c>
      <c r="L1471" s="2498">
        <f>'Part VIII Scoring Criteria'!L322</f>
        <v>0</v>
      </c>
      <c r="M1471" s="2498"/>
      <c r="N1471" s="2481"/>
      <c r="O1471" s="2481">
        <f>'Part VIII Scoring Criteria'!O322</f>
        <v>0</v>
      </c>
      <c r="P1471" s="2481"/>
      <c r="Q1471" s="2555"/>
      <c r="R1471" s="1628"/>
      <c r="S1471" s="1628"/>
      <c r="T1471" s="1628"/>
      <c r="U1471" s="1628"/>
      <c r="V1471" s="1628"/>
      <c r="W1471" s="1658"/>
      <c r="X1471" s="1658"/>
      <c r="Y1471" s="1629"/>
      <c r="Z1471" s="1629"/>
      <c r="AA1471" s="1629"/>
      <c r="AB1471" s="1629"/>
      <c r="AC1471" s="1629"/>
      <c r="AD1471" s="1629"/>
      <c r="AE1471" s="1629"/>
      <c r="AF1471" s="1629"/>
    </row>
    <row r="1472" spans="1:32" ht="15">
      <c r="A1472" s="2064"/>
      <c r="B1472" s="2414" t="s">
        <v>224</v>
      </c>
      <c r="C1472" s="2498">
        <f>'Part VIII Scoring Criteria'!C323</f>
        <v>0</v>
      </c>
      <c r="D1472" s="2498"/>
      <c r="E1472" s="2498"/>
      <c r="F1472" s="2498">
        <f>'Part VIII Scoring Criteria'!F323</f>
        <v>0</v>
      </c>
      <c r="G1472" s="2498"/>
      <c r="H1472" s="2498"/>
      <c r="I1472" s="2498">
        <f>'Part VIII Scoring Criteria'!I323</f>
        <v>0</v>
      </c>
      <c r="J1472" s="2498"/>
      <c r="K1472" s="2499">
        <f>'Part VIII Scoring Criteria'!K323</f>
        <v>0</v>
      </c>
      <c r="L1472" s="2498">
        <f>'Part VIII Scoring Criteria'!L323</f>
        <v>0</v>
      </c>
      <c r="M1472" s="2498"/>
      <c r="N1472" s="2481"/>
      <c r="O1472" s="2481">
        <f>'Part VIII Scoring Criteria'!O323</f>
        <v>0</v>
      </c>
      <c r="P1472" s="2481"/>
      <c r="Q1472" s="2555"/>
      <c r="R1472" s="1628"/>
      <c r="S1472" s="1628"/>
      <c r="T1472" s="1628"/>
      <c r="U1472" s="1628"/>
      <c r="V1472" s="1628"/>
      <c r="W1472" s="1658"/>
      <c r="X1472" s="1658"/>
      <c r="Y1472" s="1629"/>
      <c r="Z1472" s="1629"/>
      <c r="AA1472" s="1629"/>
      <c r="AB1472" s="1629"/>
      <c r="AC1472" s="1629"/>
      <c r="AD1472" s="1629"/>
      <c r="AE1472" s="1629"/>
      <c r="AF1472" s="1629"/>
    </row>
    <row r="1473" spans="1:32" ht="15">
      <c r="A1473" s="2064"/>
      <c r="B1473" s="2414" t="s">
        <v>264</v>
      </c>
      <c r="C1473" s="2498">
        <f>'Part VIII Scoring Criteria'!C324</f>
        <v>0</v>
      </c>
      <c r="D1473" s="2498"/>
      <c r="E1473" s="2498"/>
      <c r="F1473" s="2498">
        <f>'Part VIII Scoring Criteria'!F324</f>
        <v>0</v>
      </c>
      <c r="G1473" s="2498"/>
      <c r="H1473" s="2498"/>
      <c r="I1473" s="2498">
        <f>'Part VIII Scoring Criteria'!I324</f>
        <v>0</v>
      </c>
      <c r="J1473" s="2498"/>
      <c r="K1473" s="2499">
        <f>'Part VIII Scoring Criteria'!K324</f>
        <v>0</v>
      </c>
      <c r="L1473" s="2498">
        <f>'Part VIII Scoring Criteria'!L324</f>
        <v>0</v>
      </c>
      <c r="M1473" s="2498"/>
      <c r="N1473" s="2481"/>
      <c r="O1473" s="2481">
        <f>'Part VIII Scoring Criteria'!O324</f>
        <v>0</v>
      </c>
      <c r="P1473" s="2481"/>
      <c r="Q1473" s="2555"/>
      <c r="R1473" s="1628"/>
      <c r="S1473" s="1628"/>
      <c r="T1473" s="1628"/>
      <c r="U1473" s="1628"/>
      <c r="V1473" s="1628"/>
      <c r="W1473" s="1658"/>
      <c r="X1473" s="1658"/>
      <c r="Y1473" s="1629"/>
      <c r="Z1473" s="1629"/>
      <c r="AA1473" s="1629"/>
      <c r="AB1473" s="1629"/>
      <c r="AC1473" s="1629"/>
      <c r="AD1473" s="1629"/>
      <c r="AE1473" s="1629"/>
      <c r="AF1473" s="1629"/>
    </row>
    <row r="1474" spans="1:32" ht="15">
      <c r="A1474" s="1629"/>
      <c r="B1474" s="2407" t="s">
        <v>2286</v>
      </c>
      <c r="C1474" s="1629"/>
      <c r="D1474" s="1629"/>
      <c r="E1474" s="1629"/>
      <c r="F1474" s="1629"/>
      <c r="G1474" s="1629"/>
      <c r="H1474" s="1629"/>
      <c r="I1474" s="1629"/>
      <c r="J1474" s="1629"/>
      <c r="K1474" s="1629"/>
      <c r="L1474" s="1658"/>
      <c r="M1474" s="1643"/>
      <c r="N1474" s="2556"/>
      <c r="O1474" s="1657"/>
      <c r="P1474" s="2557"/>
      <c r="Q1474" s="1658"/>
      <c r="R1474" s="1628"/>
      <c r="S1474" s="1628"/>
      <c r="T1474" s="1628"/>
      <c r="U1474" s="1628"/>
      <c r="V1474" s="1628"/>
      <c r="W1474" s="1658"/>
      <c r="X1474" s="1658"/>
      <c r="Y1474" s="1658"/>
      <c r="Z1474" s="1658"/>
      <c r="AA1474" s="1658"/>
      <c r="AB1474" s="1658"/>
      <c r="AC1474" s="1658"/>
      <c r="AD1474" s="1658"/>
      <c r="AE1474" s="1658"/>
      <c r="AF1474" s="1658"/>
    </row>
    <row r="1475" spans="1:32" ht="15">
      <c r="A1475" s="2422" t="str">
        <f>'Part VIII Scoring Criteria'!A326</f>
        <v>N/A -Not Eligible</v>
      </c>
      <c r="B1475" s="2422"/>
      <c r="C1475" s="2422"/>
      <c r="D1475" s="2422"/>
      <c r="E1475" s="2422"/>
      <c r="F1475" s="2422"/>
      <c r="G1475" s="2422"/>
      <c r="H1475" s="2422"/>
      <c r="I1475" s="2422"/>
      <c r="J1475" s="2422"/>
      <c r="K1475" s="2422"/>
      <c r="L1475" s="2422"/>
      <c r="M1475" s="2422"/>
      <c r="N1475" s="2422"/>
      <c r="O1475" s="2422"/>
      <c r="P1475" s="2422"/>
      <c r="Q1475" s="1628"/>
      <c r="R1475" s="1658"/>
      <c r="S1475" s="1658"/>
      <c r="T1475" s="1658"/>
      <c r="U1475" s="1658"/>
      <c r="V1475" s="1658"/>
      <c r="W1475" s="1658"/>
      <c r="X1475" s="1658"/>
      <c r="Y1475" s="1658"/>
      <c r="Z1475" s="1658"/>
      <c r="AA1475" s="1658"/>
      <c r="AB1475" s="1658"/>
      <c r="AC1475" s="1658"/>
      <c r="AD1475" s="1658"/>
      <c r="AE1475" s="1658"/>
      <c r="AF1475" s="1658"/>
    </row>
    <row r="1476" spans="1:32" ht="15">
      <c r="A1476" s="1629"/>
      <c r="B1476" s="2422" t="s">
        <v>1447</v>
      </c>
      <c r="C1476" s="1629"/>
      <c r="D1476" s="2422"/>
      <c r="E1476" s="1664"/>
      <c r="F1476" s="1664"/>
      <c r="G1476" s="1664"/>
      <c r="H1476" s="1664"/>
      <c r="I1476" s="1664"/>
      <c r="J1476" s="1664"/>
      <c r="K1476" s="1664"/>
      <c r="L1476" s="1664"/>
      <c r="M1476" s="1664"/>
      <c r="N1476" s="1662"/>
      <c r="O1476" s="2418"/>
      <c r="P1476" s="2555"/>
      <c r="Q1476" s="1658"/>
      <c r="R1476" s="1658"/>
      <c r="S1476" s="1658"/>
      <c r="T1476" s="1658"/>
      <c r="U1476" s="1658"/>
      <c r="V1476" s="1658"/>
      <c r="W1476" s="1658"/>
      <c r="X1476" s="1658"/>
      <c r="Y1476" s="1658"/>
      <c r="Z1476" s="1658"/>
      <c r="AA1476" s="1658"/>
      <c r="AB1476" s="1658"/>
      <c r="AC1476" s="1658"/>
      <c r="AD1476" s="1658"/>
      <c r="AE1476" s="1658"/>
      <c r="AF1476" s="1658"/>
    </row>
    <row r="1477" spans="1:32" ht="15">
      <c r="A1477" s="1663"/>
      <c r="B1477" s="1663"/>
      <c r="C1477" s="1663"/>
      <c r="D1477" s="1663"/>
      <c r="E1477" s="1663"/>
      <c r="F1477" s="1663"/>
      <c r="G1477" s="1663"/>
      <c r="H1477" s="1663"/>
      <c r="I1477" s="1663"/>
      <c r="J1477" s="1663"/>
      <c r="K1477" s="1663"/>
      <c r="L1477" s="1663"/>
      <c r="M1477" s="1663"/>
      <c r="N1477" s="1663"/>
      <c r="O1477" s="1663"/>
      <c r="P1477" s="1663"/>
      <c r="Q1477" s="1628"/>
      <c r="R1477" s="1658"/>
      <c r="S1477" s="1658"/>
      <c r="T1477" s="1658"/>
      <c r="U1477" s="1658"/>
      <c r="V1477" s="1658"/>
      <c r="W1477" s="1658"/>
      <c r="X1477" s="1658"/>
      <c r="Y1477" s="1658"/>
      <c r="Z1477" s="1658"/>
      <c r="AA1477" s="1658"/>
      <c r="AB1477" s="1658"/>
      <c r="AC1477" s="1658"/>
      <c r="AD1477" s="1658"/>
      <c r="AE1477" s="1658"/>
      <c r="AF1477" s="1658"/>
    </row>
    <row r="1478" spans="1:32" ht="15">
      <c r="A1478" s="1629"/>
      <c r="B1478" s="1658"/>
      <c r="C1478" s="1658"/>
      <c r="D1478" s="1629"/>
      <c r="E1478" s="1629"/>
      <c r="F1478" s="2555"/>
      <c r="G1478" s="2555"/>
      <c r="H1478" s="2555"/>
      <c r="I1478" s="2555"/>
      <c r="J1478" s="1660"/>
      <c r="K1478" s="1660"/>
      <c r="L1478" s="1660"/>
      <c r="M1478" s="1643"/>
      <c r="N1478" s="2555"/>
      <c r="O1478" s="2557"/>
      <c r="P1478" s="1657"/>
      <c r="Q1478" s="1658"/>
      <c r="R1478" s="1658"/>
      <c r="S1478" s="1658"/>
      <c r="T1478" s="1658"/>
      <c r="U1478" s="1658"/>
      <c r="V1478" s="1658"/>
      <c r="W1478" s="1658"/>
      <c r="X1478" s="1658"/>
      <c r="Y1478" s="1658"/>
      <c r="Z1478" s="1658"/>
      <c r="AA1478" s="1658"/>
      <c r="AB1478" s="1658"/>
      <c r="AC1478" s="1658"/>
      <c r="AD1478" s="1658"/>
      <c r="AE1478" s="1658"/>
      <c r="AF1478" s="1658"/>
    </row>
    <row r="1479" spans="1:32" ht="15">
      <c r="A1479" s="1629"/>
      <c r="B1479" s="1658"/>
      <c r="C1479" s="1658"/>
      <c r="D1479" s="1629"/>
      <c r="E1479" s="1629"/>
      <c r="F1479" s="2555"/>
      <c r="G1479" s="2555"/>
      <c r="H1479" s="2555"/>
      <c r="I1479" s="2555"/>
      <c r="J1479" s="1660"/>
      <c r="K1479" s="1660"/>
      <c r="L1479" s="1660"/>
      <c r="M1479" s="1643"/>
      <c r="N1479" s="2555"/>
      <c r="O1479" s="2557"/>
      <c r="P1479" s="1657"/>
      <c r="Q1479" s="1658"/>
      <c r="R1479" s="1658"/>
      <c r="S1479" s="1658"/>
      <c r="T1479" s="1658"/>
      <c r="U1479" s="1658"/>
      <c r="V1479" s="1658"/>
      <c r="W1479" s="1658"/>
      <c r="X1479" s="1658"/>
      <c r="Y1479" s="1658"/>
      <c r="Z1479" s="1658"/>
      <c r="AA1479" s="1658"/>
      <c r="AB1479" s="1658"/>
      <c r="AC1479" s="1658"/>
      <c r="AD1479" s="1658"/>
      <c r="AE1479" s="1658"/>
      <c r="AF1479" s="1658"/>
    </row>
    <row r="1480" spans="1:32" ht="15">
      <c r="A1480" s="2064" t="s">
        <v>1606</v>
      </c>
      <c r="B1480" s="2447" t="s">
        <v>2023</v>
      </c>
      <c r="C1480" s="1658"/>
      <c r="D1480" s="1658"/>
      <c r="E1480" s="1658"/>
      <c r="F1480" s="1658"/>
      <c r="G1480" s="1658"/>
      <c r="H1480" s="1658"/>
      <c r="I1480" s="1658"/>
      <c r="J1480" s="1658"/>
      <c r="K1480" s="1658"/>
      <c r="L1480" s="1658"/>
      <c r="M1480" s="2555">
        <v>1</v>
      </c>
      <c r="N1480" s="2556"/>
      <c r="O1480" s="1657">
        <f>'Part VIII Scoring Criteria'!O331</f>
        <v>1</v>
      </c>
      <c r="P1480" s="1657">
        <f>'Part VIII Scoring Criteria'!P331</f>
        <v>0</v>
      </c>
      <c r="Q1480" s="2555" t="s">
        <v>795</v>
      </c>
      <c r="R1480" s="2413" t="str">
        <f>IF(AND(O1480&gt;0,NOT($F$12="New Affordability")), "Ineligible to score in this section, not New Affordability!","")</f>
        <v>Ineligible to score in this section, not New Affordability!</v>
      </c>
      <c r="S1480" s="1658"/>
      <c r="T1480" s="1658"/>
      <c r="U1480" s="1658"/>
      <c r="V1480" s="1658"/>
      <c r="W1480" s="1658"/>
      <c r="X1480" s="1658"/>
      <c r="Y1480" s="1658"/>
      <c r="Z1480" s="1658"/>
      <c r="AA1480" s="1658"/>
      <c r="AB1480" s="1658"/>
      <c r="AC1480" s="1658"/>
      <c r="AD1480" s="1658"/>
      <c r="AE1480" s="1658"/>
      <c r="AF1480" s="1658"/>
    </row>
    <row r="1481" spans="1:32" ht="15">
      <c r="A1481" s="2555" t="s">
        <v>197</v>
      </c>
      <c r="B1481" s="1665" t="s">
        <v>2024</v>
      </c>
      <c r="C1481" s="1658"/>
      <c r="D1481" s="1658"/>
      <c r="E1481" s="1658"/>
      <c r="F1481" s="1658"/>
      <c r="G1481" s="2443" t="s">
        <v>2025</v>
      </c>
      <c r="H1481" s="2500">
        <f>IF('Part V-Revenues &amp; Expenses'!$P$67=0,0,'Part V-Revenues &amp; Expenses'!$P$64/'Part V-Revenues &amp; Expenses'!$P$67)</f>
        <v>0.10344827586206896</v>
      </c>
      <c r="I1481" s="1658"/>
      <c r="J1481" s="1658"/>
      <c r="K1481" s="1658"/>
      <c r="L1481" s="2411" t="str">
        <f t="shared" ref="L1481:L1482" si="431">IF(OR($O1481=$M1481,$O1481=0,$O1481=""),"","* * Check Score! * *")</f>
        <v/>
      </c>
      <c r="M1481" s="1643">
        <v>1</v>
      </c>
      <c r="N1481" s="2067"/>
      <c r="O1481" s="1657">
        <f>'Part VIII Scoring Criteria'!O332</f>
        <v>1</v>
      </c>
      <c r="P1481" s="1657"/>
      <c r="Q1481" s="2412" t="str">
        <f>IF(OR($O1481=$M1481,$O1481=0,$O1481=""),"","*CHECK!*")</f>
        <v/>
      </c>
      <c r="R1481" s="2413"/>
      <c r="S1481" s="1658"/>
      <c r="T1481" s="1658"/>
      <c r="U1481" s="1658"/>
      <c r="V1481" s="1658"/>
      <c r="W1481" s="1658"/>
      <c r="X1481" s="1658"/>
      <c r="Y1481" s="1658"/>
      <c r="Z1481" s="1658"/>
      <c r="AA1481" s="1658"/>
      <c r="AB1481" s="1658"/>
      <c r="AC1481" s="1658"/>
      <c r="AD1481" s="1658"/>
      <c r="AE1481" s="1658"/>
      <c r="AF1481" s="1658"/>
    </row>
    <row r="1482" spans="1:32" ht="15">
      <c r="A1482" s="2555" t="s">
        <v>209</v>
      </c>
      <c r="B1482" s="1665" t="s">
        <v>1881</v>
      </c>
      <c r="C1482" s="1658"/>
      <c r="D1482" s="1658"/>
      <c r="E1482" s="1658"/>
      <c r="F1482" s="1658"/>
      <c r="G1482" s="2501" t="str">
        <f>'Part V-Revenues &amp; Expenses'!$O$53</f>
        <v>40% of Units at 60% of AMI</v>
      </c>
      <c r="H1482" s="2501"/>
      <c r="I1482" s="1658"/>
      <c r="J1482" s="1658"/>
      <c r="K1482" s="1658"/>
      <c r="L1482" s="2411" t="str">
        <f t="shared" si="431"/>
        <v/>
      </c>
      <c r="M1482" s="2556">
        <v>1</v>
      </c>
      <c r="N1482" s="2067"/>
      <c r="O1482" s="1657">
        <f>'Part VIII Scoring Criteria'!O333</f>
        <v>0</v>
      </c>
      <c r="P1482" s="1657"/>
      <c r="Q1482" s="2412" t="str">
        <f>IF(OR($O1482=$M1482,$O1482=0,$O1482=""),"","*CHECK!*")</f>
        <v/>
      </c>
      <c r="R1482" s="2413"/>
      <c r="S1482" s="1658"/>
      <c r="T1482" s="1658"/>
      <c r="U1482" s="1658"/>
      <c r="V1482" s="1658"/>
      <c r="W1482" s="1658"/>
      <c r="X1482" s="1658"/>
      <c r="Y1482" s="1658"/>
      <c r="Z1482" s="1658"/>
      <c r="AA1482" s="1658"/>
      <c r="AB1482" s="1658"/>
      <c r="AC1482" s="1658"/>
      <c r="AD1482" s="1658"/>
      <c r="AE1482" s="1658"/>
      <c r="AF1482" s="1658"/>
    </row>
    <row r="1483" spans="1:32" ht="15">
      <c r="A1483" s="1665"/>
      <c r="B1483" s="2414"/>
      <c r="C1483" s="1658"/>
      <c r="D1483" s="1658"/>
      <c r="E1483" s="1658"/>
      <c r="F1483" s="1658"/>
      <c r="G1483" s="1658"/>
      <c r="H1483" s="1658"/>
      <c r="I1483" s="1658"/>
      <c r="J1483" s="1658"/>
      <c r="K1483" s="1658"/>
      <c r="L1483" s="1658"/>
      <c r="M1483" s="1643"/>
      <c r="N1483" s="2556"/>
      <c r="O1483" s="2555"/>
      <c r="P1483" s="2555"/>
      <c r="Q1483" s="1658"/>
      <c r="R1483" s="1658"/>
      <c r="S1483" s="1658"/>
      <c r="T1483" s="1658"/>
      <c r="U1483" s="1658"/>
      <c r="V1483" s="1658"/>
      <c r="W1483" s="1658"/>
      <c r="X1483" s="1658"/>
      <c r="Y1483" s="1658"/>
      <c r="Z1483" s="1658"/>
      <c r="AA1483" s="1658"/>
      <c r="AB1483" s="1658"/>
      <c r="AC1483" s="1658"/>
      <c r="AD1483" s="1658"/>
      <c r="AE1483" s="1658"/>
      <c r="AF1483" s="1658"/>
    </row>
    <row r="1484" spans="1:32" ht="15">
      <c r="A1484" s="1629"/>
      <c r="B1484" s="2422" t="s">
        <v>1447</v>
      </c>
      <c r="C1484" s="1629"/>
      <c r="D1484" s="2422"/>
      <c r="E1484" s="1664"/>
      <c r="F1484" s="1664"/>
      <c r="G1484" s="1664"/>
      <c r="H1484" s="1664"/>
      <c r="I1484" s="1664"/>
      <c r="J1484" s="1664"/>
      <c r="K1484" s="1664"/>
      <c r="L1484" s="1664"/>
      <c r="M1484" s="1664"/>
      <c r="N1484" s="1662"/>
      <c r="O1484" s="2418"/>
      <c r="P1484" s="2555"/>
      <c r="Q1484" s="1658"/>
      <c r="R1484" s="1658"/>
      <c r="S1484" s="1658"/>
      <c r="T1484" s="1658"/>
      <c r="U1484" s="1658"/>
      <c r="V1484" s="1658"/>
      <c r="W1484" s="1658"/>
      <c r="X1484" s="1658"/>
      <c r="Y1484" s="1658"/>
      <c r="Z1484" s="1658"/>
      <c r="AA1484" s="1658"/>
      <c r="AB1484" s="1658"/>
      <c r="AC1484" s="1658"/>
      <c r="AD1484" s="1658"/>
      <c r="AE1484" s="1658"/>
      <c r="AF1484" s="1658"/>
    </row>
    <row r="1485" spans="1:32" ht="15">
      <c r="A1485" s="1663"/>
      <c r="B1485" s="1663"/>
      <c r="C1485" s="1663"/>
      <c r="D1485" s="1663"/>
      <c r="E1485" s="1663"/>
      <c r="F1485" s="1663"/>
      <c r="G1485" s="1663"/>
      <c r="H1485" s="1663"/>
      <c r="I1485" s="1663"/>
      <c r="J1485" s="1663"/>
      <c r="K1485" s="1663"/>
      <c r="L1485" s="1663"/>
      <c r="M1485" s="1663"/>
      <c r="N1485" s="1663"/>
      <c r="O1485" s="1663"/>
      <c r="P1485" s="1663"/>
      <c r="Q1485" s="1628"/>
      <c r="R1485" s="1658"/>
      <c r="S1485" s="1658"/>
      <c r="T1485" s="1658"/>
      <c r="U1485" s="1658"/>
      <c r="V1485" s="1658"/>
      <c r="W1485" s="1658"/>
      <c r="X1485" s="1658"/>
      <c r="Y1485" s="1658"/>
      <c r="Z1485" s="1658"/>
      <c r="AA1485" s="1658"/>
      <c r="AB1485" s="1658"/>
      <c r="AC1485" s="1658"/>
      <c r="AD1485" s="1658"/>
      <c r="AE1485" s="1658"/>
      <c r="AF1485" s="1658"/>
    </row>
    <row r="1486" spans="1:32" ht="15">
      <c r="A1486" s="1629"/>
      <c r="B1486" s="1658"/>
      <c r="C1486" s="1658"/>
      <c r="D1486" s="1629"/>
      <c r="E1486" s="1629"/>
      <c r="F1486" s="2555"/>
      <c r="G1486" s="2555"/>
      <c r="H1486" s="2555"/>
      <c r="I1486" s="2555"/>
      <c r="J1486" s="1660"/>
      <c r="K1486" s="1660"/>
      <c r="L1486" s="1660"/>
      <c r="M1486" s="1643"/>
      <c r="N1486" s="2555"/>
      <c r="O1486" s="2557"/>
      <c r="P1486" s="1657"/>
      <c r="Q1486" s="1658"/>
      <c r="R1486" s="1658"/>
      <c r="S1486" s="1658"/>
      <c r="T1486" s="1658"/>
      <c r="U1486" s="1658"/>
      <c r="V1486" s="1658"/>
      <c r="W1486" s="1658"/>
      <c r="X1486" s="1658"/>
      <c r="Y1486" s="1658"/>
      <c r="Z1486" s="1658"/>
      <c r="AA1486" s="1658"/>
      <c r="AB1486" s="1658"/>
      <c r="AC1486" s="1658"/>
      <c r="AD1486" s="1658"/>
      <c r="AE1486" s="1658"/>
      <c r="AF1486" s="1658"/>
    </row>
    <row r="1487" spans="1:32" ht="15">
      <c r="A1487" s="1629"/>
      <c r="B1487" s="1629"/>
      <c r="C1487" s="1664"/>
      <c r="D1487" s="1664"/>
      <c r="E1487" s="1664"/>
      <c r="F1487" s="1664"/>
      <c r="G1487" s="1664"/>
      <c r="H1487" s="1664"/>
      <c r="I1487" s="1664"/>
      <c r="J1487" s="1664"/>
      <c r="K1487" s="1664"/>
      <c r="L1487" s="1664"/>
      <c r="M1487" s="1664"/>
      <c r="N1487" s="1662"/>
      <c r="O1487" s="2418"/>
      <c r="P1487" s="2555"/>
      <c r="Q1487" s="1658"/>
      <c r="R1487" s="1658"/>
      <c r="S1487" s="1658"/>
      <c r="T1487" s="1658"/>
      <c r="U1487" s="1658"/>
      <c r="V1487" s="1658"/>
      <c r="W1487" s="1658"/>
      <c r="X1487" s="1658"/>
      <c r="Y1487" s="1658"/>
      <c r="Z1487" s="1658"/>
      <c r="AA1487" s="1658"/>
      <c r="AB1487" s="1658"/>
      <c r="AC1487" s="1658"/>
      <c r="AD1487" s="1658"/>
      <c r="AE1487" s="1658"/>
      <c r="AF1487" s="1658"/>
    </row>
    <row r="1488" spans="1:32" ht="15">
      <c r="A1488" s="2064" t="s">
        <v>1613</v>
      </c>
      <c r="B1488" s="2065" t="s">
        <v>2026</v>
      </c>
      <c r="C1488" s="1658"/>
      <c r="D1488" s="1660"/>
      <c r="E1488" s="1658"/>
      <c r="F1488" s="1658"/>
      <c r="G1488" s="1664"/>
      <c r="H1488" s="1664"/>
      <c r="I1488" s="1664"/>
      <c r="J1488" s="1664"/>
      <c r="K1488" s="1664"/>
      <c r="L1488" s="1664"/>
      <c r="M1488" s="2555">
        <v>2</v>
      </c>
      <c r="N1488" s="2067"/>
      <c r="O1488" s="1657">
        <f>'Part VIII Scoring Criteria'!O339</f>
        <v>0</v>
      </c>
      <c r="P1488" s="1657">
        <f>'Part VIII Scoring Criteria'!P339</f>
        <v>0</v>
      </c>
      <c r="Q1488" s="2555" t="s">
        <v>795</v>
      </c>
      <c r="R1488" s="2413" t="str">
        <f>IF(AND(O1488&gt;0,NOT($F$12="New Affordability")), "Ineligible to score in this section, not New Affordability!","")</f>
        <v/>
      </c>
      <c r="S1488" s="1658"/>
      <c r="T1488" s="1658"/>
      <c r="U1488" s="1658"/>
      <c r="V1488" s="1658"/>
      <c r="W1488" s="1658"/>
      <c r="X1488" s="1658"/>
      <c r="Y1488" s="1658"/>
      <c r="Z1488" s="1658"/>
      <c r="AA1488" s="1658"/>
      <c r="AB1488" s="1658"/>
      <c r="AC1488" s="1658"/>
      <c r="AD1488" s="1658"/>
      <c r="AE1488" s="1658"/>
      <c r="AF1488" s="1658"/>
    </row>
    <row r="1489" spans="1:32" ht="14.25">
      <c r="A1489" s="2447"/>
      <c r="B1489" s="1663"/>
      <c r="C1489" s="1663"/>
      <c r="D1489" s="1663"/>
      <c r="E1489" s="2468" t="s">
        <v>2027</v>
      </c>
      <c r="F1489" s="1663"/>
      <c r="G1489" s="1629" t="str">
        <f>'Part VIII Scoring Criteria'!G340</f>
        <v>&lt;Select applicable status&gt;</v>
      </c>
      <c r="H1489" s="1629"/>
      <c r="I1489" s="1629"/>
      <c r="J1489" s="1629"/>
      <c r="K1489" s="1629"/>
      <c r="L1489" s="1629"/>
      <c r="M1489" s="1662"/>
      <c r="N1489" s="1662"/>
      <c r="O1489" s="1662"/>
      <c r="P1489" s="1662"/>
      <c r="Q1489" s="1629"/>
      <c r="R1489" s="1663"/>
      <c r="S1489" s="1663"/>
      <c r="T1489" s="1663"/>
      <c r="U1489" s="1663"/>
      <c r="V1489" s="1663"/>
      <c r="W1489" s="1663"/>
      <c r="X1489" s="1663"/>
      <c r="Y1489" s="1663"/>
      <c r="Z1489" s="1663"/>
      <c r="AA1489" s="1663"/>
      <c r="AB1489" s="1663"/>
      <c r="AC1489" s="1663"/>
      <c r="AD1489" s="1663"/>
      <c r="AE1489" s="1663"/>
      <c r="AF1489" s="1663"/>
    </row>
    <row r="1490" spans="1:32" ht="15">
      <c r="A1490" s="2430" t="s">
        <v>197</v>
      </c>
      <c r="B1490" s="1628" t="s">
        <v>2029</v>
      </c>
      <c r="C1490" s="1663"/>
      <c r="D1490" s="1663"/>
      <c r="E1490" s="1663"/>
      <c r="F1490" s="1663"/>
      <c r="G1490" s="1663"/>
      <c r="H1490" s="1663"/>
      <c r="I1490" s="1663"/>
      <c r="J1490" s="1663"/>
      <c r="K1490" s="1663"/>
      <c r="L1490" s="2411" t="str">
        <f t="shared" ref="L1490" si="432">IF(OR($O1490=$M1490,$O1490=0,$O1490=""),"","* * Check Score! * *")</f>
        <v/>
      </c>
      <c r="M1490" s="1662">
        <v>2</v>
      </c>
      <c r="N1490" s="2419"/>
      <c r="O1490" s="1657">
        <f>'Part VIII Scoring Criteria'!O341</f>
        <v>0</v>
      </c>
      <c r="P1490" s="1657"/>
      <c r="Q1490" s="2412" t="str">
        <f>IF(OR($O1490=$M1490,$O1490=0,$O1490=""),"","*CHECK!*")</f>
        <v/>
      </c>
      <c r="R1490" s="2413"/>
      <c r="S1490" s="1663"/>
      <c r="T1490" s="1663"/>
      <c r="U1490" s="1663"/>
      <c r="V1490" s="1663"/>
      <c r="W1490" s="1663"/>
      <c r="X1490" s="1663"/>
      <c r="Y1490" s="1663"/>
      <c r="Z1490" s="1663"/>
      <c r="AA1490" s="1663"/>
      <c r="AB1490" s="1663"/>
      <c r="AC1490" s="1663"/>
      <c r="AD1490" s="1663"/>
      <c r="AE1490" s="1663"/>
      <c r="AF1490" s="1663"/>
    </row>
    <row r="1491" spans="1:32" ht="14.1" customHeight="1">
      <c r="A1491" s="2557"/>
      <c r="B1491" s="1663" t="str">
        <f>'Part VIII Scoring Criteria'!B342</f>
        <v>&lt;&lt; Enter here Applicant's Narrative of how building will be reused. Adjust row height as needed. &gt;&gt;</v>
      </c>
      <c r="C1491" s="1663"/>
      <c r="D1491" s="1663"/>
      <c r="E1491" s="1663"/>
      <c r="F1491" s="1663"/>
      <c r="G1491" s="1663"/>
      <c r="H1491" s="1663"/>
      <c r="I1491" s="1663"/>
      <c r="J1491" s="1663"/>
      <c r="K1491" s="1663"/>
      <c r="L1491" s="1663"/>
      <c r="M1491" s="1663"/>
      <c r="N1491" s="1663"/>
      <c r="O1491" s="1663"/>
      <c r="P1491" s="1663"/>
      <c r="Q1491" s="1628"/>
      <c r="R1491" s="1628"/>
      <c r="S1491" s="1628"/>
      <c r="T1491" s="1658"/>
      <c r="U1491" s="1658"/>
      <c r="V1491" s="1658"/>
      <c r="W1491" s="1658"/>
      <c r="X1491" s="1658"/>
      <c r="Y1491" s="1658"/>
      <c r="Z1491" s="1658"/>
      <c r="AA1491" s="1658"/>
      <c r="AB1491" s="1658"/>
      <c r="AC1491" s="1658"/>
      <c r="AD1491" s="1658"/>
      <c r="AE1491" s="1658"/>
      <c r="AF1491" s="1658"/>
    </row>
    <row r="1492" spans="1:32" ht="15">
      <c r="A1492" s="2493" t="s">
        <v>209</v>
      </c>
      <c r="B1492" s="2401" t="s">
        <v>2031</v>
      </c>
      <c r="C1492" s="1663"/>
      <c r="D1492" s="1663"/>
      <c r="E1492" s="1663"/>
      <c r="F1492" s="1663"/>
      <c r="G1492" s="1663"/>
      <c r="H1492" s="1663"/>
      <c r="I1492" s="1663"/>
      <c r="J1492" s="1663"/>
      <c r="K1492" s="1663"/>
      <c r="L1492" s="2411" t="str">
        <f t="shared" ref="L1492" si="433">IF(OR($O1492=$M1492,$O1492=0,$O1492=""),"","* * Check Score! * *")</f>
        <v/>
      </c>
      <c r="M1492" s="1662">
        <v>2</v>
      </c>
      <c r="N1492" s="2419"/>
      <c r="O1492" s="1657">
        <f>'Part VIII Scoring Criteria'!O343</f>
        <v>0</v>
      </c>
      <c r="P1492" s="1657"/>
      <c r="Q1492" s="2412" t="str">
        <f>IF(OR($O1492=$M1492,$O1492=0,$O1492=""),"","*CHECK!*")</f>
        <v/>
      </c>
      <c r="R1492" s="2413"/>
      <c r="S1492" s="1663"/>
      <c r="T1492" s="1663"/>
      <c r="U1492" s="1663"/>
      <c r="V1492" s="1663"/>
      <c r="W1492" s="1663"/>
      <c r="X1492" s="1663"/>
      <c r="Y1492" s="1663"/>
      <c r="Z1492" s="1663"/>
      <c r="AA1492" s="1663"/>
      <c r="AB1492" s="1663"/>
      <c r="AC1492" s="1663"/>
      <c r="AD1492" s="1663"/>
      <c r="AE1492" s="1663"/>
      <c r="AF1492" s="1663"/>
    </row>
    <row r="1493" spans="1:32" ht="15">
      <c r="A1493" s="1629"/>
      <c r="B1493" s="2407" t="s">
        <v>2286</v>
      </c>
      <c r="C1493" s="1629"/>
      <c r="D1493" s="1629"/>
      <c r="E1493" s="1629"/>
      <c r="F1493" s="1629"/>
      <c r="G1493" s="1629"/>
      <c r="H1493" s="1629"/>
      <c r="I1493" s="1629"/>
      <c r="J1493" s="1629"/>
      <c r="K1493" s="1629"/>
      <c r="L1493" s="1658"/>
      <c r="M1493" s="1643"/>
      <c r="N1493" s="2556"/>
      <c r="O1493" s="1657"/>
      <c r="P1493" s="2557"/>
      <c r="Q1493" s="1658"/>
      <c r="R1493" s="1658"/>
      <c r="S1493" s="1658"/>
      <c r="T1493" s="1658"/>
      <c r="U1493" s="1658"/>
      <c r="V1493" s="1658"/>
      <c r="W1493" s="1658"/>
      <c r="X1493" s="1658"/>
      <c r="Y1493" s="1658"/>
      <c r="Z1493" s="1658"/>
      <c r="AA1493" s="1658"/>
      <c r="AB1493" s="1658"/>
      <c r="AC1493" s="1658"/>
      <c r="AD1493" s="1658"/>
      <c r="AE1493" s="1658"/>
      <c r="AF1493" s="1658"/>
    </row>
    <row r="1494" spans="1:32" ht="15">
      <c r="A1494" s="2422" t="str">
        <f>'Part VIII Scoring Criteria'!A345</f>
        <v>N/A-Finley Place is 100% New Construction</v>
      </c>
      <c r="B1494" s="2422"/>
      <c r="C1494" s="2422"/>
      <c r="D1494" s="2422"/>
      <c r="E1494" s="2422"/>
      <c r="F1494" s="2422"/>
      <c r="G1494" s="2422"/>
      <c r="H1494" s="2422"/>
      <c r="I1494" s="2422"/>
      <c r="J1494" s="2422"/>
      <c r="K1494" s="2422"/>
      <c r="L1494" s="2422"/>
      <c r="M1494" s="2422"/>
      <c r="N1494" s="2422"/>
      <c r="O1494" s="2422"/>
      <c r="P1494" s="2422"/>
      <c r="Q1494" s="1628"/>
      <c r="R1494" s="1628"/>
      <c r="S1494" s="1658"/>
      <c r="T1494" s="1658"/>
      <c r="U1494" s="1658"/>
      <c r="V1494" s="1658"/>
      <c r="W1494" s="1658"/>
      <c r="X1494" s="1658"/>
      <c r="Y1494" s="1658"/>
      <c r="Z1494" s="1658"/>
      <c r="AA1494" s="1658"/>
      <c r="AB1494" s="1658"/>
      <c r="AC1494" s="1658"/>
      <c r="AD1494" s="1658"/>
      <c r="AE1494" s="1658"/>
      <c r="AF1494" s="1658"/>
    </row>
    <row r="1495" spans="1:32" ht="15">
      <c r="A1495" s="1658"/>
      <c r="B1495" s="2422" t="s">
        <v>1447</v>
      </c>
      <c r="C1495" s="1629"/>
      <c r="D1495" s="2422"/>
      <c r="E1495" s="1664"/>
      <c r="F1495" s="1664"/>
      <c r="G1495" s="1664"/>
      <c r="H1495" s="1664"/>
      <c r="I1495" s="1664"/>
      <c r="J1495" s="1664"/>
      <c r="K1495" s="1664"/>
      <c r="L1495" s="1664"/>
      <c r="M1495" s="1664"/>
      <c r="N1495" s="1662"/>
      <c r="O1495" s="2418"/>
      <c r="P1495" s="2555"/>
      <c r="Q1495" s="1658"/>
      <c r="R1495" s="1658"/>
      <c r="S1495" s="1658"/>
      <c r="T1495" s="1658"/>
      <c r="U1495" s="1658"/>
      <c r="V1495" s="1658"/>
      <c r="W1495" s="1658"/>
      <c r="X1495" s="1658"/>
      <c r="Y1495" s="1658"/>
      <c r="Z1495" s="1658"/>
      <c r="AA1495" s="1658"/>
      <c r="AB1495" s="1658"/>
      <c r="AC1495" s="1658"/>
      <c r="AD1495" s="1658"/>
      <c r="AE1495" s="1658"/>
      <c r="AF1495" s="1658"/>
    </row>
    <row r="1496" spans="1:32" ht="15">
      <c r="A1496" s="1663"/>
      <c r="B1496" s="1663"/>
      <c r="C1496" s="1663"/>
      <c r="D1496" s="1663"/>
      <c r="E1496" s="1663"/>
      <c r="F1496" s="1663"/>
      <c r="G1496" s="1663"/>
      <c r="H1496" s="1663"/>
      <c r="I1496" s="1663"/>
      <c r="J1496" s="1663"/>
      <c r="K1496" s="1663"/>
      <c r="L1496" s="1663"/>
      <c r="M1496" s="1663"/>
      <c r="N1496" s="1663"/>
      <c r="O1496" s="1663"/>
      <c r="P1496" s="1663"/>
      <c r="Q1496" s="1628"/>
      <c r="R1496" s="1658"/>
      <c r="S1496" s="1658"/>
      <c r="T1496" s="1658"/>
      <c r="U1496" s="1658"/>
      <c r="V1496" s="1658"/>
      <c r="W1496" s="1658"/>
      <c r="X1496" s="1658"/>
      <c r="Y1496" s="1658"/>
      <c r="Z1496" s="1658"/>
      <c r="AA1496" s="1658"/>
      <c r="AB1496" s="1658"/>
      <c r="AC1496" s="1658"/>
      <c r="AD1496" s="1658"/>
      <c r="AE1496" s="1658"/>
      <c r="AF1496" s="1658"/>
    </row>
    <row r="1497" spans="1:32" ht="15">
      <c r="A1497" s="1629"/>
      <c r="B1497" s="1629"/>
      <c r="C1497" s="1664"/>
      <c r="D1497" s="1664"/>
      <c r="E1497" s="1664"/>
      <c r="F1497" s="1664"/>
      <c r="G1497" s="1664"/>
      <c r="H1497" s="1664"/>
      <c r="I1497" s="1664"/>
      <c r="J1497" s="1664"/>
      <c r="K1497" s="1664"/>
      <c r="L1497" s="1664"/>
      <c r="M1497" s="1664"/>
      <c r="N1497" s="1662"/>
      <c r="O1497" s="2418"/>
      <c r="P1497" s="2555"/>
      <c r="Q1497" s="1658"/>
      <c r="R1497" s="1658"/>
      <c r="S1497" s="1658"/>
      <c r="T1497" s="1658"/>
      <c r="U1497" s="1658"/>
      <c r="V1497" s="1658"/>
      <c r="W1497" s="1658"/>
      <c r="X1497" s="1658"/>
      <c r="Y1497" s="1658"/>
      <c r="Z1497" s="1658"/>
      <c r="AA1497" s="1658"/>
      <c r="AB1497" s="1658"/>
      <c r="AC1497" s="1658"/>
      <c r="AD1497" s="1658"/>
      <c r="AE1497" s="1658"/>
      <c r="AF1497" s="1658"/>
    </row>
    <row r="1498" spans="1:32" ht="15">
      <c r="A1498" s="1629"/>
      <c r="B1498" s="1658"/>
      <c r="C1498" s="1658"/>
      <c r="D1498" s="1629"/>
      <c r="E1498" s="1629"/>
      <c r="F1498" s="2555"/>
      <c r="G1498" s="2555"/>
      <c r="H1498" s="2555"/>
      <c r="I1498" s="2555"/>
      <c r="J1498" s="1660"/>
      <c r="K1498" s="1660"/>
      <c r="L1498" s="1660"/>
      <c r="M1498" s="1643"/>
      <c r="N1498" s="2555"/>
      <c r="O1498" s="2557"/>
      <c r="P1498" s="1657"/>
      <c r="Q1498" s="1658"/>
      <c r="R1498" s="1658"/>
      <c r="S1498" s="1658"/>
      <c r="T1498" s="1658"/>
      <c r="U1498" s="1658"/>
      <c r="V1498" s="1658"/>
      <c r="W1498" s="1658"/>
      <c r="X1498" s="1658"/>
      <c r="Y1498" s="1658"/>
      <c r="Z1498" s="1658"/>
      <c r="AA1498" s="1658"/>
      <c r="AB1498" s="1658"/>
      <c r="AC1498" s="1658"/>
      <c r="AD1498" s="1658"/>
      <c r="AE1498" s="1658"/>
      <c r="AF1498" s="1658"/>
    </row>
    <row r="1499" spans="1:32" ht="15">
      <c r="A1499" s="2064" t="s">
        <v>1620</v>
      </c>
      <c r="B1499" s="2065" t="s">
        <v>2033</v>
      </c>
      <c r="C1499" s="1629"/>
      <c r="D1499" s="2065"/>
      <c r="E1499" s="2065"/>
      <c r="F1499" s="1629"/>
      <c r="G1499" s="2423"/>
      <c r="H1499" s="1629"/>
      <c r="I1499" s="1629"/>
      <c r="J1499" s="1629"/>
      <c r="K1499" s="1629"/>
      <c r="L1499" s="1629"/>
      <c r="M1499" s="2555">
        <v>2</v>
      </c>
      <c r="N1499" s="1643"/>
      <c r="O1499" s="1657">
        <f>'Part VIII Scoring Criteria'!O350</f>
        <v>2</v>
      </c>
      <c r="P1499" s="1657">
        <f>'Part VIII Scoring Criteria'!P350</f>
        <v>0</v>
      </c>
      <c r="Q1499" s="2555" t="s">
        <v>795</v>
      </c>
      <c r="R1499" s="1628"/>
      <c r="S1499" s="1628"/>
      <c r="T1499" s="1628"/>
      <c r="U1499" s="1628"/>
      <c r="V1499" s="1628"/>
      <c r="W1499" s="1629"/>
      <c r="X1499" s="1629"/>
      <c r="Y1499" s="1629"/>
      <c r="Z1499" s="1629"/>
      <c r="AA1499" s="1629"/>
      <c r="AB1499" s="1629"/>
      <c r="AC1499" s="1629"/>
      <c r="AD1499" s="1629"/>
      <c r="AE1499" s="1629"/>
      <c r="AF1499" s="1629"/>
    </row>
    <row r="1500" spans="1:32" ht="15">
      <c r="A1500" s="2555" t="s">
        <v>197</v>
      </c>
      <c r="B1500" s="2427" t="s">
        <v>2034</v>
      </c>
      <c r="C1500" s="1658"/>
      <c r="D1500" s="1664"/>
      <c r="E1500" s="2442" t="s">
        <v>2035</v>
      </c>
      <c r="F1500" s="1664"/>
      <c r="G1500" s="1664"/>
      <c r="H1500" s="1658">
        <f>'Part VIII Scoring Criteria'!H351</f>
        <v>0</v>
      </c>
      <c r="I1500" s="1658"/>
      <c r="J1500" s="1658"/>
      <c r="K1500" s="1658"/>
      <c r="L1500" s="2411" t="str">
        <f t="shared" ref="L1500:L1501" si="434">IF(OR($O1500=$M1500,$O1500=0,$O1500=""),"","* * Check Score! * *")</f>
        <v/>
      </c>
      <c r="M1500" s="2556">
        <v>2</v>
      </c>
      <c r="N1500" s="2067"/>
      <c r="O1500" s="1657">
        <f>'Part VIII Scoring Criteria'!O351</f>
        <v>0</v>
      </c>
      <c r="P1500" s="1657"/>
      <c r="Q1500" s="2557" t="str">
        <f>IF(OR(O1500=0,O1500="",O1500=$M1500),"","Check!")</f>
        <v/>
      </c>
      <c r="R1500" s="2413"/>
      <c r="S1500" s="1628"/>
      <c r="T1500" s="1628"/>
      <c r="U1500" s="1628"/>
      <c r="V1500" s="1628"/>
      <c r="W1500" s="1658"/>
      <c r="X1500" s="1658"/>
      <c r="Y1500" s="1658"/>
      <c r="Z1500" s="1658"/>
      <c r="AA1500" s="1658"/>
      <c r="AB1500" s="1658"/>
      <c r="AC1500" s="1658"/>
      <c r="AD1500" s="1658"/>
      <c r="AE1500" s="1658"/>
      <c r="AF1500" s="1658"/>
    </row>
    <row r="1501" spans="1:32" ht="15">
      <c r="A1501" s="2555" t="s">
        <v>209</v>
      </c>
      <c r="B1501" s="2427" t="s">
        <v>2036</v>
      </c>
      <c r="C1501" s="1658"/>
      <c r="D1501" s="1658"/>
      <c r="E1501" s="1658"/>
      <c r="F1501" s="1658"/>
      <c r="G1501" s="1658"/>
      <c r="H1501" s="1658"/>
      <c r="I1501" s="1658"/>
      <c r="J1501" s="1658"/>
      <c r="K1501" s="1658"/>
      <c r="L1501" s="2411" t="str">
        <f t="shared" si="434"/>
        <v/>
      </c>
      <c r="M1501" s="2556">
        <v>2</v>
      </c>
      <c r="N1501" s="2067"/>
      <c r="O1501" s="1657">
        <f>'Part VIII Scoring Criteria'!O352</f>
        <v>2</v>
      </c>
      <c r="P1501" s="1657"/>
      <c r="Q1501" s="2557" t="str">
        <f>IF(OR(O1501=0,O1501="",O1501=$M1501),"","Check!")</f>
        <v/>
      </c>
      <c r="R1501" s="2413"/>
      <c r="S1501" s="1628"/>
      <c r="T1501" s="1628"/>
      <c r="U1501" s="1628"/>
      <c r="V1501" s="1628"/>
      <c r="W1501" s="1658"/>
      <c r="X1501" s="1658"/>
      <c r="Y1501" s="1658"/>
      <c r="Z1501" s="1658"/>
      <c r="AA1501" s="1658"/>
      <c r="AB1501" s="1658"/>
      <c r="AC1501" s="1658"/>
      <c r="AD1501" s="1658"/>
      <c r="AE1501" s="1658"/>
      <c r="AF1501" s="1658"/>
    </row>
    <row r="1502" spans="1:32" ht="15">
      <c r="A1502" s="1629"/>
      <c r="B1502" s="2407" t="s">
        <v>2286</v>
      </c>
      <c r="C1502" s="1629"/>
      <c r="D1502" s="1629"/>
      <c r="E1502" s="1629"/>
      <c r="F1502" s="1629"/>
      <c r="G1502" s="1629"/>
      <c r="H1502" s="1629"/>
      <c r="I1502" s="1629"/>
      <c r="J1502" s="1629"/>
      <c r="K1502" s="1629"/>
      <c r="L1502" s="1658"/>
      <c r="M1502" s="1643"/>
      <c r="N1502" s="2556"/>
      <c r="O1502" s="1657"/>
      <c r="P1502" s="2557"/>
      <c r="Q1502" s="1658"/>
      <c r="R1502" s="1628"/>
      <c r="S1502" s="1628"/>
      <c r="T1502" s="1628"/>
      <c r="U1502" s="1628"/>
      <c r="V1502" s="1628"/>
      <c r="W1502" s="1658"/>
      <c r="X1502" s="1658"/>
      <c r="Y1502" s="1658"/>
      <c r="Z1502" s="1658"/>
      <c r="AA1502" s="1658"/>
      <c r="AB1502" s="1658"/>
      <c r="AC1502" s="1658"/>
      <c r="AD1502" s="1658"/>
      <c r="AE1502" s="1658"/>
      <c r="AF1502" s="1658"/>
    </row>
    <row r="1503" spans="1:32" ht="15">
      <c r="A1503" s="2422" t="str">
        <f>'Part VIII Scoring Criteria'!A354</f>
        <v>The Applicant commits to accepting resident services coordination from an entity certified as a "3rd Pary Resident Services Coordination Contractor" by CORES or other DCA-approved program. The Applicant will meet all of the requirements within the QAP under this section.</v>
      </c>
      <c r="B1503" s="2422"/>
      <c r="C1503" s="2422"/>
      <c r="D1503" s="2422"/>
      <c r="E1503" s="2422"/>
      <c r="F1503" s="2422"/>
      <c r="G1503" s="2422"/>
      <c r="H1503" s="2422"/>
      <c r="I1503" s="2422"/>
      <c r="J1503" s="2422"/>
      <c r="K1503" s="2422"/>
      <c r="L1503" s="2422"/>
      <c r="M1503" s="2422"/>
      <c r="N1503" s="2422"/>
      <c r="O1503" s="2422"/>
      <c r="P1503" s="2422"/>
      <c r="Q1503" s="1628"/>
      <c r="R1503" s="1658"/>
      <c r="S1503" s="1658"/>
      <c r="T1503" s="1658"/>
      <c r="U1503" s="1658"/>
      <c r="V1503" s="1658"/>
      <c r="W1503" s="1658"/>
      <c r="X1503" s="1658"/>
      <c r="Y1503" s="1658"/>
      <c r="Z1503" s="1658"/>
      <c r="AA1503" s="1658"/>
      <c r="AB1503" s="1658"/>
      <c r="AC1503" s="1658"/>
      <c r="AD1503" s="1658"/>
      <c r="AE1503" s="1658"/>
      <c r="AF1503" s="1658"/>
    </row>
    <row r="1504" spans="1:32" ht="15">
      <c r="A1504" s="1629"/>
      <c r="B1504" s="2422" t="s">
        <v>1447</v>
      </c>
      <c r="C1504" s="1629"/>
      <c r="D1504" s="2422"/>
      <c r="E1504" s="1664"/>
      <c r="F1504" s="1664"/>
      <c r="G1504" s="1664"/>
      <c r="H1504" s="1664"/>
      <c r="I1504" s="1664"/>
      <c r="J1504" s="1664"/>
      <c r="K1504" s="1664"/>
      <c r="L1504" s="1664"/>
      <c r="M1504" s="1664"/>
      <c r="N1504" s="1662"/>
      <c r="O1504" s="2418"/>
      <c r="P1504" s="2555"/>
      <c r="Q1504" s="1658"/>
      <c r="R1504" s="1658"/>
      <c r="S1504" s="1658"/>
      <c r="T1504" s="1658"/>
      <c r="U1504" s="1658"/>
      <c r="V1504" s="1658"/>
      <c r="W1504" s="1658"/>
      <c r="X1504" s="1658"/>
      <c r="Y1504" s="1658"/>
      <c r="Z1504" s="1658"/>
      <c r="AA1504" s="1658"/>
      <c r="AB1504" s="1658"/>
      <c r="AC1504" s="1658"/>
      <c r="AD1504" s="1658"/>
      <c r="AE1504" s="1658"/>
      <c r="AF1504" s="1658"/>
    </row>
    <row r="1505" spans="1:32" ht="15">
      <c r="A1505" s="1663"/>
      <c r="B1505" s="1663"/>
      <c r="C1505" s="1663"/>
      <c r="D1505" s="1663"/>
      <c r="E1505" s="1663"/>
      <c r="F1505" s="1663"/>
      <c r="G1505" s="1663"/>
      <c r="H1505" s="1663"/>
      <c r="I1505" s="1663"/>
      <c r="J1505" s="1663"/>
      <c r="K1505" s="1663"/>
      <c r="L1505" s="1663"/>
      <c r="M1505" s="1663"/>
      <c r="N1505" s="1663"/>
      <c r="O1505" s="1663"/>
      <c r="P1505" s="1663"/>
      <c r="Q1505" s="1628"/>
      <c r="R1505" s="1658"/>
      <c r="S1505" s="1658"/>
      <c r="T1505" s="1658"/>
      <c r="U1505" s="1658"/>
      <c r="V1505" s="1658"/>
      <c r="W1505" s="1658"/>
      <c r="X1505" s="1658"/>
      <c r="Y1505" s="1658"/>
      <c r="Z1505" s="1658"/>
      <c r="AA1505" s="1658"/>
      <c r="AB1505" s="1658"/>
      <c r="AC1505" s="1658"/>
      <c r="AD1505" s="1658"/>
      <c r="AE1505" s="1658"/>
      <c r="AF1505" s="1658"/>
    </row>
    <row r="1506" spans="1:32" ht="15">
      <c r="A1506" s="1629"/>
      <c r="B1506" s="1658"/>
      <c r="C1506" s="1658"/>
      <c r="D1506" s="1629"/>
      <c r="E1506" s="1629"/>
      <c r="F1506" s="2555"/>
      <c r="G1506" s="2555"/>
      <c r="H1506" s="2555"/>
      <c r="I1506" s="2555"/>
      <c r="J1506" s="1660"/>
      <c r="K1506" s="1660"/>
      <c r="L1506" s="1660"/>
      <c r="M1506" s="1643"/>
      <c r="N1506" s="2555"/>
      <c r="O1506" s="2557"/>
      <c r="P1506" s="1657"/>
      <c r="Q1506" s="1658"/>
      <c r="R1506" s="1658"/>
      <c r="S1506" s="1658"/>
      <c r="T1506" s="1658"/>
      <c r="U1506" s="1658"/>
      <c r="V1506" s="1658"/>
      <c r="W1506" s="1658"/>
      <c r="X1506" s="1658"/>
      <c r="Y1506" s="1658"/>
      <c r="Z1506" s="1658"/>
      <c r="AA1506" s="1658"/>
      <c r="AB1506" s="1658"/>
      <c r="AC1506" s="1658"/>
      <c r="AD1506" s="1658"/>
      <c r="AE1506" s="1658"/>
      <c r="AF1506" s="1658"/>
    </row>
    <row r="1507" spans="1:32" ht="15">
      <c r="A1507" s="1658"/>
      <c r="B1507" s="1658"/>
      <c r="C1507" s="1658"/>
      <c r="D1507" s="1658"/>
      <c r="E1507" s="1658"/>
      <c r="F1507" s="1658"/>
      <c r="G1507" s="1658"/>
      <c r="H1507" s="1658"/>
      <c r="I1507" s="1658"/>
      <c r="J1507" s="1658"/>
      <c r="K1507" s="1658"/>
      <c r="L1507" s="1658"/>
      <c r="M1507" s="1658"/>
      <c r="N1507" s="2556"/>
      <c r="O1507" s="2557"/>
      <c r="P1507" s="2557"/>
      <c r="Q1507" s="1658"/>
      <c r="R1507" s="1658"/>
      <c r="S1507" s="1658"/>
      <c r="T1507" s="1658"/>
      <c r="U1507" s="1658"/>
      <c r="V1507" s="1658"/>
      <c r="W1507" s="1658"/>
      <c r="X1507" s="1658"/>
      <c r="Y1507" s="1658"/>
      <c r="Z1507" s="1658"/>
      <c r="AA1507" s="1658"/>
      <c r="AB1507" s="1658"/>
      <c r="AC1507" s="1658"/>
      <c r="AD1507" s="1658"/>
      <c r="AE1507" s="1658"/>
      <c r="AF1507" s="1658"/>
    </row>
    <row r="1508" spans="1:32" ht="15">
      <c r="A1508" s="2447" t="s">
        <v>1625</v>
      </c>
      <c r="B1508" s="2065" t="s">
        <v>2038</v>
      </c>
      <c r="C1508" s="1658"/>
      <c r="D1508" s="1665"/>
      <c r="E1508" s="1665"/>
      <c r="F1508" s="1658"/>
      <c r="G1508" s="1629"/>
      <c r="H1508" s="1658"/>
      <c r="I1508" s="1658"/>
      <c r="J1508" s="1658"/>
      <c r="K1508" s="1658"/>
      <c r="L1508" s="2467" t="str">
        <f>IF(AND(O1508&gt;0,NOT($O$12="9%")),"Ineligible, not 9%!","")</f>
        <v/>
      </c>
      <c r="M1508" s="2555">
        <v>2</v>
      </c>
      <c r="N1508" s="2411"/>
      <c r="O1508" s="2073">
        <f>'Part VIII Scoring Criteria'!O359</f>
        <v>0</v>
      </c>
      <c r="P1508" s="2073"/>
      <c r="Q1508" s="2555" t="s">
        <v>795</v>
      </c>
      <c r="R1508" s="2401"/>
      <c r="S1508" s="2401"/>
      <c r="T1508" s="1658"/>
      <c r="U1508" s="1658"/>
      <c r="V1508" s="1658"/>
      <c r="W1508" s="1658"/>
      <c r="X1508" s="1658"/>
      <c r="Y1508" s="1658"/>
      <c r="Z1508" s="1658"/>
      <c r="AA1508" s="1658"/>
      <c r="AB1508" s="1658"/>
      <c r="AC1508" s="1658"/>
      <c r="AD1508" s="1658"/>
      <c r="AE1508" s="1658"/>
      <c r="AF1508" s="1658"/>
    </row>
    <row r="1509" spans="1:32" ht="15">
      <c r="A1509" s="2071"/>
      <c r="B1509" s="2413" t="s">
        <v>2039</v>
      </c>
      <c r="C1509" s="1658"/>
      <c r="D1509" s="1665"/>
      <c r="E1509" s="1665"/>
      <c r="F1509" s="1658"/>
      <c r="G1509" s="1629"/>
      <c r="H1509" s="1658"/>
      <c r="I1509" s="1629" t="str">
        <f>'Part VIII Scoring Criteria'!I360</f>
        <v>Enter GICH Community Name</v>
      </c>
      <c r="J1509" s="1629"/>
      <c r="K1509" s="1629"/>
      <c r="L1509" s="1629"/>
      <c r="M1509" s="1643"/>
      <c r="N1509" s="1643"/>
      <c r="O1509" s="2556"/>
      <c r="P1509" s="2556"/>
      <c r="Q1509" s="2412"/>
      <c r="R1509" s="2401"/>
      <c r="S1509" s="2401"/>
      <c r="T1509" s="1658"/>
      <c r="U1509" s="1658"/>
      <c r="V1509" s="1658"/>
      <c r="W1509" s="1658"/>
      <c r="X1509" s="1658"/>
      <c r="Y1509" s="1658"/>
      <c r="Z1509" s="1658"/>
      <c r="AA1509" s="1658"/>
      <c r="AB1509" s="1658"/>
      <c r="AC1509" s="1658"/>
      <c r="AD1509" s="1658"/>
      <c r="AE1509" s="1658"/>
      <c r="AF1509" s="1658"/>
    </row>
    <row r="1510" spans="1:32" ht="15">
      <c r="A1510" s="1658"/>
      <c r="B1510" s="2413"/>
      <c r="C1510" s="1658"/>
      <c r="D1510" s="1629"/>
      <c r="E1510" s="1629"/>
      <c r="F1510" s="1629"/>
      <c r="G1510" s="1629"/>
      <c r="H1510" s="1629"/>
      <c r="I1510" s="1629"/>
      <c r="J1510" s="1629"/>
      <c r="K1510" s="1629"/>
      <c r="L1510" s="1629"/>
      <c r="M1510" s="1629"/>
      <c r="N1510" s="2067"/>
      <c r="O1510" s="2067"/>
      <c r="P1510" s="2067"/>
      <c r="Q1510" s="1658"/>
      <c r="R1510" s="1658"/>
      <c r="S1510" s="1658"/>
      <c r="T1510" s="1658"/>
      <c r="U1510" s="1658"/>
      <c r="V1510" s="1658"/>
      <c r="W1510" s="1658"/>
      <c r="X1510" s="1658"/>
      <c r="Y1510" s="1658"/>
      <c r="Z1510" s="1658"/>
      <c r="AA1510" s="1658"/>
      <c r="AB1510" s="1658"/>
      <c r="AC1510" s="1658"/>
      <c r="AD1510" s="1658"/>
      <c r="AE1510" s="1658"/>
      <c r="AF1510" s="1658"/>
    </row>
    <row r="1511" spans="1:32" ht="15">
      <c r="A1511" s="1629"/>
      <c r="B1511" s="2407" t="s">
        <v>2286</v>
      </c>
      <c r="C1511" s="1629"/>
      <c r="D1511" s="1629"/>
      <c r="E1511" s="1629"/>
      <c r="F1511" s="1629"/>
      <c r="G1511" s="1629"/>
      <c r="H1511" s="1629"/>
      <c r="I1511" s="1629"/>
      <c r="J1511" s="1629"/>
      <c r="K1511" s="1629"/>
      <c r="L1511" s="1658"/>
      <c r="M1511" s="1643"/>
      <c r="N1511" s="2556"/>
      <c r="O1511" s="1657"/>
      <c r="P1511" s="2557"/>
      <c r="Q1511" s="1629"/>
      <c r="R1511" s="1629"/>
      <c r="S1511" s="1629"/>
      <c r="T1511" s="1629"/>
      <c r="U1511" s="1629"/>
      <c r="V1511" s="1629"/>
      <c r="W1511" s="1629"/>
      <c r="X1511" s="1629"/>
      <c r="Y1511" s="1629"/>
      <c r="Z1511" s="1629"/>
      <c r="AA1511" s="1629"/>
      <c r="AB1511" s="1629"/>
      <c r="AC1511" s="1629"/>
      <c r="AD1511" s="1629"/>
      <c r="AE1511" s="1629"/>
      <c r="AF1511" s="1629"/>
    </row>
    <row r="1512" spans="1:32" ht="15">
      <c r="A1512" s="2422" t="str">
        <f>'Part VIII Scoring Criteria'!A363</f>
        <v>Austell is not a GICH Community</v>
      </c>
      <c r="B1512" s="2422"/>
      <c r="C1512" s="2422"/>
      <c r="D1512" s="2422"/>
      <c r="E1512" s="2422"/>
      <c r="F1512" s="2422"/>
      <c r="G1512" s="2422"/>
      <c r="H1512" s="2422"/>
      <c r="I1512" s="2422"/>
      <c r="J1512" s="2422"/>
      <c r="K1512" s="2422"/>
      <c r="L1512" s="2422"/>
      <c r="M1512" s="2422"/>
      <c r="N1512" s="2422"/>
      <c r="O1512" s="2422"/>
      <c r="P1512" s="2422"/>
      <c r="Q1512" s="1628"/>
      <c r="R1512" s="1658"/>
      <c r="S1512" s="1658"/>
      <c r="T1512" s="1658"/>
      <c r="U1512" s="1658"/>
      <c r="V1512" s="1658"/>
      <c r="W1512" s="1658"/>
      <c r="X1512" s="1658"/>
      <c r="Y1512" s="1658"/>
      <c r="Z1512" s="1658"/>
      <c r="AA1512" s="1658"/>
      <c r="AB1512" s="1658"/>
      <c r="AC1512" s="1658"/>
      <c r="AD1512" s="1658"/>
      <c r="AE1512" s="1658"/>
      <c r="AF1512" s="1658"/>
    </row>
    <row r="1513" spans="1:32" ht="15">
      <c r="A1513" s="1629"/>
      <c r="B1513" s="2407" t="s">
        <v>1447</v>
      </c>
      <c r="C1513" s="1629"/>
      <c r="D1513" s="2407"/>
      <c r="E1513" s="1660"/>
      <c r="F1513" s="1660"/>
      <c r="G1513" s="1660"/>
      <c r="H1513" s="1660"/>
      <c r="I1513" s="1660"/>
      <c r="J1513" s="1660"/>
      <c r="K1513" s="1660"/>
      <c r="L1513" s="1660"/>
      <c r="M1513" s="1660"/>
      <c r="N1513" s="1643"/>
      <c r="O1513" s="2555"/>
      <c r="P1513" s="2555"/>
      <c r="Q1513" s="1658"/>
      <c r="R1513" s="1629"/>
      <c r="S1513" s="1629"/>
      <c r="T1513" s="1629"/>
      <c r="U1513" s="1629"/>
      <c r="V1513" s="1629"/>
      <c r="W1513" s="1629"/>
      <c r="X1513" s="1629"/>
      <c r="Y1513" s="1629"/>
      <c r="Z1513" s="1629"/>
      <c r="AA1513" s="1629"/>
      <c r="AB1513" s="1629"/>
      <c r="AC1513" s="1629"/>
      <c r="AD1513" s="1629"/>
      <c r="AE1513" s="1629"/>
      <c r="AF1513" s="1629"/>
    </row>
    <row r="1514" spans="1:32" ht="15">
      <c r="A1514" s="1663"/>
      <c r="B1514" s="1663"/>
      <c r="C1514" s="1663"/>
      <c r="D1514" s="1663"/>
      <c r="E1514" s="1663"/>
      <c r="F1514" s="1663"/>
      <c r="G1514" s="1663"/>
      <c r="H1514" s="1663"/>
      <c r="I1514" s="1663"/>
      <c r="J1514" s="1663"/>
      <c r="K1514" s="1663"/>
      <c r="L1514" s="1663"/>
      <c r="M1514" s="1663"/>
      <c r="N1514" s="1663"/>
      <c r="O1514" s="1663"/>
      <c r="P1514" s="1663"/>
      <c r="Q1514" s="1628"/>
      <c r="R1514" s="1658"/>
      <c r="S1514" s="1658"/>
      <c r="T1514" s="1658"/>
      <c r="U1514" s="1658"/>
      <c r="V1514" s="1658"/>
      <c r="W1514" s="1658"/>
      <c r="X1514" s="1658"/>
      <c r="Y1514" s="1658"/>
      <c r="Z1514" s="1658"/>
      <c r="AA1514" s="1658"/>
      <c r="AB1514" s="1658"/>
      <c r="AC1514" s="1658"/>
      <c r="AD1514" s="1658"/>
      <c r="AE1514" s="1658"/>
      <c r="AF1514" s="1658"/>
    </row>
    <row r="1515" spans="1:32" ht="15">
      <c r="A1515" s="1658"/>
      <c r="B1515" s="1658"/>
      <c r="C1515" s="1658"/>
      <c r="D1515" s="1658"/>
      <c r="E1515" s="1658"/>
      <c r="F1515" s="1658"/>
      <c r="G1515" s="1658"/>
      <c r="H1515" s="1658"/>
      <c r="I1515" s="1658"/>
      <c r="J1515" s="1658"/>
      <c r="K1515" s="1658"/>
      <c r="L1515" s="1658"/>
      <c r="M1515" s="1658"/>
      <c r="N1515" s="2556"/>
      <c r="O1515" s="2557"/>
      <c r="P1515" s="2557"/>
      <c r="Q1515" s="1658"/>
      <c r="R1515" s="1658"/>
      <c r="S1515" s="1658"/>
      <c r="T1515" s="1658"/>
      <c r="U1515" s="1658"/>
      <c r="V1515" s="1658"/>
      <c r="W1515" s="1658"/>
      <c r="X1515" s="1658"/>
      <c r="Y1515" s="1658"/>
      <c r="Z1515" s="1658"/>
      <c r="AA1515" s="1658"/>
      <c r="AB1515" s="1658"/>
      <c r="AC1515" s="1658"/>
      <c r="AD1515" s="1658"/>
      <c r="AE1515" s="1658"/>
      <c r="AF1515" s="1658"/>
    </row>
    <row r="1516" spans="1:32" ht="15">
      <c r="A1516" s="2447"/>
      <c r="B1516" s="1629"/>
      <c r="C1516" s="1664"/>
      <c r="D1516" s="1664"/>
      <c r="E1516" s="1664"/>
      <c r="F1516" s="1664"/>
      <c r="G1516" s="1664"/>
      <c r="H1516" s="1664"/>
      <c r="I1516" s="1664"/>
      <c r="J1516" s="1664"/>
      <c r="K1516" s="1664"/>
      <c r="L1516" s="1664"/>
      <c r="M1516" s="1664"/>
      <c r="N1516" s="1662"/>
      <c r="O1516" s="2418"/>
      <c r="P1516" s="2555"/>
      <c r="Q1516" s="1658"/>
      <c r="R1516" s="1658"/>
      <c r="S1516" s="1658"/>
      <c r="T1516" s="1658"/>
      <c r="U1516" s="1658"/>
      <c r="V1516" s="1658"/>
      <c r="W1516" s="1658"/>
      <c r="X1516" s="1658"/>
      <c r="Y1516" s="1658"/>
      <c r="Z1516" s="1658"/>
      <c r="AA1516" s="1658"/>
      <c r="AB1516" s="1658"/>
      <c r="AC1516" s="1658"/>
      <c r="AD1516" s="1658"/>
      <c r="AE1516" s="1658"/>
      <c r="AF1516" s="1658"/>
    </row>
    <row r="1517" spans="1:32" ht="15">
      <c r="A1517" s="2447" t="s">
        <v>1632</v>
      </c>
      <c r="B1517" s="2065" t="s">
        <v>2042</v>
      </c>
      <c r="C1517" s="1629"/>
      <c r="D1517" s="2065"/>
      <c r="E1517" s="2065"/>
      <c r="F1517" s="1629"/>
      <c r="G1517" s="1629"/>
      <c r="H1517" s="1629"/>
      <c r="I1517" s="2467" t="str">
        <f>IF(AND($O1517&gt;0,NOT($F$12="Preservation")),"Ineligible, not Preservation!","")</f>
        <v/>
      </c>
      <c r="J1517" s="1629"/>
      <c r="K1517" s="1629"/>
      <c r="L1517" s="1629"/>
      <c r="M1517" s="2555"/>
      <c r="N1517" s="1643"/>
      <c r="O1517" s="2406">
        <f>'Part VIII Scoring Criteria'!O368</f>
        <v>0</v>
      </c>
      <c r="P1517" s="2406">
        <f>'Part VIII Scoring Criteria'!P368</f>
        <v>0</v>
      </c>
      <c r="Q1517" s="2555" t="s">
        <v>795</v>
      </c>
      <c r="R1517" s="2413"/>
      <c r="S1517" s="1629"/>
      <c r="T1517" s="1629"/>
      <c r="U1517" s="1629"/>
      <c r="V1517" s="1629"/>
      <c r="W1517" s="1629"/>
      <c r="X1517" s="1629"/>
      <c r="Y1517" s="1629"/>
      <c r="Z1517" s="1629"/>
      <c r="AA1517" s="1629"/>
      <c r="AB1517" s="1629"/>
      <c r="AC1517" s="1629"/>
      <c r="AD1517" s="1629"/>
      <c r="AE1517" s="1629"/>
      <c r="AF1517" s="1629"/>
    </row>
    <row r="1518" spans="1:32" ht="15">
      <c r="A1518" s="2447"/>
      <c r="B1518" s="1629"/>
      <c r="C1518" s="1664"/>
      <c r="D1518" s="1664"/>
      <c r="E1518" s="1664"/>
      <c r="F1518" s="1664"/>
      <c r="G1518" s="1664"/>
      <c r="H1518" s="1664"/>
      <c r="I1518" s="1658"/>
      <c r="J1518" s="1664"/>
      <c r="K1518" s="1664"/>
      <c r="L1518" s="1664"/>
      <c r="M1518" s="1664"/>
      <c r="N1518" s="1662"/>
      <c r="O1518" s="2418"/>
      <c r="P1518" s="2418"/>
      <c r="Q1518" s="1658"/>
      <c r="R1518" s="1658"/>
      <c r="S1518" s="1658"/>
      <c r="T1518" s="1658"/>
      <c r="U1518" s="1658"/>
      <c r="V1518" s="1658"/>
      <c r="W1518" s="1658"/>
      <c r="X1518" s="1658"/>
      <c r="Y1518" s="1658"/>
      <c r="Z1518" s="1658"/>
      <c r="AA1518" s="1658"/>
      <c r="AB1518" s="1658"/>
      <c r="AC1518" s="1658"/>
      <c r="AD1518" s="1658"/>
      <c r="AE1518" s="1658"/>
      <c r="AF1518" s="1658"/>
    </row>
    <row r="1519" spans="1:32" ht="15">
      <c r="A1519" s="2555" t="s">
        <v>197</v>
      </c>
      <c r="B1519" s="1628" t="s">
        <v>2043</v>
      </c>
      <c r="C1519" s="1629"/>
      <c r="D1519" s="2065"/>
      <c r="E1519" s="2065"/>
      <c r="F1519" s="1629"/>
      <c r="G1519" s="1629"/>
      <c r="H1519" s="1629"/>
      <c r="I1519" s="1629"/>
      <c r="J1519" s="1629"/>
      <c r="K1519" s="1629"/>
      <c r="L1519" s="2441" t="s">
        <v>1767</v>
      </c>
      <c r="M1519" s="2555">
        <v>6</v>
      </c>
      <c r="N1519" s="1643"/>
      <c r="O1519" s="1657">
        <f>'Part VIII Scoring Criteria'!O370</f>
        <v>0</v>
      </c>
      <c r="P1519" s="1657"/>
      <c r="Q1519" s="2555"/>
      <c r="R1519" s="2413"/>
      <c r="S1519" s="1629"/>
      <c r="T1519" s="1629"/>
      <c r="U1519" s="1629"/>
      <c r="V1519" s="1629"/>
      <c r="W1519" s="1629"/>
      <c r="X1519" s="1629"/>
      <c r="Y1519" s="1629"/>
      <c r="Z1519" s="1629"/>
      <c r="AA1519" s="1629"/>
      <c r="AB1519" s="1629"/>
      <c r="AC1519" s="1629"/>
      <c r="AD1519" s="1629"/>
      <c r="AE1519" s="1629"/>
      <c r="AF1519" s="1629"/>
    </row>
    <row r="1520" spans="1:32" ht="15">
      <c r="A1520" s="2418" t="s">
        <v>209</v>
      </c>
      <c r="B1520" s="1628" t="s">
        <v>2044</v>
      </c>
      <c r="C1520" s="1629"/>
      <c r="D1520" s="2065"/>
      <c r="E1520" s="2065"/>
      <c r="F1520" s="2451" t="s">
        <v>2045</v>
      </c>
      <c r="G1520" s="1629"/>
      <c r="H1520" s="1629"/>
      <c r="I1520" s="1629"/>
      <c r="J1520" s="1629"/>
      <c r="K1520" s="2412" t="str">
        <f>IF(OR($O1520=$M1520,$O1520=0,$O1520=""),"","*CHECK!*")</f>
        <v/>
      </c>
      <c r="L1520" s="2441" t="s">
        <v>1767</v>
      </c>
      <c r="M1520" s="2555">
        <v>6</v>
      </c>
      <c r="N1520" s="1643"/>
      <c r="O1520" s="1643"/>
      <c r="P1520" s="1657"/>
      <c r="Q1520" s="2555"/>
      <c r="R1520" s="2413"/>
      <c r="S1520" s="1629"/>
      <c r="T1520" s="1629"/>
      <c r="U1520" s="1629"/>
      <c r="V1520" s="1629"/>
      <c r="W1520" s="1629"/>
      <c r="X1520" s="1629"/>
      <c r="Y1520" s="1629"/>
      <c r="Z1520" s="1629"/>
      <c r="AA1520" s="1629"/>
      <c r="AB1520" s="1629"/>
      <c r="AC1520" s="1629"/>
      <c r="AD1520" s="1629"/>
      <c r="AE1520" s="1629"/>
      <c r="AF1520" s="1629"/>
    </row>
    <row r="1521" spans="1:32" ht="15">
      <c r="A1521" s="2447"/>
      <c r="B1521" s="1629" t="s">
        <v>2046</v>
      </c>
      <c r="C1521" s="1629"/>
      <c r="D1521" s="2065"/>
      <c r="E1521" s="2065"/>
      <c r="F1521" s="1628"/>
      <c r="G1521" s="1629"/>
      <c r="H1521" s="1629"/>
      <c r="I1521" s="1629"/>
      <c r="J1521" s="1629"/>
      <c r="K1521" s="1629"/>
      <c r="L1521" s="2412"/>
      <c r="M1521" s="2555"/>
      <c r="N1521" s="1643"/>
      <c r="O1521" s="1657">
        <f>'Part VIII Scoring Criteria'!O372</f>
        <v>0</v>
      </c>
      <c r="P1521" s="2555"/>
      <c r="Q1521" s="2555"/>
      <c r="R1521" s="2413"/>
      <c r="S1521" s="1629"/>
      <c r="T1521" s="1629"/>
      <c r="U1521" s="1629"/>
      <c r="V1521" s="1629"/>
      <c r="W1521" s="1629"/>
      <c r="X1521" s="1629"/>
      <c r="Y1521" s="1629"/>
      <c r="Z1521" s="1629"/>
      <c r="AA1521" s="1629"/>
      <c r="AB1521" s="1629"/>
      <c r="AC1521" s="1629"/>
      <c r="AD1521" s="1629"/>
      <c r="AE1521" s="1629"/>
      <c r="AF1521" s="1629"/>
    </row>
    <row r="1522" spans="1:32" ht="15">
      <c r="A1522" s="2555" t="s">
        <v>230</v>
      </c>
      <c r="B1522" s="2401" t="s">
        <v>2047</v>
      </c>
      <c r="C1522" s="1663"/>
      <c r="D1522" s="1663"/>
      <c r="E1522" s="1663"/>
      <c r="F1522" s="1663"/>
      <c r="G1522" s="1663"/>
      <c r="H1522" s="1663"/>
      <c r="I1522" s="1663"/>
      <c r="J1522" s="1629"/>
      <c r="K1522" s="1629"/>
      <c r="L1522" s="2441" t="s">
        <v>1767</v>
      </c>
      <c r="M1522" s="1643">
        <v>4</v>
      </c>
      <c r="N1522" s="2067"/>
      <c r="O1522" s="1657">
        <f>'Part VIII Scoring Criteria'!O373</f>
        <v>0</v>
      </c>
      <c r="P1522" s="1657"/>
      <c r="Q1522" s="2412"/>
      <c r="R1522" s="2413"/>
      <c r="S1522" s="1663"/>
      <c r="T1522" s="1663"/>
      <c r="U1522" s="1663"/>
      <c r="V1522" s="1663"/>
      <c r="W1522" s="1663"/>
      <c r="X1522" s="1663"/>
      <c r="Y1522" s="1663"/>
      <c r="Z1522" s="1663"/>
      <c r="AA1522" s="1663"/>
      <c r="AB1522" s="1663"/>
      <c r="AC1522" s="1663"/>
      <c r="AD1522" s="1663"/>
      <c r="AE1522" s="1663"/>
      <c r="AF1522" s="1663"/>
    </row>
    <row r="1523" spans="1:32" ht="15">
      <c r="A1523" s="2555" t="s">
        <v>232</v>
      </c>
      <c r="B1523" s="1628" t="s">
        <v>2048</v>
      </c>
      <c r="C1523" s="1658"/>
      <c r="D1523" s="1658"/>
      <c r="E1523" s="1665"/>
      <c r="F1523" s="1629"/>
      <c r="G1523" s="1629"/>
      <c r="H1523" s="1629"/>
      <c r="I1523" s="1658"/>
      <c r="J1523" s="1658"/>
      <c r="K1523" s="1643"/>
      <c r="L1523" s="2441" t="s">
        <v>1767</v>
      </c>
      <c r="M1523" s="1643">
        <v>4</v>
      </c>
      <c r="N1523" s="2067"/>
      <c r="O1523" s="1657">
        <f>'Part VIII Scoring Criteria'!O374</f>
        <v>0</v>
      </c>
      <c r="P1523" s="1657"/>
      <c r="Q1523" s="2412"/>
      <c r="R1523" s="2413"/>
      <c r="S1523" s="1658"/>
      <c r="T1523" s="1658"/>
      <c r="U1523" s="1658"/>
      <c r="V1523" s="1658"/>
      <c r="W1523" s="1658"/>
      <c r="X1523" s="1658"/>
      <c r="Y1523" s="1658"/>
      <c r="Z1523" s="1658"/>
      <c r="AA1523" s="1658"/>
      <c r="AB1523" s="1658"/>
      <c r="AC1523" s="1658"/>
      <c r="AD1523" s="1658"/>
      <c r="AE1523" s="1658"/>
      <c r="AF1523" s="1658"/>
    </row>
    <row r="1524" spans="1:32" ht="15">
      <c r="A1524" s="2555" t="s">
        <v>239</v>
      </c>
      <c r="B1524" s="1628" t="s">
        <v>2049</v>
      </c>
      <c r="C1524" s="1629"/>
      <c r="D1524" s="2065"/>
      <c r="E1524" s="1629"/>
      <c r="F1524" s="2451" t="s">
        <v>2050</v>
      </c>
      <c r="G1524" s="1629"/>
      <c r="H1524" s="1629"/>
      <c r="I1524" s="1629"/>
      <c r="J1524" s="1629"/>
      <c r="K1524" s="2467" t="str">
        <f>IF(AND($O1524&gt;0,NOT($F$12="Preservation")),"Ineligible, not Preservation!","")</f>
        <v/>
      </c>
      <c r="L1524" s="2441" t="s">
        <v>1767</v>
      </c>
      <c r="M1524" s="2555">
        <v>20</v>
      </c>
      <c r="N1524" s="1643"/>
      <c r="O1524" s="1657">
        <f>'Part VIII Scoring Criteria'!O375</f>
        <v>0</v>
      </c>
      <c r="P1524" s="1657">
        <f>'Part VIII Scoring Criteria'!P375</f>
        <v>0</v>
      </c>
      <c r="Q1524" s="2555"/>
      <c r="R1524" s="2413"/>
      <c r="S1524" s="1629"/>
      <c r="T1524" s="1629"/>
      <c r="U1524" s="1629"/>
      <c r="V1524" s="1629"/>
      <c r="W1524" s="1629"/>
      <c r="X1524" s="1629"/>
      <c r="Y1524" s="1629"/>
      <c r="Z1524" s="1629"/>
      <c r="AA1524" s="1629"/>
      <c r="AB1524" s="1629"/>
      <c r="AC1524" s="1629"/>
      <c r="AD1524" s="1629"/>
      <c r="AE1524" s="1629"/>
      <c r="AF1524" s="1629"/>
    </row>
    <row r="1525" spans="1:32" ht="15">
      <c r="A1525" s="2555"/>
      <c r="B1525" s="1628"/>
      <c r="C1525" s="1629" t="s">
        <v>2051</v>
      </c>
      <c r="D1525" s="2065"/>
      <c r="E1525" s="2065"/>
      <c r="F1525" s="1629"/>
      <c r="G1525" s="1629"/>
      <c r="H1525" s="1629"/>
      <c r="I1525" s="1629"/>
      <c r="J1525" s="2555" t="s">
        <v>1758</v>
      </c>
      <c r="K1525" s="2555" t="s">
        <v>1749</v>
      </c>
      <c r="L1525" s="2441"/>
      <c r="M1525" s="2555"/>
      <c r="N1525" s="1643"/>
      <c r="O1525" s="1657"/>
      <c r="P1525" s="1657"/>
      <c r="Q1525" s="2555"/>
      <c r="R1525" s="2555"/>
      <c r="S1525" s="2555"/>
      <c r="T1525" s="2555"/>
      <c r="U1525" s="2555"/>
      <c r="V1525" s="2555"/>
      <c r="W1525" s="2555"/>
      <c r="X1525" s="2555"/>
      <c r="Y1525" s="2555"/>
      <c r="Z1525" s="2555"/>
      <c r="AA1525" s="2555"/>
      <c r="AB1525" s="1629"/>
      <c r="AC1525" s="1629"/>
      <c r="AD1525" s="1629"/>
      <c r="AE1525" s="1629"/>
      <c r="AF1525" s="1629"/>
    </row>
    <row r="1526" spans="1:32" ht="15">
      <c r="A1526" s="2555"/>
      <c r="B1526" s="1628"/>
      <c r="C1526" s="1629"/>
      <c r="D1526" s="1629" t="s">
        <v>2052</v>
      </c>
      <c r="E1526" s="2065"/>
      <c r="F1526" s="1629"/>
      <c r="G1526" s="1629"/>
      <c r="H1526" s="1629"/>
      <c r="I1526" s="1629"/>
      <c r="J1526" s="2496">
        <f>'Part VIII Scoring Criteria'!J377</f>
        <v>20</v>
      </c>
      <c r="K1526" s="2496">
        <f>MAX(P1317,P1318-P1319)</f>
        <v>0</v>
      </c>
      <c r="L1526" s="2441"/>
      <c r="M1526" s="2555"/>
      <c r="N1526" s="1643"/>
      <c r="O1526" s="1657"/>
      <c r="P1526" s="1657"/>
      <c r="Q1526" s="2555"/>
      <c r="R1526" s="2555"/>
      <c r="S1526" s="2555"/>
      <c r="T1526" s="2555"/>
      <c r="U1526" s="2555"/>
      <c r="V1526" s="2555"/>
      <c r="W1526" s="2555"/>
      <c r="X1526" s="2555"/>
      <c r="Y1526" s="2555"/>
      <c r="Z1526" s="2555"/>
      <c r="AA1526" s="2555"/>
      <c r="AB1526" s="1629"/>
      <c r="AC1526" s="1629"/>
      <c r="AD1526" s="1629"/>
      <c r="AE1526" s="1629"/>
      <c r="AF1526" s="1629"/>
    </row>
    <row r="1527" spans="1:32" ht="15">
      <c r="A1527" s="2555"/>
      <c r="B1527" s="1628"/>
      <c r="C1527" s="1629"/>
      <c r="D1527" s="1629" t="s">
        <v>2053</v>
      </c>
      <c r="E1527" s="2065"/>
      <c r="F1527" s="1629"/>
      <c r="G1527" s="1629"/>
      <c r="H1527" s="1629"/>
      <c r="I1527" s="1629"/>
      <c r="J1527" s="2496">
        <f>'Part VIII Scoring Criteria'!J378</f>
        <v>3</v>
      </c>
      <c r="K1527" s="2496">
        <f>MAX(P1326,P1335+P1336+P1338+P1339+P1340)</f>
        <v>0</v>
      </c>
      <c r="L1527" s="2441"/>
      <c r="M1527" s="2555"/>
      <c r="N1527" s="1643"/>
      <c r="O1527" s="1657"/>
      <c r="P1527" s="1657"/>
      <c r="Q1527" s="2555"/>
      <c r="R1527" s="2555"/>
      <c r="S1527" s="2555"/>
      <c r="T1527" s="2555"/>
      <c r="U1527" s="2555"/>
      <c r="V1527" s="2555"/>
      <c r="W1527" s="2555"/>
      <c r="X1527" s="2555"/>
      <c r="Y1527" s="2555"/>
      <c r="Z1527" s="2555"/>
      <c r="AA1527" s="2555"/>
      <c r="AB1527" s="1629"/>
      <c r="AC1527" s="1629"/>
      <c r="AD1527" s="1629"/>
      <c r="AE1527" s="1629"/>
      <c r="AF1527" s="1629"/>
    </row>
    <row r="1528" spans="1:32" ht="15">
      <c r="A1528" s="2555"/>
      <c r="B1528" s="1628"/>
      <c r="C1528" s="1629"/>
      <c r="D1528" s="1629" t="s">
        <v>2054</v>
      </c>
      <c r="E1528" s="1629"/>
      <c r="F1528" s="2451"/>
      <c r="G1528" s="1629"/>
      <c r="H1528" s="1629"/>
      <c r="I1528" s="1629"/>
      <c r="J1528" s="2496">
        <f>'Part VIII Scoring Criteria'!J379</f>
        <v>2</v>
      </c>
      <c r="K1528" s="2502">
        <f>$P$190</f>
        <v>0</v>
      </c>
      <c r="L1528" s="2441"/>
      <c r="M1528" s="2555"/>
      <c r="N1528" s="1643"/>
      <c r="O1528" s="1657"/>
      <c r="P1528" s="1657"/>
      <c r="Q1528" s="2555"/>
      <c r="R1528" s="2555"/>
      <c r="S1528" s="2555"/>
      <c r="T1528" s="2555"/>
      <c r="U1528" s="2555"/>
      <c r="V1528" s="2555"/>
      <c r="W1528" s="2555"/>
      <c r="X1528" s="2555"/>
      <c r="Y1528" s="2555"/>
      <c r="Z1528" s="2555"/>
      <c r="AA1528" s="2555"/>
      <c r="AB1528" s="1629"/>
      <c r="AC1528" s="1629"/>
      <c r="AD1528" s="1629"/>
      <c r="AE1528" s="1629"/>
      <c r="AF1528" s="1629"/>
    </row>
    <row r="1529" spans="1:32" ht="15">
      <c r="A1529" s="2555"/>
      <c r="B1529" s="1628"/>
      <c r="C1529" s="1629" t="s">
        <v>2055</v>
      </c>
      <c r="D1529" s="1629"/>
      <c r="E1529" s="1629"/>
      <c r="F1529" s="2451"/>
      <c r="G1529" s="1629"/>
      <c r="H1529" s="1629"/>
      <c r="I1529" s="2460" t="s">
        <v>2056</v>
      </c>
      <c r="J1529" s="2496">
        <f>'Part VIII Scoring Criteria'!J380</f>
        <v>9</v>
      </c>
      <c r="K1529" s="2496">
        <f>MAX(K1530:K1532)</f>
        <v>0</v>
      </c>
      <c r="L1529" s="2441"/>
      <c r="M1529" s="2555"/>
      <c r="N1529" s="1643"/>
      <c r="O1529" s="1657"/>
      <c r="P1529" s="1657"/>
      <c r="Q1529" s="2555"/>
      <c r="R1529" s="2555"/>
      <c r="S1529" s="2555"/>
      <c r="T1529" s="2555"/>
      <c r="U1529" s="2555"/>
      <c r="V1529" s="2555"/>
      <c r="W1529" s="2555"/>
      <c r="X1529" s="2555"/>
      <c r="Y1529" s="2555"/>
      <c r="Z1529" s="2555"/>
      <c r="AA1529" s="2555"/>
      <c r="AB1529" s="1629"/>
      <c r="AC1529" s="1629"/>
      <c r="AD1529" s="1629"/>
      <c r="AE1529" s="1629"/>
      <c r="AF1529" s="1629"/>
    </row>
    <row r="1530" spans="1:32" ht="15">
      <c r="A1530" s="2555"/>
      <c r="B1530" s="1628"/>
      <c r="C1530" s="1629"/>
      <c r="D1530" s="1629" t="s">
        <v>2012</v>
      </c>
      <c r="E1530" s="1629"/>
      <c r="F1530" s="2451"/>
      <c r="G1530" s="1629"/>
      <c r="H1530" s="1629"/>
      <c r="I1530" s="1629"/>
      <c r="J1530" s="2496">
        <f>'Part VIII Scoring Criteria'!J381</f>
        <v>0</v>
      </c>
      <c r="K1530" s="2496">
        <f>MAX(P1363,P1369+P1379+P1386)</f>
        <v>0</v>
      </c>
      <c r="L1530" s="2441"/>
      <c r="M1530" s="2555"/>
      <c r="N1530" s="1643"/>
      <c r="O1530" s="1657"/>
      <c r="P1530" s="1657"/>
      <c r="Q1530" s="2555"/>
      <c r="R1530" s="2555"/>
      <c r="S1530" s="2555"/>
      <c r="T1530" s="2555"/>
      <c r="U1530" s="2555"/>
      <c r="V1530" s="2555"/>
      <c r="W1530" s="2555"/>
      <c r="X1530" s="2555"/>
      <c r="Y1530" s="2555"/>
      <c r="Z1530" s="2555"/>
      <c r="AA1530" s="2555"/>
      <c r="AB1530" s="1629"/>
      <c r="AC1530" s="1629"/>
      <c r="AD1530" s="1629"/>
      <c r="AE1530" s="1629"/>
      <c r="AF1530" s="1629"/>
    </row>
    <row r="1531" spans="1:32" ht="15">
      <c r="A1531" s="2555"/>
      <c r="B1531" s="1628"/>
      <c r="C1531" s="1629"/>
      <c r="D1531" s="1629" t="s">
        <v>1763</v>
      </c>
      <c r="E1531" s="1629"/>
      <c r="F1531" s="2451"/>
      <c r="G1531" s="1629"/>
      <c r="H1531" s="1629"/>
      <c r="I1531" s="1629"/>
      <c r="J1531" s="2405">
        <f>'Part VIII Scoring Criteria'!J382</f>
        <v>9</v>
      </c>
      <c r="K1531" s="2405">
        <f>MAX($K$251,$P$238)</f>
        <v>0</v>
      </c>
      <c r="L1531" s="2441"/>
      <c r="M1531" s="2555"/>
      <c r="N1531" s="1643"/>
      <c r="O1531" s="1657"/>
      <c r="P1531" s="1657"/>
      <c r="Q1531" s="2555"/>
      <c r="R1531" s="2555"/>
      <c r="S1531" s="2555"/>
      <c r="T1531" s="2555"/>
      <c r="U1531" s="2555"/>
      <c r="V1531" s="2555"/>
      <c r="W1531" s="2555"/>
      <c r="X1531" s="2555"/>
      <c r="Y1531" s="2555"/>
      <c r="Z1531" s="2555"/>
      <c r="AA1531" s="2555"/>
      <c r="AB1531" s="1629"/>
      <c r="AC1531" s="1629"/>
      <c r="AD1531" s="1629"/>
      <c r="AE1531" s="1629"/>
      <c r="AF1531" s="1629"/>
    </row>
    <row r="1532" spans="1:32" ht="15">
      <c r="A1532" s="2555"/>
      <c r="B1532" s="1628"/>
      <c r="C1532" s="1629"/>
      <c r="D1532" s="1629" t="s">
        <v>2057</v>
      </c>
      <c r="E1532" s="1629"/>
      <c r="F1532" s="2451"/>
      <c r="G1532" s="1629"/>
      <c r="H1532" s="1629"/>
      <c r="I1532" s="1629"/>
      <c r="J1532" s="2405">
        <f>'Part VIII Scoring Criteria'!J383</f>
        <v>0</v>
      </c>
      <c r="K1532" s="2405">
        <f>$P$265</f>
        <v>0</v>
      </c>
      <c r="L1532" s="2441"/>
      <c r="M1532" s="2555"/>
      <c r="N1532" s="1643"/>
      <c r="O1532" s="1657"/>
      <c r="P1532" s="1657"/>
      <c r="Q1532" s="2555"/>
      <c r="R1532" s="2555"/>
      <c r="S1532" s="2555"/>
      <c r="T1532" s="2555"/>
      <c r="U1532" s="2555"/>
      <c r="V1532" s="2555"/>
      <c r="W1532" s="2555"/>
      <c r="X1532" s="2555"/>
      <c r="Y1532" s="2555"/>
      <c r="Z1532" s="2555"/>
      <c r="AA1532" s="2555"/>
      <c r="AB1532" s="1629"/>
      <c r="AC1532" s="1629"/>
      <c r="AD1532" s="1629"/>
      <c r="AE1532" s="1629"/>
      <c r="AF1532" s="1629"/>
    </row>
    <row r="1533" spans="1:32" ht="15">
      <c r="A1533" s="2555" t="s">
        <v>241</v>
      </c>
      <c r="B1533" s="1628" t="s">
        <v>2058</v>
      </c>
      <c r="C1533" s="1629"/>
      <c r="D1533" s="2065"/>
      <c r="E1533" s="1629"/>
      <c r="F1533" s="1629"/>
      <c r="G1533" s="2410"/>
      <c r="H1533" s="1629"/>
      <c r="I1533" s="1629"/>
      <c r="J1533" s="1629"/>
      <c r="K1533" s="2412" t="str">
        <f>IF(OR($O1533&lt;=$M1533,$O1533=0,$O1533=""),"","*CHECK!*")</f>
        <v/>
      </c>
      <c r="L1533" s="2067" t="s">
        <v>1767</v>
      </c>
      <c r="M1533" s="2555">
        <v>22</v>
      </c>
      <c r="N1533" s="1643"/>
      <c r="O1533" s="1657">
        <f>'Part VIII Scoring Criteria'!O384</f>
        <v>0</v>
      </c>
      <c r="P1533" s="1657">
        <f>'Part VIII Scoring Criteria'!P384</f>
        <v>0</v>
      </c>
      <c r="Q1533" s="2555" t="s">
        <v>795</v>
      </c>
      <c r="R1533" s="2413"/>
      <c r="S1533" s="1629"/>
      <c r="T1533" s="1629"/>
      <c r="U1533" s="1629"/>
      <c r="V1533" s="1629"/>
      <c r="W1533" s="1629"/>
      <c r="X1533" s="1629"/>
      <c r="Y1533" s="1629"/>
      <c r="Z1533" s="1629"/>
      <c r="AA1533" s="1629"/>
      <c r="AB1533" s="1629"/>
      <c r="AC1533" s="1629"/>
      <c r="AD1533" s="1629"/>
      <c r="AE1533" s="1629"/>
      <c r="AF1533" s="1629"/>
    </row>
    <row r="1534" spans="1:32" ht="15">
      <c r="A1534" s="2555"/>
      <c r="B1534" s="2414"/>
      <c r="C1534" s="1660" t="s">
        <v>2059</v>
      </c>
      <c r="D1534" s="1629"/>
      <c r="E1534" s="1629"/>
      <c r="F1534" s="1629"/>
      <c r="G1534" s="1629"/>
      <c r="H1534" s="2503" t="s">
        <v>2060</v>
      </c>
      <c r="I1534" s="2555"/>
      <c r="J1534" s="2450">
        <f>'Part VIII Scoring Criteria'!J385</f>
        <v>0</v>
      </c>
      <c r="K1534" s="1660"/>
      <c r="L1534" s="2441" t="s">
        <v>1767</v>
      </c>
      <c r="M1534" s="2443">
        <v>3</v>
      </c>
      <c r="N1534" s="2067"/>
      <c r="O1534" s="1657">
        <f>'Part VIII Scoring Criteria'!O385</f>
        <v>0</v>
      </c>
      <c r="P1534" s="1657"/>
      <c r="Q1534" s="2413"/>
      <c r="R1534" s="1629"/>
      <c r="S1534" s="1629"/>
      <c r="T1534" s="1629"/>
      <c r="U1534" s="1629"/>
      <c r="V1534" s="2065"/>
      <c r="W1534" s="1629"/>
      <c r="X1534" s="1629"/>
      <c r="Y1534" s="1629"/>
      <c r="Z1534" s="1629"/>
      <c r="AA1534" s="1629"/>
      <c r="AB1534" s="1629"/>
      <c r="AC1534" s="1629"/>
      <c r="AD1534" s="1629"/>
      <c r="AE1534" s="1629"/>
      <c r="AF1534" s="1629"/>
    </row>
    <row r="1535" spans="1:32" ht="15">
      <c r="A1535" s="2555"/>
      <c r="B1535" s="2416"/>
      <c r="C1535" s="1663" t="s">
        <v>2061</v>
      </c>
      <c r="D1535" s="1663"/>
      <c r="E1535" s="1663"/>
      <c r="F1535" s="1629"/>
      <c r="G1535" s="1629"/>
      <c r="H1535" s="2451" t="s">
        <v>2062</v>
      </c>
      <c r="I1535" s="1663"/>
      <c r="J1535" s="1662">
        <f>'Part VIII Scoring Criteria'!J386</f>
        <v>0</v>
      </c>
      <c r="K1535" s="1663"/>
      <c r="L1535" s="2441" t="s">
        <v>1767</v>
      </c>
      <c r="M1535" s="2443">
        <v>3</v>
      </c>
      <c r="N1535" s="2067"/>
      <c r="O1535" s="1657">
        <f>'Part VIII Scoring Criteria'!O386</f>
        <v>0</v>
      </c>
      <c r="P1535" s="1657"/>
      <c r="Q1535" s="2067"/>
      <c r="R1535" s="1629"/>
      <c r="S1535" s="1629"/>
      <c r="T1535" s="1629"/>
      <c r="U1535" s="1629"/>
      <c r="V1535" s="2065"/>
      <c r="W1535" s="1629"/>
      <c r="X1535" s="1629"/>
      <c r="Y1535" s="1629"/>
      <c r="Z1535" s="1629"/>
      <c r="AA1535" s="1629"/>
      <c r="AB1535" s="1629"/>
      <c r="AC1535" s="1629"/>
      <c r="AD1535" s="1629"/>
      <c r="AE1535" s="1629"/>
      <c r="AF1535" s="1629"/>
    </row>
    <row r="1536" spans="1:32" ht="15">
      <c r="A1536" s="1658"/>
      <c r="B1536" s="2414"/>
      <c r="C1536" s="1629" t="s">
        <v>2063</v>
      </c>
      <c r="D1536" s="1658"/>
      <c r="E1536" s="1658"/>
      <c r="F1536" s="2451" t="s">
        <v>2064</v>
      </c>
      <c r="G1536" s="1658"/>
      <c r="H1536" s="1658"/>
      <c r="I1536" s="1658"/>
      <c r="J1536" s="1658"/>
      <c r="K1536" s="1643" t="str">
        <f>IF(OR($O1536="",$O$12="4%"),"","Ineligible!")</f>
        <v>Ineligible!</v>
      </c>
      <c r="L1536" s="2441" t="s">
        <v>1767</v>
      </c>
      <c r="M1536" s="1643">
        <v>10</v>
      </c>
      <c r="N1536" s="2067"/>
      <c r="O1536" s="1657">
        <f>'Part VIII Scoring Criteria'!O387</f>
        <v>0</v>
      </c>
      <c r="P1536" s="1657"/>
      <c r="Q1536" s="2412" t="str">
        <f>IF(OR($O1536&lt;=$M1536,$O1536=0,$O1536=""),"","*CHECK!*")</f>
        <v/>
      </c>
      <c r="R1536" s="2413"/>
      <c r="S1536" s="1658"/>
      <c r="T1536" s="1658"/>
      <c r="U1536" s="1658"/>
      <c r="V1536" s="1658"/>
      <c r="W1536" s="1658"/>
      <c r="X1536" s="1658"/>
      <c r="Y1536" s="1658"/>
      <c r="Z1536" s="1658"/>
      <c r="AA1536" s="1658"/>
      <c r="AB1536" s="1658"/>
      <c r="AC1536" s="1658"/>
      <c r="AD1536" s="1658"/>
      <c r="AE1536" s="1658"/>
      <c r="AF1536" s="1658"/>
    </row>
    <row r="1537" spans="1:32" ht="15">
      <c r="A1537" s="2555"/>
      <c r="B1537" s="1658" t="s">
        <v>2065</v>
      </c>
      <c r="C1537" s="1658"/>
      <c r="D1537" s="1658" t="s">
        <v>2066</v>
      </c>
      <c r="E1537" s="1629"/>
      <c r="F1537" s="1629"/>
      <c r="G1537" s="1629" t="s">
        <v>247</v>
      </c>
      <c r="H1537" s="1629"/>
      <c r="I1537" s="1629"/>
      <c r="J1537" s="1629" t="s">
        <v>57</v>
      </c>
      <c r="K1537" s="1658"/>
      <c r="L1537" s="2556" t="s">
        <v>2021</v>
      </c>
      <c r="M1537" s="1658" t="s">
        <v>2067</v>
      </c>
      <c r="N1537" s="1658"/>
      <c r="O1537" s="1658"/>
      <c r="P1537" s="1658"/>
      <c r="Q1537" s="2412"/>
      <c r="R1537" s="1658"/>
      <c r="S1537" s="1658"/>
      <c r="T1537" s="1658"/>
      <c r="U1537" s="1658"/>
      <c r="V1537" s="1658"/>
      <c r="W1537" s="1658"/>
      <c r="X1537" s="1658"/>
      <c r="Y1537" s="1658"/>
      <c r="Z1537" s="1658"/>
      <c r="AA1537" s="1658"/>
      <c r="AB1537" s="1658"/>
      <c r="AC1537" s="1658"/>
      <c r="AD1537" s="1658"/>
      <c r="AE1537" s="1658"/>
      <c r="AF1537" s="1658"/>
    </row>
    <row r="1538" spans="1:32" ht="14.25">
      <c r="A1538" s="2415" t="s">
        <v>214</v>
      </c>
      <c r="B1538" s="1629">
        <f>'Part VIII Scoring Criteria'!B389</f>
        <v>0</v>
      </c>
      <c r="C1538" s="1629"/>
      <c r="D1538" s="1629">
        <f>'Part VIII Scoring Criteria'!D389</f>
        <v>0</v>
      </c>
      <c r="E1538" s="1629"/>
      <c r="F1538" s="1629"/>
      <c r="G1538" s="1629">
        <f>'Part VIII Scoring Criteria'!G389</f>
        <v>0</v>
      </c>
      <c r="H1538" s="1629"/>
      <c r="I1538" s="1629"/>
      <c r="J1538" s="1629">
        <f>'Part VIII Scoring Criteria'!J389</f>
        <v>0</v>
      </c>
      <c r="K1538" s="1629"/>
      <c r="L1538" s="2504">
        <f>'Part VIII Scoring Criteria'!L389</f>
        <v>0</v>
      </c>
      <c r="M1538" s="1629">
        <f>'Part VIII Scoring Criteria'!M389</f>
        <v>0</v>
      </c>
      <c r="N1538" s="1629"/>
      <c r="O1538" s="1629"/>
      <c r="P1538" s="1629"/>
      <c r="Q1538" s="2412"/>
      <c r="R1538" s="1658"/>
      <c r="S1538" s="1658"/>
      <c r="T1538" s="1658"/>
      <c r="U1538" s="1658"/>
      <c r="V1538" s="1658"/>
      <c r="W1538" s="1658"/>
      <c r="X1538" s="1658"/>
      <c r="Y1538" s="1658"/>
      <c r="Z1538" s="1658"/>
      <c r="AA1538" s="1658"/>
      <c r="AB1538" s="1658"/>
      <c r="AC1538" s="1658"/>
      <c r="AD1538" s="1658"/>
      <c r="AE1538" s="1658"/>
      <c r="AF1538" s="1658"/>
    </row>
    <row r="1539" spans="1:32" ht="14.25">
      <c r="A1539" s="2415" t="s">
        <v>217</v>
      </c>
      <c r="B1539" s="1629">
        <f>'Part VIII Scoring Criteria'!B390</f>
        <v>0</v>
      </c>
      <c r="C1539" s="1629"/>
      <c r="D1539" s="1629">
        <f>'Part VIII Scoring Criteria'!D390</f>
        <v>0</v>
      </c>
      <c r="E1539" s="1629"/>
      <c r="F1539" s="1629"/>
      <c r="G1539" s="1629">
        <f>'Part VIII Scoring Criteria'!G390</f>
        <v>0</v>
      </c>
      <c r="H1539" s="1629"/>
      <c r="I1539" s="1629"/>
      <c r="J1539" s="1629">
        <f>'Part VIII Scoring Criteria'!J390</f>
        <v>0</v>
      </c>
      <c r="K1539" s="1629"/>
      <c r="L1539" s="2504">
        <f>'Part VIII Scoring Criteria'!L390</f>
        <v>0</v>
      </c>
      <c r="M1539" s="1629">
        <f>'Part VIII Scoring Criteria'!M390</f>
        <v>0</v>
      </c>
      <c r="N1539" s="1629"/>
      <c r="O1539" s="1629"/>
      <c r="P1539" s="1629"/>
      <c r="Q1539" s="2412"/>
      <c r="R1539" s="1658"/>
      <c r="S1539" s="1658"/>
      <c r="T1539" s="1658"/>
      <c r="U1539" s="1658"/>
      <c r="V1539" s="1658"/>
      <c r="W1539" s="1658"/>
      <c r="X1539" s="1658"/>
      <c r="Y1539" s="1658"/>
      <c r="Z1539" s="1658"/>
      <c r="AA1539" s="1658"/>
      <c r="AB1539" s="1658"/>
      <c r="AC1539" s="1658"/>
      <c r="AD1539" s="1658"/>
      <c r="AE1539" s="1658"/>
      <c r="AF1539" s="1658"/>
    </row>
    <row r="1540" spans="1:32" ht="14.25">
      <c r="A1540" s="2415" t="s">
        <v>219</v>
      </c>
      <c r="B1540" s="1629">
        <f>'Part VIII Scoring Criteria'!B391</f>
        <v>0</v>
      </c>
      <c r="C1540" s="1629"/>
      <c r="D1540" s="1629">
        <f>'Part VIII Scoring Criteria'!D391</f>
        <v>0</v>
      </c>
      <c r="E1540" s="1629"/>
      <c r="F1540" s="1629"/>
      <c r="G1540" s="1629">
        <f>'Part VIII Scoring Criteria'!G391</f>
        <v>0</v>
      </c>
      <c r="H1540" s="1629"/>
      <c r="I1540" s="1629"/>
      <c r="J1540" s="1629">
        <f>'Part VIII Scoring Criteria'!J391</f>
        <v>0</v>
      </c>
      <c r="K1540" s="1629"/>
      <c r="L1540" s="2504">
        <f>'Part VIII Scoring Criteria'!L391</f>
        <v>0</v>
      </c>
      <c r="M1540" s="1629">
        <f>'Part VIII Scoring Criteria'!M391</f>
        <v>0</v>
      </c>
      <c r="N1540" s="1629"/>
      <c r="O1540" s="1629"/>
      <c r="P1540" s="1629"/>
      <c r="Q1540" s="2412"/>
      <c r="R1540" s="1658"/>
      <c r="S1540" s="1658"/>
      <c r="T1540" s="1658"/>
      <c r="U1540" s="1658"/>
      <c r="V1540" s="1658"/>
      <c r="W1540" s="1658"/>
      <c r="X1540" s="1658"/>
      <c r="Y1540" s="1658"/>
      <c r="Z1540" s="1658"/>
      <c r="AA1540" s="1658"/>
      <c r="AB1540" s="1658"/>
      <c r="AC1540" s="1658"/>
      <c r="AD1540" s="1658"/>
      <c r="AE1540" s="1658"/>
      <c r="AF1540" s="1658"/>
    </row>
    <row r="1541" spans="1:32" ht="14.25">
      <c r="A1541" s="2415" t="s">
        <v>2068</v>
      </c>
      <c r="B1541" s="1629">
        <f>'Part VIII Scoring Criteria'!B392</f>
        <v>0</v>
      </c>
      <c r="C1541" s="1629"/>
      <c r="D1541" s="1629">
        <f>'Part VIII Scoring Criteria'!D392</f>
        <v>0</v>
      </c>
      <c r="E1541" s="1629"/>
      <c r="F1541" s="1629"/>
      <c r="G1541" s="1629">
        <f>'Part VIII Scoring Criteria'!G392</f>
        <v>0</v>
      </c>
      <c r="H1541" s="1629"/>
      <c r="I1541" s="1629"/>
      <c r="J1541" s="1629">
        <f>'Part VIII Scoring Criteria'!J392</f>
        <v>0</v>
      </c>
      <c r="K1541" s="1629"/>
      <c r="L1541" s="2504">
        <f>'Part VIII Scoring Criteria'!L392</f>
        <v>0</v>
      </c>
      <c r="M1541" s="1629">
        <f>'Part VIII Scoring Criteria'!M392</f>
        <v>0</v>
      </c>
      <c r="N1541" s="1629"/>
      <c r="O1541" s="1629"/>
      <c r="P1541" s="1629"/>
      <c r="Q1541" s="2412"/>
      <c r="R1541" s="1658"/>
      <c r="S1541" s="1658"/>
      <c r="T1541" s="1658"/>
      <c r="U1541" s="1658"/>
      <c r="V1541" s="1658"/>
      <c r="W1541" s="1658"/>
      <c r="X1541" s="1658"/>
      <c r="Y1541" s="1658"/>
      <c r="Z1541" s="1658"/>
      <c r="AA1541" s="1658"/>
      <c r="AB1541" s="1658"/>
      <c r="AC1541" s="1658"/>
      <c r="AD1541" s="1658"/>
      <c r="AE1541" s="1658"/>
      <c r="AF1541" s="1658"/>
    </row>
    <row r="1542" spans="1:32" ht="14.25">
      <c r="A1542" s="2415" t="s">
        <v>2069</v>
      </c>
      <c r="B1542" s="1629">
        <f>'Part VIII Scoring Criteria'!B393</f>
        <v>0</v>
      </c>
      <c r="C1542" s="1629"/>
      <c r="D1542" s="1629">
        <f>'Part VIII Scoring Criteria'!D393</f>
        <v>0</v>
      </c>
      <c r="E1542" s="1629"/>
      <c r="F1542" s="1629"/>
      <c r="G1542" s="1629">
        <f>'Part VIII Scoring Criteria'!G393</f>
        <v>0</v>
      </c>
      <c r="H1542" s="1629"/>
      <c r="I1542" s="1629"/>
      <c r="J1542" s="1629">
        <f>'Part VIII Scoring Criteria'!J393</f>
        <v>0</v>
      </c>
      <c r="K1542" s="1629"/>
      <c r="L1542" s="2504">
        <f>'Part VIII Scoring Criteria'!L393</f>
        <v>0</v>
      </c>
      <c r="M1542" s="1629">
        <f>'Part VIII Scoring Criteria'!M393</f>
        <v>0</v>
      </c>
      <c r="N1542" s="1629"/>
      <c r="O1542" s="1629"/>
      <c r="P1542" s="1629"/>
      <c r="Q1542" s="2412"/>
      <c r="R1542" s="1658"/>
      <c r="S1542" s="1658"/>
      <c r="T1542" s="1658"/>
      <c r="U1542" s="1658"/>
      <c r="V1542" s="1658"/>
      <c r="W1542" s="1658"/>
      <c r="X1542" s="1658"/>
      <c r="Y1542" s="1658"/>
      <c r="Z1542" s="1658"/>
      <c r="AA1542" s="1658"/>
      <c r="AB1542" s="1658"/>
      <c r="AC1542" s="1658"/>
      <c r="AD1542" s="1658"/>
      <c r="AE1542" s="1658"/>
      <c r="AF1542" s="1658"/>
    </row>
    <row r="1543" spans="1:32" ht="14.25">
      <c r="A1543" s="2415" t="s">
        <v>2070</v>
      </c>
      <c r="B1543" s="1629">
        <f>'Part VIII Scoring Criteria'!B394</f>
        <v>0</v>
      </c>
      <c r="C1543" s="1629"/>
      <c r="D1543" s="1629">
        <f>'Part VIII Scoring Criteria'!D394</f>
        <v>0</v>
      </c>
      <c r="E1543" s="1629"/>
      <c r="F1543" s="1629"/>
      <c r="G1543" s="1629">
        <f>'Part VIII Scoring Criteria'!G394</f>
        <v>0</v>
      </c>
      <c r="H1543" s="1629"/>
      <c r="I1543" s="1629"/>
      <c r="J1543" s="1629">
        <f>'Part VIII Scoring Criteria'!J394</f>
        <v>0</v>
      </c>
      <c r="K1543" s="1629"/>
      <c r="L1543" s="2504">
        <f>'Part VIII Scoring Criteria'!L394</f>
        <v>0</v>
      </c>
      <c r="M1543" s="1629">
        <f>'Part VIII Scoring Criteria'!M394</f>
        <v>0</v>
      </c>
      <c r="N1543" s="1629"/>
      <c r="O1543" s="1629"/>
      <c r="P1543" s="1629"/>
      <c r="Q1543" s="2412"/>
      <c r="R1543" s="1658"/>
      <c r="S1543" s="1658"/>
      <c r="T1543" s="1658"/>
      <c r="U1543" s="1658"/>
      <c r="V1543" s="1658"/>
      <c r="W1543" s="1658"/>
      <c r="X1543" s="1658"/>
      <c r="Y1543" s="1658"/>
      <c r="Z1543" s="1658"/>
      <c r="AA1543" s="1658"/>
      <c r="AB1543" s="1658"/>
      <c r="AC1543" s="1658"/>
      <c r="AD1543" s="1658"/>
      <c r="AE1543" s="1658"/>
      <c r="AF1543" s="1658"/>
    </row>
    <row r="1544" spans="1:32" ht="14.25">
      <c r="A1544" s="2415" t="s">
        <v>2071</v>
      </c>
      <c r="B1544" s="1629">
        <f>'Part VIII Scoring Criteria'!B395</f>
        <v>0</v>
      </c>
      <c r="C1544" s="1629"/>
      <c r="D1544" s="1629">
        <f>'Part VIII Scoring Criteria'!D395</f>
        <v>0</v>
      </c>
      <c r="E1544" s="1629"/>
      <c r="F1544" s="1629"/>
      <c r="G1544" s="1629">
        <f>'Part VIII Scoring Criteria'!G395</f>
        <v>0</v>
      </c>
      <c r="H1544" s="1629"/>
      <c r="I1544" s="1629"/>
      <c r="J1544" s="1629">
        <f>'Part VIII Scoring Criteria'!J395</f>
        <v>0</v>
      </c>
      <c r="K1544" s="1629"/>
      <c r="L1544" s="2504">
        <f>'Part VIII Scoring Criteria'!L395</f>
        <v>0</v>
      </c>
      <c r="M1544" s="1629">
        <f>'Part VIII Scoring Criteria'!M395</f>
        <v>0</v>
      </c>
      <c r="N1544" s="1629"/>
      <c r="O1544" s="1629"/>
      <c r="P1544" s="1629"/>
      <c r="Q1544" s="2412"/>
      <c r="R1544" s="1658"/>
      <c r="S1544" s="1658"/>
      <c r="T1544" s="1658"/>
      <c r="U1544" s="1658"/>
      <c r="V1544" s="1658"/>
      <c r="W1544" s="1658"/>
      <c r="X1544" s="1658"/>
      <c r="Y1544" s="1658"/>
      <c r="Z1544" s="1658"/>
      <c r="AA1544" s="1658"/>
      <c r="AB1544" s="1658"/>
      <c r="AC1544" s="1658"/>
      <c r="AD1544" s="1658"/>
      <c r="AE1544" s="1658"/>
      <c r="AF1544" s="1658"/>
    </row>
    <row r="1545" spans="1:32" ht="14.25">
      <c r="A1545" s="2415" t="s">
        <v>2072</v>
      </c>
      <c r="B1545" s="1629">
        <f>'Part VIII Scoring Criteria'!B396</f>
        <v>0</v>
      </c>
      <c r="C1545" s="1629"/>
      <c r="D1545" s="1629">
        <f>'Part VIII Scoring Criteria'!D396</f>
        <v>0</v>
      </c>
      <c r="E1545" s="1629"/>
      <c r="F1545" s="1629"/>
      <c r="G1545" s="1629">
        <f>'Part VIII Scoring Criteria'!G396</f>
        <v>0</v>
      </c>
      <c r="H1545" s="1629"/>
      <c r="I1545" s="1629"/>
      <c r="J1545" s="1629">
        <f>'Part VIII Scoring Criteria'!J396</f>
        <v>0</v>
      </c>
      <c r="K1545" s="1629"/>
      <c r="L1545" s="2504">
        <f>'Part VIII Scoring Criteria'!L396</f>
        <v>0</v>
      </c>
      <c r="M1545" s="1629">
        <f>'Part VIII Scoring Criteria'!M396</f>
        <v>0</v>
      </c>
      <c r="N1545" s="1629"/>
      <c r="O1545" s="1629"/>
      <c r="P1545" s="1629"/>
      <c r="Q1545" s="2412"/>
      <c r="R1545" s="1658"/>
      <c r="S1545" s="1658"/>
      <c r="T1545" s="1658"/>
      <c r="U1545" s="1658"/>
      <c r="V1545" s="1658"/>
      <c r="W1545" s="1658"/>
      <c r="X1545" s="1658"/>
      <c r="Y1545" s="1658"/>
      <c r="Z1545" s="1658"/>
      <c r="AA1545" s="1658"/>
      <c r="AB1545" s="1658"/>
      <c r="AC1545" s="1658"/>
      <c r="AD1545" s="1658"/>
      <c r="AE1545" s="1658"/>
      <c r="AF1545" s="1658"/>
    </row>
    <row r="1546" spans="1:32" ht="14.25">
      <c r="A1546" s="2415" t="s">
        <v>2073</v>
      </c>
      <c r="B1546" s="1629">
        <f>'Part VIII Scoring Criteria'!B397</f>
        <v>0</v>
      </c>
      <c r="C1546" s="1629"/>
      <c r="D1546" s="1629">
        <f>'Part VIII Scoring Criteria'!D397</f>
        <v>0</v>
      </c>
      <c r="E1546" s="1629"/>
      <c r="F1546" s="1629"/>
      <c r="G1546" s="1629">
        <f>'Part VIII Scoring Criteria'!G397</f>
        <v>0</v>
      </c>
      <c r="H1546" s="1629"/>
      <c r="I1546" s="1629"/>
      <c r="J1546" s="1629">
        <f>'Part VIII Scoring Criteria'!J397</f>
        <v>0</v>
      </c>
      <c r="K1546" s="1629"/>
      <c r="L1546" s="2504">
        <f>'Part VIII Scoring Criteria'!L397</f>
        <v>0</v>
      </c>
      <c r="M1546" s="1629">
        <f>'Part VIII Scoring Criteria'!M397</f>
        <v>0</v>
      </c>
      <c r="N1546" s="1629"/>
      <c r="O1546" s="1629"/>
      <c r="P1546" s="1629"/>
      <c r="Q1546" s="1658"/>
      <c r="R1546" s="1658"/>
      <c r="S1546" s="1658"/>
      <c r="T1546" s="1658"/>
      <c r="U1546" s="1658"/>
      <c r="V1546" s="1658"/>
      <c r="W1546" s="1658"/>
      <c r="X1546" s="1658"/>
      <c r="Y1546" s="1658"/>
      <c r="Z1546" s="1658"/>
      <c r="AA1546" s="1658"/>
      <c r="AB1546" s="1658"/>
      <c r="AC1546" s="1658"/>
      <c r="AD1546" s="1658"/>
      <c r="AE1546" s="1658"/>
      <c r="AF1546" s="1658"/>
    </row>
    <row r="1547" spans="1:32" ht="14.25">
      <c r="A1547" s="2415" t="s">
        <v>2074</v>
      </c>
      <c r="B1547" s="1629">
        <f>'Part VIII Scoring Criteria'!B398</f>
        <v>0</v>
      </c>
      <c r="C1547" s="1629"/>
      <c r="D1547" s="1629">
        <f>'Part VIII Scoring Criteria'!D398</f>
        <v>0</v>
      </c>
      <c r="E1547" s="1629"/>
      <c r="F1547" s="1629"/>
      <c r="G1547" s="1629">
        <f>'Part VIII Scoring Criteria'!G398</f>
        <v>0</v>
      </c>
      <c r="H1547" s="1629"/>
      <c r="I1547" s="1629"/>
      <c r="J1547" s="1629">
        <f>'Part VIII Scoring Criteria'!J398</f>
        <v>0</v>
      </c>
      <c r="K1547" s="1629"/>
      <c r="L1547" s="2504">
        <f>'Part VIII Scoring Criteria'!L398</f>
        <v>0</v>
      </c>
      <c r="M1547" s="1629">
        <f>'Part VIII Scoring Criteria'!M398</f>
        <v>0</v>
      </c>
      <c r="N1547" s="1629"/>
      <c r="O1547" s="1629"/>
      <c r="P1547" s="1629"/>
      <c r="Q1547" s="2412"/>
      <c r="R1547" s="1658"/>
      <c r="S1547" s="1658"/>
      <c r="T1547" s="1658"/>
      <c r="U1547" s="1658"/>
      <c r="V1547" s="1658"/>
      <c r="W1547" s="1658"/>
      <c r="X1547" s="1658"/>
      <c r="Y1547" s="1658"/>
      <c r="Z1547" s="1658"/>
      <c r="AA1547" s="1658"/>
      <c r="AB1547" s="1658"/>
      <c r="AC1547" s="1658"/>
      <c r="AD1547" s="1658"/>
      <c r="AE1547" s="1658"/>
      <c r="AF1547" s="1658"/>
    </row>
    <row r="1548" spans="1:32" ht="15">
      <c r="A1548" s="2418"/>
      <c r="B1548" s="2416"/>
      <c r="C1548" s="1663" t="s">
        <v>2075</v>
      </c>
      <c r="D1548" s="1663"/>
      <c r="E1548" s="1663"/>
      <c r="F1548" s="2451" t="s">
        <v>2064</v>
      </c>
      <c r="G1548" s="1663"/>
      <c r="H1548" s="2451" t="s">
        <v>2076</v>
      </c>
      <c r="I1548" s="1663"/>
      <c r="J1548" s="2450">
        <f>'Part VIII Scoring Criteria'!J399</f>
        <v>0</v>
      </c>
      <c r="K1548" s="1643" t="str">
        <f>IF(OR($O1548="",$O$12="4%"),"","Ineligible!")</f>
        <v>Ineligible!</v>
      </c>
      <c r="L1548" s="2441" t="s">
        <v>1767</v>
      </c>
      <c r="M1548" s="1643">
        <v>6</v>
      </c>
      <c r="N1548" s="2067"/>
      <c r="O1548" s="1657">
        <f>'Part VIII Scoring Criteria'!O399</f>
        <v>0</v>
      </c>
      <c r="P1548" s="1657"/>
      <c r="Q1548" s="2412" t="str">
        <f>IF(OR($O1548&lt;=$M1548,$O1548=0,$O1548=""),"","*CHECK!*")</f>
        <v/>
      </c>
      <c r="R1548" s="1663"/>
      <c r="S1548" s="1663"/>
      <c r="T1548" s="1663"/>
      <c r="U1548" s="1663"/>
      <c r="V1548" s="1663"/>
      <c r="W1548" s="1663"/>
      <c r="X1548" s="1663"/>
      <c r="Y1548" s="1663"/>
      <c r="Z1548" s="1663"/>
      <c r="AA1548" s="1663"/>
      <c r="AB1548" s="1663"/>
      <c r="AC1548" s="1663"/>
      <c r="AD1548" s="1663"/>
      <c r="AE1548" s="1663"/>
      <c r="AF1548" s="1663"/>
    </row>
    <row r="1549" spans="1:32" ht="15">
      <c r="A1549" s="1629"/>
      <c r="B1549" s="2407" t="s">
        <v>2286</v>
      </c>
      <c r="C1549" s="1629"/>
      <c r="D1549" s="1629"/>
      <c r="E1549" s="1629"/>
      <c r="F1549" s="1629"/>
      <c r="G1549" s="1629"/>
      <c r="H1549" s="1629"/>
      <c r="I1549" s="1629"/>
      <c r="J1549" s="1629"/>
      <c r="K1549" s="1629"/>
      <c r="L1549" s="1658"/>
      <c r="M1549" s="1643"/>
      <c r="N1549" s="2556"/>
      <c r="O1549" s="1657"/>
      <c r="P1549" s="2557"/>
      <c r="Q1549" s="1658"/>
      <c r="R1549" s="1658"/>
      <c r="S1549" s="1658"/>
      <c r="T1549" s="1658"/>
      <c r="U1549" s="1658"/>
      <c r="V1549" s="1658"/>
      <c r="W1549" s="1658"/>
      <c r="X1549" s="1658"/>
      <c r="Y1549" s="1658"/>
      <c r="Z1549" s="1658"/>
      <c r="AA1549" s="1658"/>
      <c r="AB1549" s="1658"/>
      <c r="AC1549" s="1658"/>
      <c r="AD1549" s="1658"/>
      <c r="AE1549" s="1658"/>
      <c r="AF1549" s="1658"/>
    </row>
    <row r="1550" spans="1:32" ht="15">
      <c r="A1550" s="2422" t="str">
        <f>'Part VIII Scoring Criteria'!A401</f>
        <v>N/A - Finley Place is 100% New Construction</v>
      </c>
      <c r="B1550" s="2422"/>
      <c r="C1550" s="2422"/>
      <c r="D1550" s="2422"/>
      <c r="E1550" s="2422"/>
      <c r="F1550" s="2422"/>
      <c r="G1550" s="2422"/>
      <c r="H1550" s="2422"/>
      <c r="I1550" s="2422"/>
      <c r="J1550" s="2422"/>
      <c r="K1550" s="2422"/>
      <c r="L1550" s="2422"/>
      <c r="M1550" s="2422"/>
      <c r="N1550" s="2422"/>
      <c r="O1550" s="2422"/>
      <c r="P1550" s="2422"/>
      <c r="Q1550" s="1628"/>
      <c r="R1550" s="1628"/>
      <c r="S1550" s="1658"/>
      <c r="T1550" s="1658"/>
      <c r="U1550" s="1658"/>
      <c r="V1550" s="1658"/>
      <c r="W1550" s="1658"/>
      <c r="X1550" s="1658"/>
      <c r="Y1550" s="1658"/>
      <c r="Z1550" s="1658"/>
      <c r="AA1550" s="1658"/>
      <c r="AB1550" s="1658"/>
      <c r="AC1550" s="1658"/>
      <c r="AD1550" s="1658"/>
      <c r="AE1550" s="1658"/>
      <c r="AF1550" s="1658"/>
    </row>
    <row r="1551" spans="1:32" ht="15">
      <c r="A1551" s="2407"/>
      <c r="B1551" s="2407" t="s">
        <v>1447</v>
      </c>
      <c r="C1551" s="1629"/>
      <c r="D1551" s="2407"/>
      <c r="E1551" s="1660"/>
      <c r="F1551" s="1660"/>
      <c r="G1551" s="1660"/>
      <c r="H1551" s="1660"/>
      <c r="I1551" s="1660"/>
      <c r="J1551" s="1660"/>
      <c r="K1551" s="1660"/>
      <c r="L1551" s="1660"/>
      <c r="M1551" s="1660"/>
      <c r="N1551" s="1643"/>
      <c r="O1551" s="2555"/>
      <c r="P1551" s="2555"/>
      <c r="Q1551" s="1629"/>
      <c r="R1551" s="1629"/>
      <c r="S1551" s="1629"/>
      <c r="T1551" s="1629"/>
      <c r="U1551" s="1629"/>
      <c r="V1551" s="1629"/>
      <c r="W1551" s="1629"/>
      <c r="X1551" s="1629"/>
      <c r="Y1551" s="1629"/>
      <c r="Z1551" s="1629"/>
      <c r="AA1551" s="1629"/>
      <c r="AB1551" s="1629"/>
      <c r="AC1551" s="1629"/>
      <c r="AD1551" s="1629"/>
      <c r="AE1551" s="1629"/>
      <c r="AF1551" s="1629"/>
    </row>
    <row r="1552" spans="1:32" ht="15">
      <c r="A1552" s="1663"/>
      <c r="B1552" s="1663"/>
      <c r="C1552" s="1663"/>
      <c r="D1552" s="1663"/>
      <c r="E1552" s="1663"/>
      <c r="F1552" s="1663"/>
      <c r="G1552" s="1663"/>
      <c r="H1552" s="1663"/>
      <c r="I1552" s="1663"/>
      <c r="J1552" s="1663"/>
      <c r="K1552" s="1663"/>
      <c r="L1552" s="1663"/>
      <c r="M1552" s="1663"/>
      <c r="N1552" s="1663"/>
      <c r="O1552" s="1663"/>
      <c r="P1552" s="1663"/>
      <c r="Q1552" s="1628"/>
      <c r="R1552" s="1628"/>
      <c r="S1552" s="1658"/>
      <c r="T1552" s="1658"/>
      <c r="U1552" s="1658"/>
      <c r="V1552" s="1658"/>
      <c r="W1552" s="1658"/>
      <c r="X1552" s="1658"/>
      <c r="Y1552" s="1658"/>
      <c r="Z1552" s="1658"/>
      <c r="AA1552" s="1658"/>
      <c r="AB1552" s="1658"/>
      <c r="AC1552" s="1658"/>
      <c r="AD1552" s="1658"/>
      <c r="AE1552" s="1658"/>
      <c r="AF1552" s="1658"/>
    </row>
    <row r="1553" spans="1:32" ht="14.1" customHeight="1">
      <c r="A1553" s="1629"/>
      <c r="B1553" s="1629"/>
      <c r="C1553" s="1664"/>
      <c r="D1553" s="1664"/>
      <c r="E1553" s="1664"/>
      <c r="F1553" s="1664"/>
      <c r="G1553" s="1664"/>
      <c r="H1553" s="1664"/>
      <c r="I1553" s="1664"/>
      <c r="J1553" s="1664"/>
      <c r="K1553" s="1664"/>
      <c r="L1553" s="1664"/>
      <c r="M1553" s="1664"/>
      <c r="N1553" s="1662"/>
      <c r="O1553" s="2418"/>
      <c r="P1553" s="2555"/>
      <c r="Q1553" s="2498" t="s">
        <v>2301</v>
      </c>
      <c r="R1553" s="2498"/>
      <c r="S1553" s="2498"/>
      <c r="T1553" s="2498"/>
      <c r="U1553" s="2498"/>
      <c r="V1553" s="2498"/>
      <c r="W1553" s="2498"/>
      <c r="X1553" s="2498"/>
      <c r="Y1553" s="2498"/>
      <c r="Z1553" s="2498"/>
      <c r="AA1553" s="2498"/>
      <c r="AB1553" s="2498"/>
      <c r="AC1553" s="2498"/>
      <c r="AD1553" s="2498"/>
      <c r="AE1553" s="2498"/>
      <c r="AF1553" s="2498"/>
    </row>
    <row r="1554" spans="1:32" ht="15">
      <c r="A1554" s="1629"/>
      <c r="B1554" s="1629"/>
      <c r="C1554" s="1664"/>
      <c r="D1554" s="1664"/>
      <c r="E1554" s="1664"/>
      <c r="F1554" s="1664"/>
      <c r="G1554" s="1664"/>
      <c r="H1554" s="1664"/>
      <c r="I1554" s="1664"/>
      <c r="J1554" s="1664"/>
      <c r="K1554" s="1664"/>
      <c r="L1554" s="1664"/>
      <c r="M1554" s="1664"/>
      <c r="N1554" s="1662"/>
      <c r="O1554" s="2418"/>
      <c r="P1554" s="2555"/>
      <c r="Q1554" s="2498"/>
      <c r="R1554" s="2498"/>
      <c r="S1554" s="2498"/>
      <c r="T1554" s="2498"/>
      <c r="U1554" s="2498"/>
      <c r="V1554" s="2498"/>
      <c r="W1554" s="2498"/>
      <c r="X1554" s="2498"/>
      <c r="Y1554" s="2498"/>
      <c r="Z1554" s="2498"/>
      <c r="AA1554" s="2498"/>
      <c r="AB1554" s="2498"/>
      <c r="AC1554" s="2498"/>
      <c r="AD1554" s="2498"/>
      <c r="AE1554" s="2498"/>
      <c r="AF1554" s="2498"/>
    </row>
    <row r="1555" spans="1:32" ht="15">
      <c r="A1555" s="1658"/>
      <c r="B1555" s="1658"/>
      <c r="C1555" s="1658"/>
      <c r="D1555" s="1658"/>
      <c r="E1555" s="1658"/>
      <c r="F1555" s="1658"/>
      <c r="G1555" s="1658"/>
      <c r="H1555" s="1658"/>
      <c r="I1555" s="1658"/>
      <c r="J1555" s="1658"/>
      <c r="K1555" s="1658"/>
      <c r="L1555" s="1658"/>
      <c r="M1555" s="1658"/>
      <c r="N1555" s="2556"/>
      <c r="O1555" s="2557"/>
      <c r="P1555" s="2557"/>
      <c r="Q1555" s="2498"/>
      <c r="R1555" s="2498"/>
      <c r="S1555" s="2498"/>
      <c r="T1555" s="2498"/>
      <c r="U1555" s="2498"/>
      <c r="V1555" s="2498"/>
      <c r="W1555" s="2498"/>
      <c r="X1555" s="2498"/>
      <c r="Y1555" s="2498"/>
      <c r="Z1555" s="2498"/>
      <c r="AA1555" s="2498"/>
      <c r="AB1555" s="2498"/>
      <c r="AC1555" s="2498"/>
      <c r="AD1555" s="2498"/>
      <c r="AE1555" s="2498"/>
      <c r="AF1555" s="2498"/>
    </row>
    <row r="1556" spans="1:32" ht="15">
      <c r="A1556" s="1628" t="s">
        <v>2079</v>
      </c>
      <c r="B1556" s="1658"/>
      <c r="C1556" s="1629"/>
      <c r="D1556" s="1658"/>
      <c r="E1556" s="1658"/>
      <c r="F1556" s="1658"/>
      <c r="G1556" s="1629"/>
      <c r="H1556" s="1629"/>
      <c r="I1556" s="1629"/>
      <c r="J1556" s="1629"/>
      <c r="K1556" s="1629"/>
      <c r="L1556" s="1629"/>
      <c r="M1556" s="1657"/>
      <c r="N1556" s="2405"/>
      <c r="O1556" s="2406">
        <f>'Part VIII Scoring Criteria'!O407</f>
        <v>86.5</v>
      </c>
      <c r="P1556" s="2406">
        <f>'Part VIII Scoring Criteria'!P407</f>
        <v>12</v>
      </c>
      <c r="Q1556" s="2498"/>
      <c r="R1556" s="2498"/>
      <c r="S1556" s="2498"/>
      <c r="T1556" s="2498"/>
      <c r="U1556" s="2498"/>
      <c r="V1556" s="2498"/>
      <c r="W1556" s="2498"/>
      <c r="X1556" s="2498"/>
      <c r="Y1556" s="2498"/>
      <c r="Z1556" s="2498"/>
      <c r="AA1556" s="2498"/>
      <c r="AB1556" s="2498"/>
      <c r="AC1556" s="2498"/>
      <c r="AD1556" s="2498"/>
      <c r="AE1556" s="2498"/>
      <c r="AF1556" s="2498"/>
    </row>
    <row r="1557" spans="1:32" ht="14.25">
      <c r="A1557" s="1629"/>
      <c r="B1557" s="1658"/>
      <c r="C1557" s="1664"/>
      <c r="D1557" s="1664"/>
      <c r="E1557" s="1664"/>
      <c r="F1557" s="1664"/>
      <c r="G1557" s="1664"/>
      <c r="H1557" s="1664"/>
      <c r="I1557" s="1664"/>
      <c r="J1557" s="1664"/>
      <c r="K1557" s="1664"/>
      <c r="L1557" s="1664"/>
      <c r="M1557" s="1664"/>
      <c r="N1557" s="1664"/>
      <c r="O1557" s="1664"/>
      <c r="P1557" s="1664"/>
      <c r="Q1557" s="2498"/>
      <c r="R1557" s="2498"/>
      <c r="S1557" s="2498"/>
      <c r="T1557" s="2498"/>
      <c r="U1557" s="2498"/>
      <c r="V1557" s="2498"/>
      <c r="W1557" s="2498"/>
      <c r="X1557" s="2498"/>
      <c r="Y1557" s="2498"/>
      <c r="Z1557" s="2498"/>
      <c r="AA1557" s="2498"/>
      <c r="AB1557" s="2498"/>
      <c r="AC1557" s="2498"/>
      <c r="AD1557" s="2498"/>
      <c r="AE1557" s="2498"/>
      <c r="AF1557" s="2498"/>
    </row>
    <row r="1558" spans="1:32" ht="15">
      <c r="A1558" s="1658"/>
      <c r="B1558" s="1658"/>
      <c r="C1558" s="1658"/>
      <c r="D1558" s="1658"/>
      <c r="E1558" s="1658"/>
      <c r="F1558" s="1660"/>
      <c r="G1558" s="1660"/>
      <c r="H1558" s="2555"/>
      <c r="I1558" s="2555"/>
      <c r="J1558" s="1658"/>
      <c r="K1558" s="1658"/>
      <c r="L1558" s="1658"/>
      <c r="M1558" s="1658"/>
      <c r="N1558" s="2555"/>
      <c r="O1558" s="2555"/>
      <c r="P1558" s="1657"/>
      <c r="Q1558" s="2498"/>
      <c r="R1558" s="2498"/>
      <c r="S1558" s="2498"/>
      <c r="T1558" s="2498"/>
      <c r="U1558" s="2498"/>
      <c r="V1558" s="2498"/>
      <c r="W1558" s="2498"/>
      <c r="X1558" s="2498"/>
      <c r="Y1558" s="2498"/>
      <c r="Z1558" s="2498"/>
      <c r="AA1558" s="2498"/>
      <c r="AB1558" s="2498"/>
      <c r="AC1558" s="2498"/>
      <c r="AD1558" s="2498"/>
      <c r="AE1558" s="2498"/>
      <c r="AF1558" s="2498"/>
    </row>
    <row r="1559" spans="1:32" ht="14.45" customHeight="1">
      <c r="A1559" s="2407" t="s">
        <v>2302</v>
      </c>
      <c r="B1559" s="2407"/>
      <c r="C1559" s="2407"/>
      <c r="D1559" s="2407"/>
      <c r="E1559" s="2407"/>
      <c r="F1559" s="2407"/>
      <c r="G1559" s="2407"/>
      <c r="H1559" s="2407"/>
      <c r="I1559" s="2407"/>
      <c r="J1559" s="2407"/>
      <c r="K1559" s="2407"/>
      <c r="L1559" s="2407"/>
      <c r="M1559" s="2407"/>
      <c r="N1559" s="2407"/>
      <c r="O1559" s="2407"/>
      <c r="P1559" s="2407"/>
      <c r="Q1559" s="2498"/>
      <c r="R1559" s="2498"/>
      <c r="S1559" s="2498"/>
      <c r="T1559" s="2498"/>
      <c r="U1559" s="2498"/>
      <c r="V1559" s="2498"/>
      <c r="W1559" s="2498"/>
      <c r="X1559" s="2498"/>
      <c r="Y1559" s="2498"/>
      <c r="Z1559" s="2498"/>
      <c r="AA1559" s="2498"/>
      <c r="AB1559" s="2498"/>
      <c r="AC1559" s="2498"/>
      <c r="AD1559" s="2498"/>
      <c r="AE1559" s="2498"/>
      <c r="AF1559" s="2498"/>
    </row>
    <row r="1560" spans="1:32" ht="14.25">
      <c r="A1560" s="2422" t="str">
        <f>'Part VIII Scoring Criteria'!A411</f>
        <v>III. Extended Affordability: Applicant agreed to forego all Qualified Contract cancellation options.
VI. Compliance Performance: Certified Entities have no negative Compliance or Performance history that would result in point deduction.  Provided in Folder 06 is a list of more than 20 properties that qualify the poject team for 5 points, if necessary.
Self-Score 86.5</v>
      </c>
      <c r="B1560" s="2422"/>
      <c r="C1560" s="2422"/>
      <c r="D1560" s="2422"/>
      <c r="E1560" s="2422"/>
      <c r="F1560" s="2422"/>
      <c r="G1560" s="2422"/>
      <c r="H1560" s="2422"/>
      <c r="I1560" s="2422"/>
      <c r="J1560" s="2422"/>
      <c r="K1560" s="2422"/>
      <c r="L1560" s="2422"/>
      <c r="M1560" s="2422"/>
      <c r="N1560" s="2422"/>
      <c r="O1560" s="2422"/>
      <c r="P1560" s="2422"/>
      <c r="Q1560" s="1629"/>
      <c r="R1560" s="1629"/>
      <c r="S1560" s="1629"/>
      <c r="T1560" s="1629"/>
      <c r="U1560" s="1629"/>
      <c r="V1560" s="1629"/>
      <c r="W1560" s="1629"/>
      <c r="X1560" s="1629"/>
      <c r="Y1560" s="1629"/>
      <c r="Z1560" s="1658"/>
      <c r="AA1560" s="1658"/>
      <c r="AB1560" s="1658"/>
      <c r="AC1560" s="1658"/>
      <c r="AD1560" s="1658"/>
      <c r="AE1560" s="1658"/>
      <c r="AF1560" s="1658"/>
    </row>
  </sheetData>
  <sheetProtection algorithmName="SHA-512" hashValue="yJlQI5zojZrMYLHwMysYAHEzz3dOxwRs5HExb7TZdtgf8Sdn8+dsLvCWSJLdWtWK7K9gWEeg/m04ehgnLcEtcQ==" saltValue="rFfnutrvPr0v6ErMhWvIWA==" spinCount="100000" sheet="1" objects="1" scenarios="1"/>
  <mergeCells count="1">
    <mergeCell ref="D1024:O1024"/>
  </mergeCells>
  <conditionalFormatting sqref="B83:D85">
    <cfRule type="cellIs" dxfId="143" priority="131" stopIfTrue="1" operator="equal">
      <formula>"Make a selection FIRST --&gt;"</formula>
    </cfRule>
  </conditionalFormatting>
  <conditionalFormatting sqref="D88">
    <cfRule type="cellIs" dxfId="142" priority="128" operator="greaterThan">
      <formula>50.000001%</formula>
    </cfRule>
  </conditionalFormatting>
  <conditionalFormatting sqref="J89">
    <cfRule type="cellIs" dxfId="141" priority="129" operator="equal">
      <formula>"No"</formula>
    </cfRule>
  </conditionalFormatting>
  <conditionalFormatting sqref="J91">
    <cfRule type="cellIs" dxfId="140" priority="130" operator="equal">
      <formula>"No"</formula>
    </cfRule>
  </conditionalFormatting>
  <conditionalFormatting sqref="P90:Q90">
    <cfRule type="cellIs" dxfId="139" priority="127" operator="notEqual">
      <formula>0</formula>
    </cfRule>
  </conditionalFormatting>
  <conditionalFormatting sqref="G147">
    <cfRule type="cellIs" priority="123" stopIfTrue="1" operator="equal">
      <formula>"""Exceeds the limit! Re-check amounts."""</formula>
    </cfRule>
  </conditionalFormatting>
  <conditionalFormatting sqref="J301:L301">
    <cfRule type="cellIs" dxfId="138" priority="122" stopIfTrue="1" operator="greaterThan">
      <formula>$J$187</formula>
    </cfRule>
  </conditionalFormatting>
  <conditionalFormatting sqref="O284:T284">
    <cfRule type="cellIs" dxfId="137" priority="119" operator="equal">
      <formula>"QAP Cost Limit TDC exceeds Project Cost Limit!"</formula>
    </cfRule>
  </conditionalFormatting>
  <conditionalFormatting sqref="I412:M412">
    <cfRule type="cellIs" dxfId="136" priority="115" operator="equal">
      <formula>"Select Fuel"</formula>
    </cfRule>
    <cfRule type="cellIs" dxfId="135" priority="116" operator="equal">
      <formula>"&lt;&lt;Select Fuel &gt;&gt;"</formula>
    </cfRule>
    <cfRule type="cellIs" dxfId="134" priority="117" operator="equal">
      <formula>"""&lt;&lt;Select Fuel &gt;&gt;"""</formula>
    </cfRule>
  </conditionalFormatting>
  <conditionalFormatting sqref="I429:M429">
    <cfRule type="cellIs" dxfId="133" priority="112" operator="equal">
      <formula>"Select Fuel"</formula>
    </cfRule>
    <cfRule type="cellIs" dxfId="132" priority="113" operator="equal">
      <formula>"&lt;&lt;Select Fuel &gt;&gt;"</formula>
    </cfRule>
    <cfRule type="cellIs" dxfId="131" priority="114" operator="equal">
      <formula>"""&lt;&lt;Select Fuel &gt;&gt;"""</formula>
    </cfRule>
  </conditionalFormatting>
  <conditionalFormatting sqref="A444:A448">
    <cfRule type="cellIs" dxfId="130" priority="97" operator="equal">
      <formula>"Finish Row!"</formula>
    </cfRule>
  </conditionalFormatting>
  <conditionalFormatting sqref="A449:A486">
    <cfRule type="cellIs" dxfId="129" priority="111" stopIfTrue="1" operator="equal">
      <formula>1</formula>
    </cfRule>
  </conditionalFormatting>
  <conditionalFormatting sqref="B488:C488">
    <cfRule type="cellIs" dxfId="128" priority="104" operator="greaterThan">
      <formula>60.0000001</formula>
    </cfRule>
  </conditionalFormatting>
  <conditionalFormatting sqref="H449:I486">
    <cfRule type="expression" priority="109" stopIfTrue="1">
      <formula>AND($B449="PHA", $H449&gt;0)</formula>
    </cfRule>
  </conditionalFormatting>
  <conditionalFormatting sqref="J449:J486">
    <cfRule type="expression" priority="108" stopIfTrue="1">
      <formula>AND($B449="PHA", $H449&gt;0)</formula>
    </cfRule>
  </conditionalFormatting>
  <conditionalFormatting sqref="K494:P505 K566:L566 K568:P573 K531:P565 K566:K567">
    <cfRule type="cellIs" dxfId="127" priority="105" operator="equal">
      <formula>0</formula>
    </cfRule>
  </conditionalFormatting>
  <conditionalFormatting sqref="K572:P577">
    <cfRule type="cellIs" dxfId="126" priority="95" operator="equal">
      <formula>0</formula>
    </cfRule>
  </conditionalFormatting>
  <conditionalFormatting sqref="K578:P610">
    <cfRule type="cellIs" dxfId="125" priority="102" operator="equal">
      <formula>0</formula>
    </cfRule>
  </conditionalFormatting>
  <conditionalFormatting sqref="L540:O540">
    <cfRule type="cellIs" dxfId="124" priority="99" operator="equal">
      <formula>"&lt;&lt; Select LIHTC Election &gt;&gt;"</formula>
    </cfRule>
    <cfRule type="containsText" dxfId="123" priority="101" operator="containsText" text="&lt;&lt; Select Election or Income Averaging &gt;&gt;">
      <formula>NOT(ISERROR(SEARCH("&lt;&lt; Select Election or Income Averaging &gt;&gt;",L540)))</formula>
    </cfRule>
  </conditionalFormatting>
  <conditionalFormatting sqref="L587:O587">
    <cfRule type="cellIs" dxfId="122" priority="98" operator="equal">
      <formula>"&lt;&lt; Select LIHTC Election &gt;&gt;"</formula>
    </cfRule>
    <cfRule type="containsText" dxfId="121" priority="100" operator="containsText" text="&lt;&lt; Select Election or Income Averaging &gt;&gt;">
      <formula>NOT(ISERROR(SEARCH("&lt;&lt; Select Election or Income Averaging &gt;&gt;",L587)))</formula>
    </cfRule>
  </conditionalFormatting>
  <conditionalFormatting sqref="P621">
    <cfRule type="cellIs" dxfId="120" priority="107" operator="greaterThan">
      <formula>0.02</formula>
    </cfRule>
  </conditionalFormatting>
  <conditionalFormatting sqref="Q449:Q486">
    <cfRule type="expression" dxfId="119" priority="106">
      <formula>AND($P$11="New Construction",$Q$11="Yes")</formula>
    </cfRule>
  </conditionalFormatting>
  <conditionalFormatting sqref="U507 U564:U568">
    <cfRule type="cellIs" dxfId="118" priority="96" stopIfTrue="1" operator="greaterThan">
      <formula>0</formula>
    </cfRule>
  </conditionalFormatting>
  <conditionalFormatting sqref="U529:U530 U539:U541 U550">
    <cfRule type="cellIs" dxfId="117" priority="110" stopIfTrue="1" operator="greaterThan">
      <formula>0</formula>
    </cfRule>
  </conditionalFormatting>
  <conditionalFormatting sqref="U597">
    <cfRule type="cellIs" dxfId="116" priority="103" stopIfTrue="1" operator="greaterThan">
      <formula>0</formula>
    </cfRule>
  </conditionalFormatting>
  <conditionalFormatting sqref="A724">
    <cfRule type="expression" dxfId="115" priority="90">
      <formula>"or(B28&lt;$G$6,C28&lt;$G$6,D28&lt;$G$6,E28&lt;$G$6,F28&lt;$G$6,G28&lt;$G$6,H28&lt;$G$6,I28&lt;$G$6,J28&lt;$G$6,K28&lt;$G$6,)"</formula>
    </cfRule>
  </conditionalFormatting>
  <conditionalFormatting sqref="A731">
    <cfRule type="expression" dxfId="114" priority="93">
      <formula>"or(B28&lt;$G$6,C28&lt;$G$6,D28&lt;$G$6,E28&lt;$G$6,F28&lt;$G$6,G28&lt;$G$6,H28&lt;$G$6,I28&lt;$G$6,J28&lt;$G$6,K28&lt;$G$6,)"</formula>
    </cfRule>
  </conditionalFormatting>
  <conditionalFormatting sqref="A756">
    <cfRule type="expression" dxfId="113" priority="89">
      <formula>"or(B28&lt;$G$6,C28&lt;$G$6,D28&lt;$G$6,E28&lt;$G$6,F28&lt;$G$6,G28&lt;$G$6,H28&lt;$G$6,I28&lt;$G$6,J28&lt;$G$6,K28&lt;$G$6,)"</formula>
    </cfRule>
  </conditionalFormatting>
  <conditionalFormatting sqref="A763">
    <cfRule type="expression" dxfId="112" priority="92">
      <formula>"or(B28&lt;$G$6,C28&lt;$G$6,D28&lt;$G$6,E28&lt;$G$6,F28&lt;$G$6,G28&lt;$G$6,H28&lt;$G$6,I28&lt;$G$6,J28&lt;$G$6,K28&lt;$G$6,)"</formula>
    </cfRule>
  </conditionalFormatting>
  <conditionalFormatting sqref="A788">
    <cfRule type="expression" dxfId="111" priority="88">
      <formula>"or(B28&lt;$G$6,C28&lt;$G$6,D28&lt;$G$6,E28&lt;$G$6,F28&lt;$G$6,G28&lt;$G$6,H28&lt;$G$6,I28&lt;$G$6,J28&lt;$G$6,K28&lt;$G$6,)"</formula>
    </cfRule>
  </conditionalFormatting>
  <conditionalFormatting sqref="A795">
    <cfRule type="expression" dxfId="110" priority="91">
      <formula>"or(B28&lt;$G$6,C28&lt;$G$6,D28&lt;$G$6,E28&lt;$G$6,F28&lt;$G$6,G28&lt;$G$6,H28&lt;$G$6,I28&lt;$G$6,J28&lt;$G$6,K28&lt;$G$6,)"</formula>
    </cfRule>
  </conditionalFormatting>
  <conditionalFormatting sqref="A818">
    <cfRule type="expression" dxfId="109" priority="87">
      <formula>"or(B28&lt;$G$6,C28&lt;$G$6,D28&lt;$G$6,E28&lt;$G$6,F28&lt;$G$6,G28&lt;$G$6,H28&lt;$G$6,I28&lt;$G$6,J28&lt;$G$6,K28&lt;$G$6,)"</formula>
    </cfRule>
  </conditionalFormatting>
  <conditionalFormatting sqref="C709">
    <cfRule type="containsText" dxfId="108" priority="86" operator="containsText" text="Must be &gt;= 7%!">
      <formula>NOT(ISERROR(SEARCH("Must be &gt;= 7%!",C709)))</formula>
    </cfRule>
  </conditionalFormatting>
  <conditionalFormatting sqref="G707">
    <cfRule type="expression" dxfId="107" priority="94">
      <formula>$G$7&lt;$G$6</formula>
    </cfRule>
  </conditionalFormatting>
  <conditionalFormatting sqref="J1300">
    <cfRule type="containsText" dxfId="106" priority="74" operator="containsText" text="&lt;&lt; Select Election or Income Averaging &gt;&gt;">
      <formula>NOT(ISERROR(SEARCH("&lt;&lt; Select Election or Income Averaging &gt;&gt;",J1300)))</formula>
    </cfRule>
  </conditionalFormatting>
  <conditionalFormatting sqref="L1179:L1180 L1537:L1547">
    <cfRule type="cellIs" dxfId="105" priority="81" stopIfTrue="1" operator="equal">
      <formula>"* * Check Score! * *"</formula>
    </cfRule>
  </conditionalFormatting>
  <conditionalFormatting sqref="L1182">
    <cfRule type="cellIs" dxfId="104" priority="82" stopIfTrue="1" operator="equal">
      <formula>"* * Check Score! * *"</formula>
    </cfRule>
  </conditionalFormatting>
  <conditionalFormatting sqref="L1184">
    <cfRule type="cellIs" dxfId="103" priority="78" stopIfTrue="1" operator="equal">
      <formula>"* * Check Score! * *"</formula>
    </cfRule>
  </conditionalFormatting>
  <conditionalFormatting sqref="L1213">
    <cfRule type="cellIs" dxfId="102" priority="80" stopIfTrue="1" operator="equal">
      <formula>"* * Check Score! * *"</formula>
    </cfRule>
  </conditionalFormatting>
  <conditionalFormatting sqref="L1237">
    <cfRule type="cellIs" dxfId="101" priority="79" stopIfTrue="1" operator="equal">
      <formula>"* * Check Score! * *"</formula>
    </cfRule>
  </conditionalFormatting>
  <conditionalFormatting sqref="N1508:N1509">
    <cfRule type="cellIs" dxfId="100" priority="84" stopIfTrue="1" operator="equal">
      <formula>"* * Check Score! * *"</formula>
    </cfRule>
  </conditionalFormatting>
  <conditionalFormatting sqref="O1301:O1302">
    <cfRule type="cellIs" dxfId="99" priority="75" operator="notEqual">
      <formula>$M1301</formula>
    </cfRule>
  </conditionalFormatting>
  <conditionalFormatting sqref="O1318:O1319">
    <cfRule type="cellIs" priority="83" operator="notEqual">
      <formula>$M1318</formula>
    </cfRule>
  </conditionalFormatting>
  <conditionalFormatting sqref="O1335">
    <cfRule type="cellIs" dxfId="98" priority="77" operator="notEqual">
      <formula>$M1335</formula>
    </cfRule>
  </conditionalFormatting>
  <conditionalFormatting sqref="O1338:O1340">
    <cfRule type="cellIs" dxfId="97" priority="85" operator="notEqual">
      <formula>$M1338</formula>
    </cfRule>
  </conditionalFormatting>
  <conditionalFormatting sqref="O1370:O1371 O1374:O1378">
    <cfRule type="cellIs" dxfId="96" priority="76" operator="notEqual">
      <formula>$M1370</formula>
    </cfRule>
  </conditionalFormatting>
  <conditionalFormatting sqref="P1370:P1371 P1374:P1376">
    <cfRule type="cellIs" dxfId="95" priority="72" operator="notEqual">
      <formula>$M1370</formula>
    </cfRule>
  </conditionalFormatting>
  <conditionalFormatting sqref="L1236">
    <cfRule type="cellIs" dxfId="94" priority="70" stopIfTrue="1" operator="equal">
      <formula>"* * Check Score! * *"</formula>
    </cfRule>
  </conditionalFormatting>
  <conditionalFormatting sqref="L1235">
    <cfRule type="cellIs" dxfId="93" priority="69" stopIfTrue="1" operator="equal">
      <formula>"* * Check Score! * *"</formula>
    </cfRule>
  </conditionalFormatting>
  <conditionalFormatting sqref="L1278">
    <cfRule type="cellIs" dxfId="92" priority="68" stopIfTrue="1" operator="equal">
      <formula>"* * Check Score! * *"</formula>
    </cfRule>
  </conditionalFormatting>
  <conditionalFormatting sqref="L1289 L1281:L1282 L1285:L1287">
    <cfRule type="cellIs" dxfId="91" priority="67" stopIfTrue="1" operator="equal">
      <formula>"* * Check Score! * *"</formula>
    </cfRule>
  </conditionalFormatting>
  <conditionalFormatting sqref="L1288">
    <cfRule type="cellIs" dxfId="90" priority="66" stopIfTrue="1" operator="equal">
      <formula>"* * Check Score! * *"</formula>
    </cfRule>
  </conditionalFormatting>
  <conditionalFormatting sqref="L1283">
    <cfRule type="cellIs" dxfId="89" priority="65" stopIfTrue="1" operator="equal">
      <formula>"* * Check Score! * *"</formula>
    </cfRule>
  </conditionalFormatting>
  <conditionalFormatting sqref="P1377:P1378">
    <cfRule type="cellIs" dxfId="88" priority="63" operator="notEqual">
      <formula>$M1377</formula>
    </cfRule>
  </conditionalFormatting>
  <conditionalFormatting sqref="L1301">
    <cfRule type="cellIs" dxfId="87" priority="62" stopIfTrue="1" operator="equal">
      <formula>"* * Check Score! * *"</formula>
    </cfRule>
  </conditionalFormatting>
  <conditionalFormatting sqref="L1302">
    <cfRule type="cellIs" dxfId="86" priority="61" stopIfTrue="1" operator="equal">
      <formula>"* * Check Score! * *"</formula>
    </cfRule>
  </conditionalFormatting>
  <conditionalFormatting sqref="L1318">
    <cfRule type="cellIs" dxfId="85" priority="60" stopIfTrue="1" operator="equal">
      <formula>"* * Check Score! * *"</formula>
    </cfRule>
  </conditionalFormatting>
  <conditionalFormatting sqref="L1335">
    <cfRule type="cellIs" dxfId="84" priority="59" stopIfTrue="1" operator="equal">
      <formula>"* * Check Score! * *"</formula>
    </cfRule>
  </conditionalFormatting>
  <conditionalFormatting sqref="L1336">
    <cfRule type="cellIs" dxfId="83" priority="58" stopIfTrue="1" operator="equal">
      <formula>"* * Check Score! * *"</formula>
    </cfRule>
  </conditionalFormatting>
  <conditionalFormatting sqref="L1338">
    <cfRule type="cellIs" dxfId="82" priority="57" stopIfTrue="1" operator="equal">
      <formula>"* * Check Score! * *"</formula>
    </cfRule>
  </conditionalFormatting>
  <conditionalFormatting sqref="L1339">
    <cfRule type="cellIs" dxfId="81" priority="56" stopIfTrue="1" operator="equal">
      <formula>"* * Check Score! * *"</formula>
    </cfRule>
  </conditionalFormatting>
  <conditionalFormatting sqref="L1340">
    <cfRule type="cellIs" dxfId="80" priority="55" stopIfTrue="1" operator="equal">
      <formula>"* * Check Score! * *"</formula>
    </cfRule>
  </conditionalFormatting>
  <conditionalFormatting sqref="L1370">
    <cfRule type="cellIs" dxfId="79" priority="54" stopIfTrue="1" operator="equal">
      <formula>"* * Check Score! * *"</formula>
    </cfRule>
  </conditionalFormatting>
  <conditionalFormatting sqref="L1371">
    <cfRule type="cellIs" dxfId="78" priority="53" stopIfTrue="1" operator="equal">
      <formula>"* * Check Score! * *"</formula>
    </cfRule>
  </conditionalFormatting>
  <conditionalFormatting sqref="L1377">
    <cfRule type="cellIs" dxfId="77" priority="52" stopIfTrue="1" operator="equal">
      <formula>"* * Check Score! * *"</formula>
    </cfRule>
  </conditionalFormatting>
  <conditionalFormatting sqref="L1378">
    <cfRule type="cellIs" dxfId="76" priority="51" stopIfTrue="1" operator="equal">
      <formula>"* * Check Score! * *"</formula>
    </cfRule>
  </conditionalFormatting>
  <conditionalFormatting sqref="O1382:O1385">
    <cfRule type="cellIs" dxfId="75" priority="50" operator="notEqual">
      <formula>$M1382</formula>
    </cfRule>
  </conditionalFormatting>
  <conditionalFormatting sqref="P1382:P1385">
    <cfRule type="cellIs" dxfId="74" priority="49" operator="notEqual">
      <formula>$M1382</formula>
    </cfRule>
  </conditionalFormatting>
  <conditionalFormatting sqref="L1382">
    <cfRule type="cellIs" dxfId="73" priority="48" stopIfTrue="1" operator="equal">
      <formula>"* * Check Score! * *"</formula>
    </cfRule>
  </conditionalFormatting>
  <conditionalFormatting sqref="L1383">
    <cfRule type="cellIs" dxfId="72" priority="47" stopIfTrue="1" operator="equal">
      <formula>"* * Check Score! * *"</formula>
    </cfRule>
  </conditionalFormatting>
  <conditionalFormatting sqref="L1384">
    <cfRule type="cellIs" dxfId="71" priority="46" stopIfTrue="1" operator="equal">
      <formula>"* * Check Score! * *"</formula>
    </cfRule>
  </conditionalFormatting>
  <conditionalFormatting sqref="L1395">
    <cfRule type="cellIs" dxfId="70" priority="45" stopIfTrue="1" operator="equal">
      <formula>"* * Check Score! * *"</formula>
    </cfRule>
  </conditionalFormatting>
  <conditionalFormatting sqref="O1466:P1466">
    <cfRule type="cellIs" dxfId="69" priority="44" operator="greaterThan">
      <formula>M1466</formula>
    </cfRule>
  </conditionalFormatting>
  <conditionalFormatting sqref="O1437:O1444">
    <cfRule type="cellIs" dxfId="68" priority="43" operator="notEqual">
      <formula>$M1437</formula>
    </cfRule>
  </conditionalFormatting>
  <conditionalFormatting sqref="P1437">
    <cfRule type="cellIs" dxfId="67" priority="42" operator="notEqual">
      <formula>$M1437</formula>
    </cfRule>
  </conditionalFormatting>
  <conditionalFormatting sqref="P1438:P1439">
    <cfRule type="cellIs" dxfId="66" priority="40" operator="notEqual">
      <formula>$M1438</formula>
    </cfRule>
  </conditionalFormatting>
  <conditionalFormatting sqref="P1440">
    <cfRule type="cellIs" dxfId="65" priority="38" operator="notEqual">
      <formula>$M1440</formula>
    </cfRule>
  </conditionalFormatting>
  <conditionalFormatting sqref="P1441:P1442">
    <cfRule type="cellIs" dxfId="64" priority="36" operator="notEqual">
      <formula>$M1441</formula>
    </cfRule>
  </conditionalFormatting>
  <conditionalFormatting sqref="P1443">
    <cfRule type="cellIs" dxfId="63" priority="34" operator="notEqual">
      <formula>$M1443</formula>
    </cfRule>
  </conditionalFormatting>
  <conditionalFormatting sqref="O1458">
    <cfRule type="cellIs" dxfId="62" priority="33" operator="notEqual">
      <formula>$M1458</formula>
    </cfRule>
  </conditionalFormatting>
  <conditionalFormatting sqref="P1458">
    <cfRule type="cellIs" dxfId="61" priority="32" operator="notEqual">
      <formula>$M1458</formula>
    </cfRule>
  </conditionalFormatting>
  <conditionalFormatting sqref="L1458">
    <cfRule type="cellIs" dxfId="60" priority="31" stopIfTrue="1" operator="equal">
      <formula>"* * Check Score! * *"</formula>
    </cfRule>
  </conditionalFormatting>
  <conditionalFormatting sqref="L1459">
    <cfRule type="cellIs" dxfId="59" priority="30" stopIfTrue="1" operator="equal">
      <formula>"* * Check Score! * *"</formula>
    </cfRule>
  </conditionalFormatting>
  <conditionalFormatting sqref="J1466">
    <cfRule type="cellIs" dxfId="58" priority="29" stopIfTrue="1" operator="equal">
      <formula>"* * Check Score! * *"</formula>
    </cfRule>
  </conditionalFormatting>
  <conditionalFormatting sqref="L1481">
    <cfRule type="cellIs" dxfId="57" priority="28" stopIfTrue="1" operator="equal">
      <formula>"* * Check Score! * *"</formula>
    </cfRule>
  </conditionalFormatting>
  <conditionalFormatting sqref="L1482">
    <cfRule type="cellIs" dxfId="56" priority="27" stopIfTrue="1" operator="equal">
      <formula>"* * Check Score! * *"</formula>
    </cfRule>
  </conditionalFormatting>
  <conditionalFormatting sqref="L1490">
    <cfRule type="cellIs" dxfId="55" priority="26" stopIfTrue="1" operator="equal">
      <formula>"* * Check Score! * *"</formula>
    </cfRule>
  </conditionalFormatting>
  <conditionalFormatting sqref="L1492">
    <cfRule type="cellIs" dxfId="54" priority="25" stopIfTrue="1" operator="equal">
      <formula>"* * Check Score! * *"</formula>
    </cfRule>
  </conditionalFormatting>
  <conditionalFormatting sqref="O1481">
    <cfRule type="cellIs" dxfId="53" priority="24" operator="notEqual">
      <formula>$M1481</formula>
    </cfRule>
  </conditionalFormatting>
  <conditionalFormatting sqref="P1481">
    <cfRule type="cellIs" dxfId="52" priority="23" operator="notEqual">
      <formula>$M1481</formula>
    </cfRule>
  </conditionalFormatting>
  <conditionalFormatting sqref="O1482">
    <cfRule type="cellIs" dxfId="51" priority="22" operator="notEqual">
      <formula>$M1482</formula>
    </cfRule>
  </conditionalFormatting>
  <conditionalFormatting sqref="P1482">
    <cfRule type="cellIs" dxfId="50" priority="21" operator="notEqual">
      <formula>$M1482</formula>
    </cfRule>
  </conditionalFormatting>
  <conditionalFormatting sqref="O1490">
    <cfRule type="cellIs" dxfId="49" priority="20" operator="notEqual">
      <formula>$M1490</formula>
    </cfRule>
  </conditionalFormatting>
  <conditionalFormatting sqref="P1490">
    <cfRule type="cellIs" dxfId="48" priority="19" operator="notEqual">
      <formula>$M1490</formula>
    </cfRule>
  </conditionalFormatting>
  <conditionalFormatting sqref="O1492">
    <cfRule type="cellIs" dxfId="47" priority="18" operator="notEqual">
      <formula>$M1492</formula>
    </cfRule>
  </conditionalFormatting>
  <conditionalFormatting sqref="P1492">
    <cfRule type="cellIs" dxfId="46" priority="17" operator="notEqual">
      <formula>$M1492</formula>
    </cfRule>
  </conditionalFormatting>
  <conditionalFormatting sqref="O1500">
    <cfRule type="cellIs" dxfId="45" priority="16" operator="notEqual">
      <formula>$M1500</formula>
    </cfRule>
  </conditionalFormatting>
  <conditionalFormatting sqref="P1500">
    <cfRule type="cellIs" dxfId="44" priority="15" operator="notEqual">
      <formula>$M1500</formula>
    </cfRule>
  </conditionalFormatting>
  <conditionalFormatting sqref="O1501">
    <cfRule type="cellIs" dxfId="43" priority="14" operator="notEqual">
      <formula>$M1501</formula>
    </cfRule>
  </conditionalFormatting>
  <conditionalFormatting sqref="P1501">
    <cfRule type="cellIs" dxfId="42" priority="13" operator="notEqual">
      <formula>$M1501</formula>
    </cfRule>
  </conditionalFormatting>
  <conditionalFormatting sqref="O1508:P1508">
    <cfRule type="cellIs" dxfId="41" priority="12" operator="greaterThan">
      <formula>M1508</formula>
    </cfRule>
  </conditionalFormatting>
  <conditionalFormatting sqref="L1500">
    <cfRule type="cellIs" dxfId="40" priority="11" stopIfTrue="1" operator="equal">
      <formula>"* * Check Score! * *"</formula>
    </cfRule>
  </conditionalFormatting>
  <conditionalFormatting sqref="L1501">
    <cfRule type="cellIs" dxfId="39" priority="10" stopIfTrue="1" operator="equal">
      <formula>"* * Check Score! * *"</formula>
    </cfRule>
  </conditionalFormatting>
  <conditionalFormatting sqref="L1334">
    <cfRule type="cellIs" dxfId="38" priority="9" stopIfTrue="1" operator="equal">
      <formula>"* * Check Score! * *"</formula>
    </cfRule>
  </conditionalFormatting>
  <conditionalFormatting sqref="O1380">
    <cfRule type="cellIs" dxfId="37" priority="8" operator="notEqual">
      <formula>$M1380</formula>
    </cfRule>
  </conditionalFormatting>
  <conditionalFormatting sqref="P1380">
    <cfRule type="cellIs" dxfId="36" priority="7" operator="notEqual">
      <formula>$M1380</formula>
    </cfRule>
  </conditionalFormatting>
  <conditionalFormatting sqref="P1387">
    <cfRule type="cellIs" dxfId="35" priority="5" operator="notEqual">
      <formula>$M1387</formula>
    </cfRule>
  </conditionalFormatting>
  <conditionalFormatting sqref="P1388">
    <cfRule type="cellIs" dxfId="34" priority="3" operator="notEqual">
      <formula>$M1388</formula>
    </cfRule>
  </conditionalFormatting>
  <conditionalFormatting sqref="O1304">
    <cfRule type="cellIs" dxfId="33" priority="2" operator="notEqual">
      <formula>$M1304</formula>
    </cfRule>
  </conditionalFormatting>
  <conditionalFormatting sqref="O1387:O1388">
    <cfRule type="cellIs" dxfId="32" priority="1" operator="notEqual">
      <formula>$M1387</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7109375" defaultRowHeight="15.75"/>
  <cols>
    <col min="1" max="1" width="2.28515625" style="614" customWidth="1"/>
    <col min="2" max="13" width="7.7109375" style="614" customWidth="1"/>
    <col min="14" max="15" width="5.7109375" style="614" customWidth="1"/>
    <col min="16" max="16384" width="8.7109375" style="614"/>
  </cols>
  <sheetData>
    <row r="1" spans="1:26" ht="18">
      <c r="N1" s="615" t="s">
        <v>2303</v>
      </c>
      <c r="O1" s="615"/>
      <c r="P1" s="615"/>
      <c r="Q1" s="615"/>
      <c r="R1" s="615"/>
      <c r="S1" s="615"/>
      <c r="T1" s="615"/>
      <c r="U1" s="615"/>
      <c r="V1" s="615"/>
      <c r="W1" s="615"/>
      <c r="X1" s="615"/>
      <c r="Y1" s="615"/>
      <c r="Z1" s="615"/>
    </row>
    <row r="2" spans="1:26">
      <c r="N2" s="616" t="s">
        <v>2304</v>
      </c>
      <c r="O2" s="616"/>
      <c r="P2" s="616"/>
      <c r="Q2" s="616"/>
      <c r="R2" s="616"/>
      <c r="S2" s="616"/>
      <c r="T2" s="616"/>
      <c r="U2" s="616"/>
      <c r="V2" s="616"/>
      <c r="W2" s="616"/>
      <c r="X2" s="616"/>
      <c r="Y2" s="616"/>
      <c r="Z2" s="616"/>
    </row>
    <row r="3" spans="1:26">
      <c r="N3" s="617" t="s">
        <v>2305</v>
      </c>
      <c r="O3" s="617"/>
      <c r="P3" s="617"/>
      <c r="Q3" s="617"/>
      <c r="R3" s="617"/>
      <c r="S3" s="617"/>
      <c r="T3" s="617"/>
      <c r="U3" s="617"/>
      <c r="V3" s="617"/>
      <c r="W3" s="617"/>
      <c r="X3" s="617"/>
      <c r="Y3" s="617"/>
      <c r="Z3" s="617"/>
    </row>
    <row r="4" spans="1:26" ht="16.5">
      <c r="B4" s="618"/>
      <c r="C4" s="618"/>
      <c r="D4" s="618"/>
      <c r="E4" s="618"/>
      <c r="F4" s="618"/>
      <c r="G4" s="618"/>
      <c r="H4" s="618"/>
      <c r="I4" s="618"/>
      <c r="J4" s="618"/>
      <c r="K4" s="618"/>
      <c r="L4" s="618"/>
      <c r="M4" s="618"/>
      <c r="N4" s="619" t="s">
        <v>2306</v>
      </c>
    </row>
    <row r="5" spans="1:26" ht="59.25" customHeight="1">
      <c r="A5" s="3908" t="s">
        <v>2307</v>
      </c>
      <c r="B5" s="3908"/>
      <c r="C5" s="3908"/>
      <c r="D5" s="3908"/>
      <c r="E5" s="3908"/>
      <c r="F5" s="3908"/>
      <c r="G5" s="3908"/>
      <c r="H5" s="3908"/>
      <c r="I5" s="3908"/>
      <c r="J5" s="3908"/>
      <c r="K5" s="3908"/>
      <c r="L5" s="3908"/>
      <c r="M5" s="3908"/>
    </row>
    <row r="6" spans="1:26" ht="11.65" customHeight="1">
      <c r="A6" s="618"/>
      <c r="B6" s="618"/>
      <c r="C6" s="618"/>
      <c r="D6" s="618"/>
      <c r="E6" s="618"/>
      <c r="F6" s="618"/>
      <c r="G6" s="618"/>
      <c r="H6" s="618"/>
      <c r="I6" s="618"/>
      <c r="J6" s="618"/>
      <c r="K6" s="618"/>
      <c r="L6" s="618"/>
      <c r="M6" s="618"/>
    </row>
    <row r="7" spans="1:26" ht="16.5">
      <c r="A7" s="618" t="s">
        <v>2308</v>
      </c>
      <c r="B7" s="618"/>
      <c r="C7" s="618"/>
      <c r="D7" s="618"/>
      <c r="E7" s="618"/>
      <c r="F7" s="618"/>
      <c r="G7" s="618"/>
      <c r="H7" s="618"/>
      <c r="I7" s="618"/>
      <c r="J7" s="618"/>
      <c r="K7" s="618"/>
      <c r="L7" s="618"/>
      <c r="M7" s="618"/>
    </row>
    <row r="8" spans="1:26" ht="11.65" customHeight="1">
      <c r="A8" s="618"/>
      <c r="B8" s="618"/>
      <c r="C8" s="618"/>
      <c r="D8" s="618"/>
      <c r="E8" s="618"/>
      <c r="F8" s="618"/>
      <c r="G8" s="618"/>
      <c r="H8" s="618"/>
      <c r="I8" s="618"/>
      <c r="J8" s="618"/>
      <c r="K8" s="618"/>
      <c r="L8" s="618"/>
      <c r="M8" s="618"/>
    </row>
    <row r="9" spans="1:26" ht="16.5">
      <c r="A9" s="3904" t="s">
        <v>2309</v>
      </c>
      <c r="B9" s="3904"/>
      <c r="C9" s="3904"/>
      <c r="D9" s="3904"/>
      <c r="E9" s="3904"/>
      <c r="F9" s="3904"/>
      <c r="G9" s="3904"/>
      <c r="H9" s="3904"/>
      <c r="I9" s="3904"/>
      <c r="J9" s="3904"/>
      <c r="K9" s="3904"/>
      <c r="L9" s="3904"/>
      <c r="M9" s="3904"/>
    </row>
    <row r="10" spans="1:26" ht="6.75" customHeight="1">
      <c r="A10" s="3904"/>
      <c r="B10" s="3904"/>
      <c r="C10" s="3904"/>
      <c r="D10" s="3904"/>
      <c r="E10" s="3904"/>
      <c r="F10" s="3904"/>
      <c r="G10" s="3904"/>
      <c r="H10" s="3904"/>
      <c r="I10" s="3904"/>
      <c r="J10" s="3904"/>
      <c r="K10" s="3904"/>
      <c r="L10" s="3904"/>
      <c r="M10" s="3904"/>
    </row>
    <row r="11" spans="1:26" ht="44.25" customHeight="1">
      <c r="A11" s="3909" t="s">
        <v>2310</v>
      </c>
      <c r="B11" s="3909"/>
      <c r="C11" s="3909"/>
      <c r="D11" s="3909"/>
      <c r="E11" s="3909"/>
      <c r="F11" s="3909"/>
      <c r="G11" s="3909"/>
      <c r="H11" s="3909"/>
      <c r="I11" s="3909"/>
      <c r="J11" s="3909"/>
      <c r="K11" s="3909"/>
      <c r="L11" s="3909"/>
      <c r="M11" s="3909"/>
    </row>
    <row r="12" spans="1:26" ht="3" customHeight="1">
      <c r="A12" s="3904"/>
      <c r="B12" s="3904"/>
      <c r="C12" s="3904"/>
      <c r="D12" s="3904"/>
      <c r="E12" s="3904"/>
      <c r="F12" s="3904"/>
      <c r="G12" s="3904"/>
      <c r="H12" s="3904"/>
      <c r="I12" s="3904"/>
      <c r="J12" s="3904"/>
      <c r="K12" s="3904"/>
      <c r="L12" s="3904"/>
      <c r="M12" s="3904"/>
    </row>
    <row r="13" spans="1:26" ht="101.25" customHeight="1">
      <c r="A13" s="620" t="s">
        <v>1521</v>
      </c>
      <c r="B13" s="3906" t="s">
        <v>2311</v>
      </c>
      <c r="C13" s="3906"/>
      <c r="D13" s="3906"/>
      <c r="E13" s="3906"/>
      <c r="F13" s="3906"/>
      <c r="G13" s="3906"/>
      <c r="H13" s="3906"/>
      <c r="I13" s="3906"/>
      <c r="J13" s="3906"/>
      <c r="K13" s="3906"/>
      <c r="L13" s="3906"/>
      <c r="M13" s="3906"/>
      <c r="U13" s="614" t="s">
        <v>2312</v>
      </c>
    </row>
    <row r="14" spans="1:26" ht="47.25" customHeight="1">
      <c r="A14" s="620" t="s">
        <v>1524</v>
      </c>
      <c r="B14" s="3906" t="s">
        <v>2313</v>
      </c>
      <c r="C14" s="3906"/>
      <c r="D14" s="3906"/>
      <c r="E14" s="3906"/>
      <c r="F14" s="3906"/>
      <c r="G14" s="3906"/>
      <c r="H14" s="3906"/>
      <c r="I14" s="3906"/>
      <c r="J14" s="3906"/>
      <c r="K14" s="3906"/>
      <c r="L14" s="3906"/>
      <c r="M14" s="3906"/>
    </row>
    <row r="15" spans="1:26" ht="117" customHeight="1">
      <c r="A15" s="620" t="s">
        <v>1526</v>
      </c>
      <c r="B15" s="3906" t="s">
        <v>2314</v>
      </c>
      <c r="C15" s="3906"/>
      <c r="D15" s="3906"/>
      <c r="E15" s="3906"/>
      <c r="F15" s="3906"/>
      <c r="G15" s="3906"/>
      <c r="H15" s="3906"/>
      <c r="I15" s="3906"/>
      <c r="J15" s="3906"/>
      <c r="K15" s="3906"/>
      <c r="L15" s="3906"/>
      <c r="M15" s="3906"/>
    </row>
    <row r="16" spans="1:26" ht="147" customHeight="1">
      <c r="A16" s="620" t="s">
        <v>1528</v>
      </c>
      <c r="B16" s="3906" t="s">
        <v>2315</v>
      </c>
      <c r="C16" s="3906"/>
      <c r="D16" s="3906"/>
      <c r="E16" s="3906"/>
      <c r="F16" s="3906"/>
      <c r="G16" s="3906"/>
      <c r="H16" s="3906"/>
      <c r="I16" s="3906"/>
      <c r="J16" s="3906"/>
      <c r="K16" s="3906"/>
      <c r="L16" s="3906"/>
      <c r="M16" s="3906"/>
    </row>
    <row r="17" spans="1:13" ht="48.75" customHeight="1">
      <c r="A17" s="620" t="s">
        <v>2316</v>
      </c>
      <c r="B17" s="3906" t="s">
        <v>2317</v>
      </c>
      <c r="C17" s="3906"/>
      <c r="D17" s="3906"/>
      <c r="E17" s="3906"/>
      <c r="F17" s="3906"/>
      <c r="G17" s="3906"/>
      <c r="H17" s="3906"/>
      <c r="I17" s="3906"/>
      <c r="J17" s="3906"/>
      <c r="K17" s="3906"/>
      <c r="L17" s="3906"/>
      <c r="M17" s="3906"/>
    </row>
    <row r="18" spans="1:13" ht="165" customHeight="1">
      <c r="A18" s="620" t="s">
        <v>2318</v>
      </c>
      <c r="B18" s="3906" t="s">
        <v>2319</v>
      </c>
      <c r="C18" s="3906"/>
      <c r="D18" s="3906"/>
      <c r="E18" s="3906"/>
      <c r="F18" s="3906"/>
      <c r="G18" s="3906"/>
      <c r="H18" s="3906"/>
      <c r="I18" s="3906"/>
      <c r="J18" s="3906"/>
      <c r="K18" s="3906"/>
      <c r="L18" s="3906"/>
      <c r="M18" s="3906"/>
    </row>
    <row r="19" spans="1:13" ht="48.75" customHeight="1">
      <c r="A19" s="620" t="s">
        <v>2320</v>
      </c>
      <c r="B19" s="3907" t="s">
        <v>2321</v>
      </c>
      <c r="C19" s="3907"/>
      <c r="D19" s="3907"/>
      <c r="E19" s="3907"/>
      <c r="F19" s="3907"/>
      <c r="G19" s="3907"/>
      <c r="H19" s="3907"/>
      <c r="I19" s="3907"/>
      <c r="J19" s="3907"/>
      <c r="K19" s="3907"/>
      <c r="L19" s="3907"/>
      <c r="M19" s="3907"/>
    </row>
    <row r="20" spans="1:13" ht="50.25" customHeight="1">
      <c r="A20" s="620" t="s">
        <v>2322</v>
      </c>
      <c r="B20" s="3906" t="s">
        <v>2323</v>
      </c>
      <c r="C20" s="3906"/>
      <c r="D20" s="3906"/>
      <c r="E20" s="3906"/>
      <c r="F20" s="3906"/>
      <c r="G20" s="3906"/>
      <c r="H20" s="3906"/>
      <c r="I20" s="3906"/>
      <c r="J20" s="3906"/>
      <c r="K20" s="3906"/>
      <c r="L20" s="3906"/>
      <c r="M20" s="3906"/>
    </row>
    <row r="21" spans="1:13" ht="31.5" customHeight="1">
      <c r="A21" s="620" t="s">
        <v>2324</v>
      </c>
      <c r="B21" s="3906" t="s">
        <v>2325</v>
      </c>
      <c r="C21" s="3906"/>
      <c r="D21" s="3906"/>
      <c r="E21" s="3906"/>
      <c r="F21" s="3906"/>
      <c r="G21" s="3906"/>
      <c r="H21" s="3906"/>
      <c r="I21" s="3906"/>
      <c r="J21" s="3906"/>
      <c r="K21" s="3906"/>
      <c r="L21" s="3906"/>
      <c r="M21" s="3906"/>
    </row>
    <row r="22" spans="1:13" ht="1.5" customHeight="1">
      <c r="A22" s="3904"/>
      <c r="B22" s="3904"/>
      <c r="C22" s="3904"/>
      <c r="D22" s="3904"/>
      <c r="E22" s="3904"/>
      <c r="F22" s="3904"/>
      <c r="G22" s="3904"/>
      <c r="H22" s="3904"/>
      <c r="I22" s="3904"/>
      <c r="J22" s="3904"/>
      <c r="K22" s="3904"/>
      <c r="L22" s="3904"/>
      <c r="M22" s="3904"/>
    </row>
    <row r="23" spans="1:13" ht="3" customHeight="1">
      <c r="A23" s="3904"/>
      <c r="B23" s="3904"/>
      <c r="C23" s="3904"/>
      <c r="D23" s="3904"/>
      <c r="E23" s="3904"/>
      <c r="F23" s="3904"/>
      <c r="G23" s="3904"/>
      <c r="H23" s="3904"/>
      <c r="I23" s="3904"/>
      <c r="J23" s="3904"/>
      <c r="K23" s="3904"/>
      <c r="L23" s="3904"/>
      <c r="M23" s="3904"/>
    </row>
    <row r="24" spans="1:13" ht="13.5" customHeight="1">
      <c r="A24" s="3904" t="s">
        <v>2326</v>
      </c>
      <c r="B24" s="3904"/>
      <c r="C24" s="3904"/>
      <c r="D24" s="3904"/>
      <c r="E24" s="3904"/>
      <c r="F24" s="3904"/>
      <c r="G24" s="3904"/>
      <c r="H24" s="3904"/>
      <c r="I24" s="3904"/>
      <c r="J24" s="3904"/>
      <c r="K24" s="3904"/>
      <c r="L24" s="3904"/>
      <c r="M24" s="3904"/>
    </row>
    <row r="25" spans="1:13" ht="32.25" customHeight="1">
      <c r="A25" s="620" t="s">
        <v>2327</v>
      </c>
      <c r="B25" s="3906" t="s">
        <v>2328</v>
      </c>
      <c r="C25" s="3906"/>
      <c r="D25" s="3906"/>
      <c r="E25" s="3906"/>
      <c r="F25" s="3906"/>
      <c r="G25" s="3906"/>
      <c r="H25" s="3906"/>
      <c r="I25" s="3906"/>
      <c r="J25" s="3906"/>
      <c r="K25" s="3906"/>
      <c r="L25" s="3906"/>
      <c r="M25" s="3906"/>
    </row>
    <row r="26" spans="1:13" ht="31.5" customHeight="1">
      <c r="A26" s="620" t="s">
        <v>2327</v>
      </c>
      <c r="B26" s="3906" t="s">
        <v>2329</v>
      </c>
      <c r="C26" s="3906"/>
      <c r="D26" s="3906"/>
      <c r="E26" s="3906"/>
      <c r="F26" s="3906"/>
      <c r="G26" s="3906"/>
      <c r="H26" s="3906"/>
      <c r="I26" s="3906"/>
      <c r="J26" s="3906"/>
      <c r="K26" s="3906"/>
      <c r="L26" s="3906"/>
      <c r="M26" s="3906"/>
    </row>
    <row r="27" spans="1:13" ht="78.75" customHeight="1">
      <c r="A27" s="620" t="s">
        <v>2327</v>
      </c>
      <c r="B27" s="3906" t="s">
        <v>2330</v>
      </c>
      <c r="C27" s="3906"/>
      <c r="D27" s="3906"/>
      <c r="E27" s="3906"/>
      <c r="F27" s="3906"/>
      <c r="G27" s="3906"/>
      <c r="H27" s="3906"/>
      <c r="I27" s="3906"/>
      <c r="J27" s="3906"/>
      <c r="K27" s="3906"/>
      <c r="L27" s="3906"/>
      <c r="M27" s="3906"/>
    </row>
    <row r="28" spans="1:13" ht="7.5" customHeight="1">
      <c r="A28" s="3904"/>
      <c r="B28" s="3904"/>
      <c r="C28" s="3904"/>
      <c r="D28" s="3904"/>
      <c r="E28" s="3904"/>
      <c r="F28" s="3904"/>
      <c r="G28" s="3904"/>
      <c r="H28" s="3904"/>
      <c r="I28" s="3904"/>
      <c r="J28" s="3904"/>
      <c r="K28" s="3904"/>
      <c r="L28" s="3904"/>
      <c r="M28" s="3904"/>
    </row>
    <row r="29" spans="1:13" ht="43.5" customHeight="1">
      <c r="A29" s="3906" t="s">
        <v>2331</v>
      </c>
      <c r="B29" s="3906"/>
      <c r="C29" s="3906"/>
      <c r="D29" s="3906"/>
      <c r="E29" s="3906"/>
      <c r="F29" s="3906"/>
      <c r="G29" s="3906"/>
      <c r="H29" s="3906"/>
      <c r="I29" s="3906"/>
      <c r="J29" s="3906"/>
      <c r="K29" s="3906"/>
      <c r="L29" s="3906"/>
      <c r="M29" s="3906"/>
    </row>
    <row r="30" spans="1:13" ht="3" customHeight="1">
      <c r="A30" s="3904"/>
      <c r="B30" s="3904"/>
      <c r="C30" s="3904"/>
      <c r="D30" s="3904"/>
      <c r="E30" s="3904"/>
      <c r="F30" s="3904"/>
      <c r="G30" s="3904"/>
      <c r="H30" s="3904"/>
      <c r="I30" s="3904"/>
      <c r="J30" s="3904"/>
      <c r="K30" s="3904"/>
      <c r="L30" s="3904"/>
      <c r="M30" s="3904"/>
    </row>
    <row r="31" spans="1:13" ht="32.25" customHeight="1">
      <c r="A31" s="3906" t="s">
        <v>2332</v>
      </c>
      <c r="B31" s="3906"/>
      <c r="C31" s="3906"/>
      <c r="D31" s="3906"/>
      <c r="E31" s="3906"/>
      <c r="F31" s="3906"/>
      <c r="G31" s="3906"/>
      <c r="H31" s="3906"/>
      <c r="I31" s="3906"/>
      <c r="J31" s="3906"/>
      <c r="K31" s="3906"/>
      <c r="L31" s="3906"/>
      <c r="M31" s="3906"/>
    </row>
    <row r="32" spans="1:13" ht="4.5" customHeight="1">
      <c r="A32" s="3904"/>
      <c r="B32" s="3904"/>
      <c r="C32" s="3904"/>
      <c r="D32" s="3904"/>
      <c r="E32" s="3904"/>
      <c r="F32" s="3904"/>
      <c r="G32" s="3904"/>
      <c r="H32" s="3904"/>
      <c r="I32" s="3904"/>
      <c r="J32" s="3904"/>
      <c r="K32" s="3904"/>
      <c r="L32" s="3904"/>
      <c r="M32" s="3904"/>
    </row>
    <row r="33" spans="1:13" ht="16.5">
      <c r="A33" s="3904" t="s">
        <v>2333</v>
      </c>
      <c r="B33" s="3904"/>
      <c r="C33" s="3904"/>
      <c r="D33" s="3904"/>
      <c r="E33" s="3904"/>
      <c r="F33" s="3904"/>
      <c r="G33" s="3904"/>
      <c r="H33" s="3904"/>
      <c r="I33" s="3904"/>
      <c r="J33" s="3904"/>
      <c r="K33" s="3904"/>
      <c r="L33" s="3904"/>
      <c r="M33" s="3904"/>
    </row>
    <row r="34" spans="1:13" ht="6" customHeight="1">
      <c r="A34" s="2569"/>
      <c r="B34" s="2569"/>
      <c r="C34" s="2569"/>
      <c r="D34" s="2569"/>
      <c r="E34" s="2569"/>
      <c r="F34" s="2569"/>
      <c r="G34" s="2569"/>
      <c r="H34" s="2569"/>
      <c r="I34" s="2569"/>
      <c r="J34" s="2569"/>
      <c r="K34" s="2569"/>
      <c r="L34" s="2569"/>
      <c r="M34" s="2569"/>
    </row>
    <row r="35" spans="1:13" ht="16.5">
      <c r="A35" s="3905"/>
      <c r="B35" s="3905"/>
      <c r="C35" s="3905"/>
      <c r="D35" s="3905"/>
      <c r="E35" s="3905"/>
      <c r="F35" s="3905"/>
      <c r="G35" s="618"/>
      <c r="H35" s="3905"/>
      <c r="I35" s="3905"/>
      <c r="J35" s="3905"/>
      <c r="K35" s="3905"/>
      <c r="L35" s="3905"/>
      <c r="M35" s="3905"/>
    </row>
    <row r="36" spans="1:13" ht="12" customHeight="1">
      <c r="A36" s="3902" t="s">
        <v>2334</v>
      </c>
      <c r="B36" s="3902"/>
      <c r="C36" s="3902"/>
      <c r="D36" s="3902"/>
      <c r="E36" s="3902"/>
      <c r="F36" s="3902"/>
      <c r="G36" s="618"/>
      <c r="H36" s="3902" t="s">
        <v>39</v>
      </c>
      <c r="I36" s="3902"/>
      <c r="J36" s="3902"/>
      <c r="K36" s="3902"/>
      <c r="L36" s="3902"/>
      <c r="M36" s="3902"/>
    </row>
    <row r="37" spans="1:13" ht="6" customHeight="1">
      <c r="A37" s="618"/>
      <c r="B37" s="618"/>
      <c r="C37" s="618"/>
      <c r="D37" s="618"/>
      <c r="E37" s="618"/>
      <c r="F37" s="618"/>
      <c r="G37" s="618"/>
      <c r="H37" s="618"/>
      <c r="I37" s="618"/>
      <c r="J37" s="618"/>
      <c r="K37" s="618"/>
      <c r="L37" s="618"/>
      <c r="M37" s="618"/>
    </row>
    <row r="38" spans="1:13" ht="16.5">
      <c r="A38" s="3900"/>
      <c r="B38" s="3900"/>
      <c r="C38" s="3900"/>
      <c r="D38" s="3900"/>
      <c r="E38" s="3900"/>
      <c r="F38" s="3900"/>
      <c r="G38" s="618"/>
      <c r="H38" s="3901"/>
      <c r="I38" s="3901"/>
      <c r="J38" s="3901"/>
      <c r="K38" s="3901"/>
      <c r="L38" s="3901"/>
      <c r="M38" s="3901"/>
    </row>
    <row r="39" spans="1:13" ht="12" customHeight="1">
      <c r="A39" s="3902" t="s">
        <v>2335</v>
      </c>
      <c r="B39" s="3902"/>
      <c r="C39" s="3902"/>
      <c r="D39" s="3902"/>
      <c r="E39" s="3902"/>
      <c r="F39" s="3902"/>
      <c r="G39" s="618"/>
      <c r="H39" s="3902" t="s">
        <v>2336</v>
      </c>
      <c r="I39" s="3902"/>
      <c r="J39" s="3902"/>
      <c r="K39" s="3902"/>
      <c r="L39" s="3902"/>
      <c r="M39" s="3902"/>
    </row>
    <row r="40" spans="1:13" ht="3" customHeight="1">
      <c r="A40" s="621"/>
      <c r="B40" s="621"/>
      <c r="C40" s="621"/>
      <c r="D40" s="621"/>
      <c r="E40" s="621"/>
      <c r="F40" s="621"/>
      <c r="G40" s="618"/>
      <c r="H40" s="621"/>
      <c r="I40" s="621"/>
      <c r="J40" s="621"/>
      <c r="K40" s="621"/>
      <c r="L40" s="621"/>
      <c r="M40" s="621"/>
    </row>
    <row r="41" spans="1:13" ht="11.65" customHeight="1">
      <c r="A41" s="618"/>
      <c r="B41" s="618"/>
      <c r="C41" s="618"/>
      <c r="D41" s="618"/>
      <c r="E41" s="618"/>
      <c r="F41" s="618"/>
      <c r="G41" s="618"/>
      <c r="H41" s="3903" t="s">
        <v>2337</v>
      </c>
      <c r="I41" s="3903"/>
      <c r="J41" s="3903"/>
      <c r="K41" s="3903"/>
      <c r="L41" s="3903"/>
      <c r="M41" s="3903"/>
    </row>
    <row r="42" spans="1:13" ht="11.65" customHeight="1">
      <c r="A42" s="618"/>
      <c r="B42" s="618"/>
      <c r="C42" s="618"/>
      <c r="D42" s="618"/>
      <c r="E42" s="618"/>
      <c r="F42" s="618"/>
      <c r="G42" s="618"/>
    </row>
    <row r="43" spans="1:13" ht="11.65" customHeight="1">
      <c r="A43" s="618"/>
      <c r="B43" s="618"/>
      <c r="C43" s="618"/>
      <c r="D43" s="618"/>
      <c r="E43" s="618"/>
      <c r="F43" s="618"/>
      <c r="G43" s="618"/>
      <c r="H43" s="618"/>
      <c r="I43" s="618"/>
      <c r="J43" s="618"/>
      <c r="K43" s="618"/>
      <c r="L43" s="618"/>
      <c r="M43" s="618"/>
    </row>
    <row r="44" spans="1:13" ht="11.65" customHeight="1">
      <c r="A44" s="618"/>
      <c r="B44" s="618"/>
      <c r="C44" s="618"/>
      <c r="D44" s="618"/>
      <c r="E44" s="618"/>
      <c r="F44" s="618"/>
      <c r="G44" s="618"/>
      <c r="H44" s="618"/>
      <c r="I44" s="618"/>
      <c r="J44" s="618"/>
      <c r="K44" s="618"/>
      <c r="L44" s="618"/>
      <c r="M44" s="618"/>
    </row>
    <row r="45" spans="1:13" ht="11.65" customHeight="1"/>
    <row r="46" spans="1:13" ht="11.65" customHeight="1"/>
    <row r="47" spans="1:13" ht="11.65" customHeight="1"/>
    <row r="48" spans="1:13" ht="11.65" customHeight="1"/>
    <row r="49" ht="11.6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L4" sqref="L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2338</v>
      </c>
      <c r="B1" s="1007"/>
      <c r="C1" s="1007"/>
      <c r="D1" s="1007"/>
      <c r="E1" s="1007"/>
      <c r="F1" s="1007"/>
      <c r="G1" s="1007"/>
      <c r="H1" s="1007"/>
    </row>
    <row r="2" spans="1:11" ht="19.5" thickBot="1">
      <c r="A2" s="1007" t="s">
        <v>2339</v>
      </c>
      <c r="B2" s="1007"/>
      <c r="C2" s="1007"/>
      <c r="D2" s="1007"/>
      <c r="E2" s="1007"/>
      <c r="F2" s="1007"/>
      <c r="G2" s="1007"/>
      <c r="H2" s="1007"/>
    </row>
    <row r="3" spans="1:11" ht="15" customHeight="1" thickBot="1">
      <c r="A3" s="971" t="s">
        <v>2340</v>
      </c>
      <c r="B3" s="2784"/>
      <c r="C3" s="4722"/>
      <c r="D3" s="3916" t="str">
        <f>'Part I-Project Identification'!F26</f>
        <v>Finley Place</v>
      </c>
      <c r="E3" s="3917"/>
      <c r="F3" s="3917"/>
      <c r="G3" s="3917"/>
      <c r="H3" s="3917"/>
      <c r="I3" s="3917"/>
      <c r="J3" s="3918" t="s">
        <v>2341</v>
      </c>
      <c r="K3" s="3919"/>
    </row>
    <row r="4" spans="1:11" ht="15" customHeight="1">
      <c r="A4" s="973" t="s">
        <v>2342</v>
      </c>
      <c r="B4" s="974"/>
      <c r="C4" s="975"/>
      <c r="D4" s="3920"/>
      <c r="E4" s="3921"/>
      <c r="F4" s="3921"/>
      <c r="G4" s="3921"/>
      <c r="H4" s="3921"/>
      <c r="I4" s="3921"/>
      <c r="J4" s="3922" t="s">
        <v>2343</v>
      </c>
      <c r="K4" s="3923"/>
    </row>
    <row r="5" spans="1:11" ht="15" customHeight="1" thickBot="1">
      <c r="A5" s="976" t="s">
        <v>2344</v>
      </c>
      <c r="B5" s="977"/>
      <c r="C5" s="978"/>
      <c r="D5" s="3926"/>
      <c r="E5" s="3927"/>
      <c r="F5" s="3927"/>
      <c r="G5" s="3927"/>
      <c r="H5" s="3927"/>
      <c r="I5" s="3927"/>
      <c r="J5" s="3924"/>
      <c r="K5" s="3925"/>
    </row>
    <row r="6" spans="1:11" ht="9" customHeight="1" thickBot="1">
      <c r="E6" s="970"/>
    </row>
    <row r="7" spans="1:11">
      <c r="A7" s="3910" t="s">
        <v>2345</v>
      </c>
      <c r="B7" s="3911"/>
      <c r="C7" s="3911"/>
      <c r="D7" s="3911"/>
      <c r="E7" s="3911"/>
      <c r="F7" s="3911"/>
      <c r="G7" s="3911"/>
      <c r="H7" s="3911"/>
      <c r="I7" s="3911"/>
      <c r="J7" s="3911"/>
      <c r="K7" s="3912"/>
    </row>
    <row r="8" spans="1:11" ht="14.25" customHeight="1">
      <c r="A8" s="974"/>
      <c r="B8" s="974"/>
      <c r="C8" s="1160">
        <v>1</v>
      </c>
      <c r="D8" s="989" t="s">
        <v>2346</v>
      </c>
      <c r="E8" s="989"/>
      <c r="F8" s="989"/>
      <c r="G8" s="989"/>
      <c r="H8" s="989"/>
      <c r="I8" s="989"/>
      <c r="J8" s="3930"/>
      <c r="K8" s="3931"/>
    </row>
    <row r="9" spans="1:11" ht="7.15" customHeight="1">
      <c r="A9" s="3932"/>
      <c r="B9" s="3932"/>
      <c r="C9" s="3932"/>
      <c r="D9" s="3933"/>
      <c r="E9" s="3933"/>
      <c r="F9" s="3933"/>
      <c r="G9" s="3933"/>
      <c r="H9" s="3933"/>
      <c r="I9" s="3933"/>
      <c r="J9" s="3933"/>
      <c r="K9" s="990"/>
    </row>
    <row r="10" spans="1:11">
      <c r="A10" s="3934" t="s">
        <v>2347</v>
      </c>
      <c r="B10" s="3935"/>
      <c r="C10" s="3935"/>
      <c r="D10" s="3935"/>
      <c r="E10" s="3935"/>
      <c r="F10" s="3935"/>
      <c r="G10" s="3935"/>
      <c r="H10" s="3935"/>
      <c r="I10" s="3935"/>
      <c r="J10" s="3935"/>
      <c r="K10" s="3936"/>
    </row>
    <row r="11" spans="1:11" ht="14.25" customHeight="1">
      <c r="A11" s="974"/>
      <c r="B11" s="974"/>
      <c r="C11" s="1160">
        <v>2</v>
      </c>
      <c r="D11" s="989" t="s">
        <v>2348</v>
      </c>
      <c r="E11" s="991"/>
      <c r="F11" s="991"/>
      <c r="G11" s="991"/>
      <c r="H11" s="991"/>
      <c r="I11" s="991"/>
      <c r="J11" s="3937"/>
      <c r="K11" s="3938"/>
    </row>
    <row r="12" spans="1:11" ht="7.15" customHeight="1">
      <c r="A12" s="3932"/>
      <c r="B12" s="3932"/>
      <c r="C12" s="3932"/>
      <c r="D12" s="3933"/>
      <c r="E12" s="3933"/>
      <c r="F12" s="3933"/>
      <c r="G12" s="3933"/>
      <c r="H12" s="3933"/>
      <c r="I12" s="3933"/>
      <c r="J12" s="3933"/>
      <c r="K12" s="2573"/>
    </row>
    <row r="13" spans="1:11">
      <c r="A13" s="3934" t="s">
        <v>2349</v>
      </c>
      <c r="B13" s="3935"/>
      <c r="C13" s="3935"/>
      <c r="D13" s="3935"/>
      <c r="E13" s="3935"/>
      <c r="F13" s="3935"/>
      <c r="G13" s="3935"/>
      <c r="H13" s="3935"/>
      <c r="I13" s="3935"/>
      <c r="J13" s="3935"/>
      <c r="K13" s="3936"/>
    </row>
    <row r="14" spans="1:11" ht="14.25" customHeight="1">
      <c r="A14" s="974"/>
      <c r="B14" s="974"/>
      <c r="C14" s="1161">
        <v>3</v>
      </c>
      <c r="D14" s="2785" t="s">
        <v>2350</v>
      </c>
      <c r="E14" s="2785"/>
      <c r="F14" s="2785"/>
      <c r="G14" s="2785"/>
      <c r="H14" s="2785"/>
      <c r="I14" s="2785"/>
      <c r="J14" s="3939"/>
      <c r="K14" s="3940"/>
    </row>
    <row r="15" spans="1:11" ht="14.25" customHeight="1">
      <c r="A15" s="974"/>
      <c r="B15" s="974"/>
      <c r="C15" s="1162">
        <v>4</v>
      </c>
      <c r="D15" s="974" t="s">
        <v>2351</v>
      </c>
      <c r="E15" s="974"/>
      <c r="F15" s="974"/>
      <c r="G15" s="974"/>
      <c r="H15" s="974"/>
      <c r="I15" s="974"/>
      <c r="J15" s="3941"/>
      <c r="K15" s="3942"/>
    </row>
    <row r="16" spans="1:11" ht="14.25" customHeight="1">
      <c r="A16" s="974"/>
      <c r="B16" s="974"/>
      <c r="C16" s="1162">
        <v>5</v>
      </c>
      <c r="D16" s="974" t="s">
        <v>2352</v>
      </c>
      <c r="E16" s="974"/>
      <c r="F16" s="974"/>
      <c r="G16" s="974"/>
      <c r="H16" s="974"/>
      <c r="I16" s="974"/>
      <c r="J16" s="3941"/>
      <c r="K16" s="3942"/>
    </row>
    <row r="17" spans="1:13" ht="14.25" customHeight="1">
      <c r="A17" s="974"/>
      <c r="B17" s="974"/>
      <c r="C17" s="1163">
        <v>6</v>
      </c>
      <c r="D17" s="977" t="s">
        <v>2353</v>
      </c>
      <c r="E17" s="977"/>
      <c r="F17" s="977"/>
      <c r="G17" s="977"/>
      <c r="H17" s="977"/>
      <c r="I17" s="977"/>
      <c r="J17" s="3943"/>
      <c r="K17" s="3944"/>
    </row>
    <row r="18" spans="1:13" ht="7.15" customHeight="1">
      <c r="A18" s="3932"/>
      <c r="B18" s="3932"/>
      <c r="C18" s="3932"/>
      <c r="D18" s="3933"/>
      <c r="E18" s="3933"/>
      <c r="F18" s="3933"/>
      <c r="G18" s="3933"/>
      <c r="H18" s="3933"/>
      <c r="I18" s="3933"/>
      <c r="J18" s="3933"/>
      <c r="K18" s="2573"/>
    </row>
    <row r="19" spans="1:13" ht="14.25" customHeight="1">
      <c r="A19" s="974"/>
      <c r="B19" s="974"/>
      <c r="C19" s="1161">
        <v>7</v>
      </c>
      <c r="D19" s="2785" t="s">
        <v>2354</v>
      </c>
      <c r="E19" s="2785"/>
      <c r="F19" s="2785"/>
      <c r="G19" s="2785"/>
      <c r="H19" s="2785"/>
      <c r="I19" s="2785"/>
      <c r="J19" s="3928" t="str">
        <f>IF(J17="No",J14-J15,IF(J17="Yes",J14-J15-J16,"Error"))</f>
        <v>Error</v>
      </c>
      <c r="K19" s="3929"/>
    </row>
    <row r="20" spans="1:13" ht="14.25" customHeight="1">
      <c r="A20" s="974"/>
      <c r="B20" s="974"/>
      <c r="C20" s="1163">
        <v>8</v>
      </c>
      <c r="D20" s="977" t="s">
        <v>2355</v>
      </c>
      <c r="E20" s="977"/>
      <c r="F20" s="977"/>
      <c r="G20" s="977"/>
      <c r="H20" s="977"/>
      <c r="I20" s="977"/>
      <c r="J20" s="3945" t="e">
        <f>ROUNDDOWN(J19/J8,2)</f>
        <v>#VALUE!</v>
      </c>
      <c r="K20" s="3946"/>
    </row>
    <row r="21" spans="1:13" ht="7.15" customHeight="1">
      <c r="A21" s="3932"/>
      <c r="B21" s="3932"/>
      <c r="C21" s="3932"/>
      <c r="D21" s="3933"/>
      <c r="E21" s="3933"/>
      <c r="F21" s="3933"/>
      <c r="G21" s="3933"/>
      <c r="H21" s="3933"/>
      <c r="I21" s="3933"/>
      <c r="J21" s="3933"/>
      <c r="K21" s="2573"/>
    </row>
    <row r="22" spans="1:13" ht="14.25" customHeight="1" thickBot="1">
      <c r="A22" s="974"/>
      <c r="B22" s="974"/>
      <c r="C22" s="1160">
        <v>9</v>
      </c>
      <c r="D22" s="992" t="s">
        <v>2356</v>
      </c>
      <c r="E22" s="992"/>
      <c r="F22" s="992"/>
      <c r="G22" s="992"/>
      <c r="H22" s="992"/>
      <c r="I22" s="992"/>
      <c r="J22" s="3947" t="e">
        <f>J11/J19</f>
        <v>#VALUE!</v>
      </c>
      <c r="K22" s="3948"/>
    </row>
    <row r="23" spans="1:13" ht="9" customHeight="1">
      <c r="A23" s="2570"/>
      <c r="C23" s="981"/>
      <c r="D23" s="981"/>
      <c r="E23" s="981"/>
      <c r="F23" s="981"/>
      <c r="G23" s="981"/>
      <c r="H23" s="981"/>
      <c r="I23" s="981"/>
      <c r="J23" s="981"/>
      <c r="K23" s="982"/>
    </row>
    <row r="24" spans="1:13" ht="18.75">
      <c r="A24" s="983" t="s">
        <v>2357</v>
      </c>
      <c r="C24" s="981"/>
      <c r="D24" s="981"/>
      <c r="E24" s="981"/>
      <c r="F24" s="981"/>
      <c r="G24" s="981"/>
      <c r="H24" s="981"/>
      <c r="I24" s="981"/>
      <c r="J24" s="981"/>
      <c r="K24" s="982"/>
    </row>
    <row r="25" spans="1:13" ht="14.25" customHeight="1">
      <c r="A25" s="1030" t="s">
        <v>2358</v>
      </c>
      <c r="C25" s="981"/>
      <c r="D25" s="981"/>
      <c r="E25" s="981"/>
      <c r="F25" s="981"/>
      <c r="G25" s="981"/>
      <c r="H25" s="981"/>
      <c r="I25" s="981"/>
      <c r="J25" s="981"/>
      <c r="K25" s="982"/>
    </row>
    <row r="26" spans="1:13" ht="14.25" customHeight="1">
      <c r="A26" s="1030" t="s">
        <v>2359</v>
      </c>
      <c r="C26" s="981"/>
      <c r="D26" s="981"/>
      <c r="E26" s="981"/>
      <c r="F26" s="981"/>
      <c r="G26" s="981"/>
      <c r="H26" s="981"/>
      <c r="I26" s="981"/>
      <c r="J26" s="981"/>
      <c r="K26" s="982"/>
    </row>
    <row r="27" spans="1:13" ht="14.25" customHeight="1">
      <c r="A27" s="1030" t="s">
        <v>2360</v>
      </c>
      <c r="C27" s="981"/>
      <c r="D27" s="981"/>
      <c r="E27" s="981"/>
      <c r="F27" s="981"/>
      <c r="G27" s="981"/>
      <c r="H27" s="981"/>
      <c r="I27" s="981"/>
      <c r="J27" s="981"/>
      <c r="K27" s="982"/>
    </row>
    <row r="28" spans="1:13" ht="14.25" customHeight="1">
      <c r="A28" s="1030" t="s">
        <v>2361</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49" t="s">
        <v>2362</v>
      </c>
      <c r="B30" s="3950"/>
      <c r="C30" s="3950"/>
      <c r="D30" s="3950"/>
      <c r="E30" s="3950"/>
      <c r="F30" s="3950"/>
      <c r="G30" s="3950"/>
      <c r="H30" s="3950"/>
      <c r="I30" s="3950"/>
      <c r="J30" s="3950"/>
      <c r="K30" s="3951"/>
    </row>
    <row r="31" spans="1:13">
      <c r="B31" s="3952" t="s">
        <v>2341</v>
      </c>
      <c r="C31" s="3952"/>
      <c r="D31" s="3952"/>
      <c r="E31" s="3952"/>
      <c r="F31" s="3952"/>
      <c r="G31" s="3953" t="s">
        <v>2363</v>
      </c>
      <c r="H31" s="3954"/>
      <c r="I31" s="3954"/>
      <c r="J31" s="3954"/>
      <c r="K31" s="3955"/>
    </row>
    <row r="32" spans="1:13" ht="56.25" customHeight="1">
      <c r="A32" s="2506"/>
      <c r="B32" s="1002" t="s">
        <v>2364</v>
      </c>
      <c r="C32" s="1003" t="s">
        <v>2365</v>
      </c>
      <c r="D32" s="1003" t="s">
        <v>2366</v>
      </c>
      <c r="E32" s="3956" t="s">
        <v>2367</v>
      </c>
      <c r="F32" s="4723"/>
      <c r="G32" s="1004" t="s">
        <v>2368</v>
      </c>
      <c r="H32" s="1004" t="s">
        <v>2369</v>
      </c>
      <c r="J32" s="1004" t="s">
        <v>2370</v>
      </c>
      <c r="K32" s="1004" t="s">
        <v>2371</v>
      </c>
      <c r="L32" s="3957" t="s">
        <v>2372</v>
      </c>
      <c r="M32" s="3957"/>
    </row>
    <row r="33" spans="2:14" ht="12.75" customHeight="1">
      <c r="B33" s="1151"/>
      <c r="C33" s="1152"/>
      <c r="D33" s="1153"/>
      <c r="E33" s="3958"/>
      <c r="F33" s="3959"/>
      <c r="G33" s="1020" t="e">
        <f t="shared" ref="G33:G51" si="0">$J$22*B33</f>
        <v>#VALUE!</v>
      </c>
      <c r="H33" s="1021" t="e">
        <f>ROUNDUP(G33,0)</f>
        <v>#VALUE!</v>
      </c>
      <c r="I33" s="1022"/>
      <c r="J33" s="1023" t="e">
        <f t="shared" ref="J33:J51" si="1">$J$20*E33</f>
        <v>#VALUE!</v>
      </c>
      <c r="K33" s="1023" t="e">
        <f t="shared" ref="K33:K51" si="2">ROUNDDOWN(J33*H33,0)</f>
        <v>#VALUE!</v>
      </c>
      <c r="L33" s="3957"/>
      <c r="M33" s="3957"/>
    </row>
    <row r="34" spans="2:14" ht="12.75" customHeight="1">
      <c r="B34" s="1154"/>
      <c r="C34" s="1155"/>
      <c r="D34" s="1156"/>
      <c r="E34" s="3960"/>
      <c r="F34" s="3961"/>
      <c r="G34" s="1024" t="e">
        <f t="shared" si="0"/>
        <v>#VALUE!</v>
      </c>
      <c r="H34" s="1025" t="e">
        <f t="shared" ref="H34:H51" si="3">ROUNDUP(G34,0)</f>
        <v>#VALUE!</v>
      </c>
      <c r="I34" s="1022"/>
      <c r="J34" s="1026" t="e">
        <f t="shared" si="1"/>
        <v>#VALUE!</v>
      </c>
      <c r="K34" s="1026" t="e">
        <f t="shared" si="2"/>
        <v>#VALUE!</v>
      </c>
      <c r="L34" s="3957"/>
      <c r="M34" s="3957"/>
    </row>
    <row r="35" spans="2:14" ht="12.75" customHeight="1">
      <c r="B35" s="1154"/>
      <c r="C35" s="1155"/>
      <c r="D35" s="1156"/>
      <c r="E35" s="3960"/>
      <c r="F35" s="3961"/>
      <c r="G35" s="1024" t="e">
        <f t="shared" si="0"/>
        <v>#VALUE!</v>
      </c>
      <c r="H35" s="1025" t="e">
        <f t="shared" si="3"/>
        <v>#VALUE!</v>
      </c>
      <c r="I35" s="1022"/>
      <c r="J35" s="1026" t="e">
        <f t="shared" si="1"/>
        <v>#VALUE!</v>
      </c>
      <c r="K35" s="1026" t="e">
        <f t="shared" si="2"/>
        <v>#VALUE!</v>
      </c>
      <c r="L35" s="3957"/>
      <c r="M35" s="3957"/>
    </row>
    <row r="36" spans="2:14" ht="12.75" customHeight="1">
      <c r="B36" s="1154"/>
      <c r="C36" s="1155"/>
      <c r="D36" s="1156"/>
      <c r="E36" s="3960"/>
      <c r="F36" s="3961"/>
      <c r="G36" s="1024" t="e">
        <f t="shared" si="0"/>
        <v>#VALUE!</v>
      </c>
      <c r="H36" s="1025" t="e">
        <f t="shared" si="3"/>
        <v>#VALUE!</v>
      </c>
      <c r="I36" s="1022"/>
      <c r="J36" s="1026" t="e">
        <f t="shared" si="1"/>
        <v>#VALUE!</v>
      </c>
      <c r="K36" s="1026" t="e">
        <f t="shared" si="2"/>
        <v>#VALUE!</v>
      </c>
      <c r="L36" s="3957"/>
      <c r="M36" s="3957"/>
      <c r="N36" s="984"/>
    </row>
    <row r="37" spans="2:14" ht="12.75" customHeight="1">
      <c r="B37" s="1154"/>
      <c r="C37" s="1155"/>
      <c r="D37" s="1156"/>
      <c r="E37" s="3960"/>
      <c r="F37" s="3961"/>
      <c r="G37" s="1024" t="e">
        <f t="shared" si="0"/>
        <v>#VALUE!</v>
      </c>
      <c r="H37" s="1025" t="e">
        <f t="shared" si="3"/>
        <v>#VALUE!</v>
      </c>
      <c r="I37" s="1022"/>
      <c r="J37" s="1026" t="e">
        <f t="shared" si="1"/>
        <v>#VALUE!</v>
      </c>
      <c r="K37" s="1026" t="e">
        <f t="shared" si="2"/>
        <v>#VALUE!</v>
      </c>
      <c r="L37" s="3957"/>
      <c r="M37" s="3957"/>
    </row>
    <row r="38" spans="2:14" ht="12.75" customHeight="1">
      <c r="B38" s="1154"/>
      <c r="C38" s="1155"/>
      <c r="D38" s="1156"/>
      <c r="E38" s="3960"/>
      <c r="F38" s="3961"/>
      <c r="G38" s="1024" t="e">
        <f t="shared" si="0"/>
        <v>#VALUE!</v>
      </c>
      <c r="H38" s="1025" t="e">
        <f t="shared" si="3"/>
        <v>#VALUE!</v>
      </c>
      <c r="I38" s="1022"/>
      <c r="J38" s="1026" t="e">
        <f t="shared" si="1"/>
        <v>#VALUE!</v>
      </c>
      <c r="K38" s="1026" t="e">
        <f t="shared" si="2"/>
        <v>#VALUE!</v>
      </c>
      <c r="L38" s="3957"/>
      <c r="M38" s="3957"/>
    </row>
    <row r="39" spans="2:14" ht="12.75" customHeight="1">
      <c r="B39" s="1154"/>
      <c r="C39" s="1155"/>
      <c r="D39" s="1156"/>
      <c r="E39" s="3960"/>
      <c r="F39" s="3961"/>
      <c r="G39" s="1024" t="e">
        <f t="shared" si="0"/>
        <v>#VALUE!</v>
      </c>
      <c r="H39" s="1025" t="e">
        <f t="shared" si="3"/>
        <v>#VALUE!</v>
      </c>
      <c r="I39" s="1022"/>
      <c r="J39" s="1026" t="e">
        <f t="shared" si="1"/>
        <v>#VALUE!</v>
      </c>
      <c r="K39" s="1026" t="e">
        <f t="shared" si="2"/>
        <v>#VALUE!</v>
      </c>
      <c r="L39" s="3957"/>
      <c r="M39" s="3957"/>
    </row>
    <row r="40" spans="2:14" ht="12.75" customHeight="1">
      <c r="B40" s="1154"/>
      <c r="C40" s="1155"/>
      <c r="D40" s="1156"/>
      <c r="E40" s="3960"/>
      <c r="F40" s="3961"/>
      <c r="G40" s="1024" t="e">
        <f t="shared" si="0"/>
        <v>#VALUE!</v>
      </c>
      <c r="H40" s="1025" t="e">
        <f t="shared" si="3"/>
        <v>#VALUE!</v>
      </c>
      <c r="I40" s="1022"/>
      <c r="J40" s="1026" t="e">
        <f t="shared" si="1"/>
        <v>#VALUE!</v>
      </c>
      <c r="K40" s="1026" t="e">
        <f t="shared" si="2"/>
        <v>#VALUE!</v>
      </c>
      <c r="L40" s="3957"/>
      <c r="M40" s="3957"/>
    </row>
    <row r="41" spans="2:14" ht="12.75" customHeight="1">
      <c r="B41" s="1154"/>
      <c r="C41" s="1155"/>
      <c r="D41" s="1156"/>
      <c r="E41" s="3960"/>
      <c r="F41" s="3961"/>
      <c r="G41" s="1024" t="e">
        <f t="shared" si="0"/>
        <v>#VALUE!</v>
      </c>
      <c r="H41" s="1025" t="e">
        <f t="shared" si="3"/>
        <v>#VALUE!</v>
      </c>
      <c r="I41" s="1022"/>
      <c r="J41" s="1026" t="e">
        <f t="shared" si="1"/>
        <v>#VALUE!</v>
      </c>
      <c r="K41" s="1026" t="e">
        <f t="shared" si="2"/>
        <v>#VALUE!</v>
      </c>
      <c r="L41" s="3957"/>
      <c r="M41" s="3957"/>
    </row>
    <row r="42" spans="2:14" ht="12.75" customHeight="1">
      <c r="B42" s="1154"/>
      <c r="C42" s="1155"/>
      <c r="D42" s="1156"/>
      <c r="E42" s="3960"/>
      <c r="F42" s="3961"/>
      <c r="G42" s="1024" t="e">
        <f t="shared" si="0"/>
        <v>#VALUE!</v>
      </c>
      <c r="H42" s="1025" t="e">
        <f t="shared" si="3"/>
        <v>#VALUE!</v>
      </c>
      <c r="I42" s="1022"/>
      <c r="J42" s="1026" t="e">
        <f t="shared" si="1"/>
        <v>#VALUE!</v>
      </c>
      <c r="K42" s="1026" t="e">
        <f t="shared" si="2"/>
        <v>#VALUE!</v>
      </c>
      <c r="L42" s="3957"/>
      <c r="M42" s="3957"/>
    </row>
    <row r="43" spans="2:14" ht="12.75" customHeight="1">
      <c r="B43" s="1154"/>
      <c r="C43" s="1155"/>
      <c r="D43" s="1156"/>
      <c r="E43" s="3960"/>
      <c r="F43" s="3961"/>
      <c r="G43" s="1024" t="e">
        <f t="shared" si="0"/>
        <v>#VALUE!</v>
      </c>
      <c r="H43" s="1025" t="e">
        <f t="shared" si="3"/>
        <v>#VALUE!</v>
      </c>
      <c r="I43" s="1022"/>
      <c r="J43" s="1026" t="e">
        <f t="shared" si="1"/>
        <v>#VALUE!</v>
      </c>
      <c r="K43" s="1026" t="e">
        <f t="shared" si="2"/>
        <v>#VALUE!</v>
      </c>
      <c r="L43" s="3957"/>
      <c r="M43" s="3957"/>
    </row>
    <row r="44" spans="2:14" ht="12.75" customHeight="1">
      <c r="B44" s="1154"/>
      <c r="C44" s="1155"/>
      <c r="D44" s="1156"/>
      <c r="E44" s="3960"/>
      <c r="F44" s="3961"/>
      <c r="G44" s="1024" t="e">
        <f t="shared" si="0"/>
        <v>#VALUE!</v>
      </c>
      <c r="H44" s="1025" t="e">
        <f t="shared" si="3"/>
        <v>#VALUE!</v>
      </c>
      <c r="I44" s="1022"/>
      <c r="J44" s="1026" t="e">
        <f t="shared" si="1"/>
        <v>#VALUE!</v>
      </c>
      <c r="K44" s="1026" t="e">
        <f t="shared" si="2"/>
        <v>#VALUE!</v>
      </c>
      <c r="L44" s="3957"/>
      <c r="M44" s="3957"/>
    </row>
    <row r="45" spans="2:14" ht="12.75" customHeight="1">
      <c r="B45" s="1154"/>
      <c r="C45" s="1155"/>
      <c r="D45" s="1156"/>
      <c r="E45" s="3960"/>
      <c r="F45" s="3961"/>
      <c r="G45" s="1024" t="e">
        <f t="shared" si="0"/>
        <v>#VALUE!</v>
      </c>
      <c r="H45" s="1025" t="e">
        <f t="shared" si="3"/>
        <v>#VALUE!</v>
      </c>
      <c r="I45" s="1022"/>
      <c r="J45" s="1026" t="e">
        <f t="shared" si="1"/>
        <v>#VALUE!</v>
      </c>
      <c r="K45" s="1026" t="e">
        <f t="shared" si="2"/>
        <v>#VALUE!</v>
      </c>
      <c r="L45" s="3957"/>
      <c r="M45" s="3957"/>
    </row>
    <row r="46" spans="2:14" ht="12.75" customHeight="1">
      <c r="B46" s="1154"/>
      <c r="C46" s="1155"/>
      <c r="D46" s="1156"/>
      <c r="E46" s="3960"/>
      <c r="F46" s="3961"/>
      <c r="G46" s="1024" t="e">
        <f t="shared" si="0"/>
        <v>#VALUE!</v>
      </c>
      <c r="H46" s="1025" t="e">
        <f t="shared" si="3"/>
        <v>#VALUE!</v>
      </c>
      <c r="I46" s="1022"/>
      <c r="J46" s="1026" t="e">
        <f t="shared" si="1"/>
        <v>#VALUE!</v>
      </c>
      <c r="K46" s="1026" t="e">
        <f t="shared" si="2"/>
        <v>#VALUE!</v>
      </c>
      <c r="L46" s="3957"/>
      <c r="M46" s="3957"/>
    </row>
    <row r="47" spans="2:14" ht="12.75" customHeight="1">
      <c r="B47" s="1154"/>
      <c r="C47" s="1155"/>
      <c r="D47" s="1156"/>
      <c r="E47" s="3960"/>
      <c r="F47" s="3961"/>
      <c r="G47" s="1024" t="e">
        <f t="shared" si="0"/>
        <v>#VALUE!</v>
      </c>
      <c r="H47" s="1025" t="e">
        <f t="shared" si="3"/>
        <v>#VALUE!</v>
      </c>
      <c r="I47" s="1022"/>
      <c r="J47" s="1026" t="e">
        <f t="shared" si="1"/>
        <v>#VALUE!</v>
      </c>
      <c r="K47" s="1026" t="e">
        <f t="shared" si="2"/>
        <v>#VALUE!</v>
      </c>
      <c r="L47" s="3957"/>
      <c r="M47" s="3957"/>
    </row>
    <row r="48" spans="2:14" ht="12.75" customHeight="1">
      <c r="B48" s="1154"/>
      <c r="C48" s="1155"/>
      <c r="D48" s="1156"/>
      <c r="E48" s="3960"/>
      <c r="F48" s="3961"/>
      <c r="G48" s="1024" t="e">
        <f t="shared" si="0"/>
        <v>#VALUE!</v>
      </c>
      <c r="H48" s="1025" t="e">
        <f t="shared" si="3"/>
        <v>#VALUE!</v>
      </c>
      <c r="I48" s="1022"/>
      <c r="J48" s="1026" t="e">
        <f t="shared" si="1"/>
        <v>#VALUE!</v>
      </c>
      <c r="K48" s="1026" t="e">
        <f t="shared" si="2"/>
        <v>#VALUE!</v>
      </c>
      <c r="L48" s="3957"/>
      <c r="M48" s="3957"/>
    </row>
    <row r="49" spans="1:13" ht="12.75" customHeight="1">
      <c r="B49" s="1154"/>
      <c r="C49" s="1155"/>
      <c r="D49" s="1156"/>
      <c r="E49" s="3960"/>
      <c r="F49" s="3961"/>
      <c r="G49" s="1024" t="e">
        <f t="shared" si="0"/>
        <v>#VALUE!</v>
      </c>
      <c r="H49" s="1025" t="e">
        <f t="shared" si="3"/>
        <v>#VALUE!</v>
      </c>
      <c r="I49" s="1022"/>
      <c r="J49" s="1026" t="e">
        <f t="shared" si="1"/>
        <v>#VALUE!</v>
      </c>
      <c r="K49" s="1026" t="e">
        <f t="shared" si="2"/>
        <v>#VALUE!</v>
      </c>
      <c r="L49" s="3957"/>
      <c r="M49" s="3957"/>
    </row>
    <row r="50" spans="1:13" ht="12.75" customHeight="1">
      <c r="B50" s="1154"/>
      <c r="C50" s="1155"/>
      <c r="D50" s="1156"/>
      <c r="E50" s="3960"/>
      <c r="F50" s="3961"/>
      <c r="G50" s="1024" t="e">
        <f t="shared" si="0"/>
        <v>#VALUE!</v>
      </c>
      <c r="H50" s="1025" t="e">
        <f t="shared" si="3"/>
        <v>#VALUE!</v>
      </c>
      <c r="I50" s="1022"/>
      <c r="J50" s="1026" t="e">
        <f t="shared" si="1"/>
        <v>#VALUE!</v>
      </c>
      <c r="K50" s="1026" t="e">
        <f t="shared" si="2"/>
        <v>#VALUE!</v>
      </c>
      <c r="L50" s="3957"/>
      <c r="M50" s="3957"/>
    </row>
    <row r="51" spans="1:13" ht="12.75" customHeight="1" thickBot="1">
      <c r="B51" s="1157"/>
      <c r="C51" s="1158"/>
      <c r="D51" s="1159"/>
      <c r="E51" s="3964"/>
      <c r="F51" s="3965"/>
      <c r="G51" s="1027" t="e">
        <f t="shared" si="0"/>
        <v>#VALUE!</v>
      </c>
      <c r="H51" s="1028" t="e">
        <f t="shared" si="3"/>
        <v>#VALUE!</v>
      </c>
      <c r="I51" s="1022"/>
      <c r="J51" s="1029" t="e">
        <f t="shared" si="1"/>
        <v>#VALUE!</v>
      </c>
      <c r="K51" s="1029" t="e">
        <f t="shared" si="2"/>
        <v>#VALUE!</v>
      </c>
      <c r="L51" s="3957"/>
      <c r="M51" s="3957"/>
    </row>
    <row r="52" spans="1:13" ht="15" customHeight="1" thickBot="1">
      <c r="B52" s="2786"/>
      <c r="D52" s="2785"/>
      <c r="E52" s="2785"/>
      <c r="F52" s="2785"/>
      <c r="G52" s="1006" t="s">
        <v>2373</v>
      </c>
      <c r="H52" s="1005" t="e">
        <f>SUM(H33:H51)</f>
        <v>#VALUE!</v>
      </c>
      <c r="I52" s="2785"/>
      <c r="J52" s="2786" t="s">
        <v>2374</v>
      </c>
      <c r="K52" s="993" t="e">
        <f>SUM(K33:K51)</f>
        <v>#VALUE!</v>
      </c>
      <c r="L52" s="3957"/>
      <c r="M52" s="3957"/>
    </row>
    <row r="53" spans="1:13" ht="15" customHeight="1">
      <c r="B53" s="2572"/>
      <c r="C53" s="3962" t="s">
        <v>2375</v>
      </c>
      <c r="D53" s="3962"/>
      <c r="E53" s="3962"/>
      <c r="F53" s="3962"/>
      <c r="G53" s="3962"/>
      <c r="H53" s="3962"/>
      <c r="I53" s="3962"/>
      <c r="J53" s="3963"/>
      <c r="K53" s="997" t="str">
        <f>IF(J17="no",0,IF(J17="yes",J16,"Error"))</f>
        <v>Error</v>
      </c>
      <c r="L53" s="3957"/>
      <c r="M53" s="3957"/>
    </row>
    <row r="54" spans="1:13" ht="15" customHeight="1" thickBot="1">
      <c r="B54" s="2572"/>
      <c r="C54" s="3966" t="s">
        <v>2376</v>
      </c>
      <c r="D54" s="3966"/>
      <c r="E54" s="3966"/>
      <c r="F54" s="3966"/>
      <c r="G54" s="3966"/>
      <c r="H54" s="3966"/>
      <c r="I54" s="3966"/>
      <c r="J54" s="3967"/>
      <c r="K54" s="1008" t="e">
        <f>K52+K53</f>
        <v>#VALUE!</v>
      </c>
    </row>
    <row r="55" spans="1:13" ht="7.9" customHeight="1">
      <c r="A55" s="3968"/>
      <c r="B55" s="3969"/>
      <c r="C55" s="3969"/>
      <c r="D55" s="3969"/>
      <c r="E55" s="3969"/>
      <c r="F55" s="3969"/>
      <c r="G55" s="3969"/>
      <c r="H55" s="3969"/>
      <c r="I55" s="3969"/>
      <c r="J55" s="3969"/>
      <c r="K55" s="1019"/>
    </row>
    <row r="56" spans="1:13" ht="15" customHeight="1">
      <c r="A56" s="3970" t="s">
        <v>2377</v>
      </c>
      <c r="B56" s="3971"/>
      <c r="C56" s="3971"/>
      <c r="D56" s="3971"/>
      <c r="E56" s="3971"/>
      <c r="F56" s="3971"/>
      <c r="G56" s="3971"/>
      <c r="H56" s="3971"/>
      <c r="I56" s="3971"/>
      <c r="J56" s="3971"/>
      <c r="K56" s="3972"/>
    </row>
    <row r="57" spans="1:13" ht="48" customHeight="1">
      <c r="A57" s="986"/>
      <c r="B57" s="4724"/>
      <c r="C57" s="988" t="s">
        <v>2378</v>
      </c>
      <c r="D57" s="1086" t="s">
        <v>2379</v>
      </c>
      <c r="E57" s="3973" t="s">
        <v>2380</v>
      </c>
      <c r="F57" s="3974"/>
      <c r="G57" s="3975" t="s">
        <v>2381</v>
      </c>
      <c r="H57" s="3976"/>
      <c r="I57" s="3973" t="s">
        <v>2382</v>
      </c>
      <c r="J57" s="3974"/>
      <c r="K57" s="4725"/>
      <c r="L57" s="3913" t="s">
        <v>2383</v>
      </c>
      <c r="M57" s="3914"/>
    </row>
    <row r="58" spans="1:13" ht="15" customHeight="1">
      <c r="A58" s="2571"/>
      <c r="B58" s="1014"/>
      <c r="C58" s="994">
        <f>SUMIF(C33:C51, "0", H33:H51)</f>
        <v>0</v>
      </c>
      <c r="D58" s="1087">
        <f t="shared" ref="D58:D63" si="4">ROUNDUP(C58*1.1,0)</f>
        <v>0</v>
      </c>
      <c r="E58" s="3978" t="s">
        <v>2384</v>
      </c>
      <c r="F58" s="3979"/>
      <c r="G58" s="3980" t="e">
        <f>#REF!</f>
        <v>#REF!</v>
      </c>
      <c r="H58" s="3981"/>
      <c r="I58" s="3982" t="e">
        <f t="shared" ref="I58:I63" si="5">D58*G58</f>
        <v>#REF!</v>
      </c>
      <c r="J58" s="3982"/>
      <c r="K58" s="3977"/>
      <c r="L58" s="3915"/>
      <c r="M58" s="3914"/>
    </row>
    <row r="59" spans="1:13">
      <c r="A59" s="2571"/>
      <c r="B59" s="1014"/>
      <c r="C59" s="995">
        <f>SUMIF(C33:C51, "1", H33:H51)</f>
        <v>0</v>
      </c>
      <c r="D59" s="1088">
        <f t="shared" si="4"/>
        <v>0</v>
      </c>
      <c r="E59" s="3983" t="s">
        <v>2385</v>
      </c>
      <c r="F59" s="3984"/>
      <c r="G59" s="3980" t="e">
        <f>#REF!</f>
        <v>#REF!</v>
      </c>
      <c r="H59" s="3981"/>
      <c r="I59" s="3985" t="e">
        <f t="shared" si="5"/>
        <v>#REF!</v>
      </c>
      <c r="J59" s="3985"/>
      <c r="K59" s="3977"/>
      <c r="L59" s="3915"/>
      <c r="M59" s="3914"/>
    </row>
    <row r="60" spans="1:13" ht="15" customHeight="1">
      <c r="A60" s="2571"/>
      <c r="B60" s="1014"/>
      <c r="C60" s="995">
        <f>SUMIF(C33:C51, "2", H33:H51)</f>
        <v>0</v>
      </c>
      <c r="D60" s="1088">
        <f t="shared" si="4"/>
        <v>0</v>
      </c>
      <c r="E60" s="3983" t="s">
        <v>2386</v>
      </c>
      <c r="F60" s="3984"/>
      <c r="G60" s="3980" t="e">
        <f>#REF!</f>
        <v>#REF!</v>
      </c>
      <c r="H60" s="3981"/>
      <c r="I60" s="3985" t="e">
        <f t="shared" si="5"/>
        <v>#REF!</v>
      </c>
      <c r="J60" s="3985"/>
      <c r="K60" s="3977"/>
      <c r="L60" s="3915"/>
      <c r="M60" s="3914"/>
    </row>
    <row r="61" spans="1:13">
      <c r="A61" s="2571"/>
      <c r="B61" s="1014"/>
      <c r="C61" s="995">
        <f>SUMIF(C33:C51, "3", H33:H51)</f>
        <v>0</v>
      </c>
      <c r="D61" s="1088">
        <f t="shared" si="4"/>
        <v>0</v>
      </c>
      <c r="E61" s="3983" t="s">
        <v>2387</v>
      </c>
      <c r="F61" s="3984"/>
      <c r="G61" s="3980" t="e">
        <f>#REF!</f>
        <v>#REF!</v>
      </c>
      <c r="H61" s="3981"/>
      <c r="I61" s="3985" t="e">
        <f t="shared" si="5"/>
        <v>#REF!</v>
      </c>
      <c r="J61" s="3985"/>
      <c r="K61" s="3977"/>
      <c r="L61" s="3915"/>
      <c r="M61" s="3914"/>
    </row>
    <row r="62" spans="1:13">
      <c r="A62" s="2571"/>
      <c r="B62" s="1014"/>
      <c r="C62" s="995">
        <f>SUMIF(C33:C51, "4", H33:H51)</f>
        <v>0</v>
      </c>
      <c r="D62" s="1088">
        <f t="shared" si="4"/>
        <v>0</v>
      </c>
      <c r="E62" s="3983" t="s">
        <v>2388</v>
      </c>
      <c r="F62" s="3984"/>
      <c r="G62" s="3980" t="e">
        <f>#REF!</f>
        <v>#REF!</v>
      </c>
      <c r="H62" s="3981"/>
      <c r="I62" s="3985" t="e">
        <f t="shared" si="5"/>
        <v>#REF!</v>
      </c>
      <c r="J62" s="3985"/>
      <c r="K62" s="3977"/>
      <c r="L62" s="3915"/>
      <c r="M62" s="3914"/>
    </row>
    <row r="63" spans="1:13">
      <c r="A63" s="1085"/>
      <c r="B63" s="1015"/>
      <c r="C63" s="996">
        <f>SUMIF(C33:C51, "5", H33:H51)</f>
        <v>0</v>
      </c>
      <c r="D63" s="1089">
        <f t="shared" si="4"/>
        <v>0</v>
      </c>
      <c r="E63" s="3987" t="s">
        <v>2389</v>
      </c>
      <c r="F63" s="3988"/>
      <c r="G63" s="3980" t="e">
        <f>#REF!</f>
        <v>#REF!</v>
      </c>
      <c r="H63" s="3981"/>
      <c r="I63" s="3989" t="e">
        <f t="shared" si="5"/>
        <v>#REF!</v>
      </c>
      <c r="J63" s="3989"/>
      <c r="K63" s="1017"/>
      <c r="L63" s="3915"/>
      <c r="M63" s="3914"/>
    </row>
    <row r="64" spans="1:13" ht="17.25" thickBot="1">
      <c r="A64" s="1084" t="s">
        <v>2390</v>
      </c>
      <c r="B64" s="1010">
        <f>SUM(C58:C63)</f>
        <v>0</v>
      </c>
      <c r="C64" s="1090"/>
      <c r="D64" s="1090">
        <f>SUM(D58:D63)</f>
        <v>0</v>
      </c>
      <c r="E64" s="1083"/>
      <c r="F64" s="1083"/>
      <c r="G64" s="1083"/>
      <c r="H64" s="1083"/>
      <c r="I64" s="1083"/>
      <c r="J64" s="1077" t="s">
        <v>2391</v>
      </c>
      <c r="K64" s="1009" t="e">
        <f>SUM(I58:I62)</f>
        <v>#REF!</v>
      </c>
    </row>
    <row r="65" spans="1:11">
      <c r="A65" s="3969"/>
      <c r="B65" s="3969"/>
      <c r="C65" s="3969"/>
      <c r="D65" s="3969"/>
      <c r="E65" s="3969"/>
      <c r="F65" s="3969"/>
      <c r="G65" s="3969"/>
      <c r="H65" s="3969"/>
      <c r="I65" s="3969"/>
      <c r="J65" s="3969"/>
    </row>
    <row r="66" spans="1:11">
      <c r="A66" s="3970" t="s">
        <v>2392</v>
      </c>
      <c r="B66" s="3971"/>
      <c r="C66" s="3971"/>
      <c r="D66" s="3971"/>
      <c r="E66" s="3971"/>
      <c r="F66" s="3971"/>
      <c r="G66" s="3971"/>
      <c r="H66" s="3971"/>
      <c r="I66" s="3971"/>
      <c r="J66" s="3971"/>
      <c r="K66" s="3972"/>
    </row>
    <row r="67" spans="1:11" ht="15" customHeight="1">
      <c r="A67" s="1011"/>
      <c r="B67" s="2787"/>
      <c r="C67" s="2787"/>
      <c r="D67" s="2787"/>
      <c r="E67" s="2787" t="s">
        <v>2393</v>
      </c>
      <c r="F67" s="2787"/>
      <c r="G67" s="2787"/>
      <c r="H67" s="2787"/>
      <c r="I67" s="2787"/>
      <c r="J67" s="4724"/>
      <c r="K67" s="985">
        <f>J11</f>
        <v>0</v>
      </c>
    </row>
    <row r="68" spans="1:11">
      <c r="A68" s="1012"/>
      <c r="E68" s="970" t="s">
        <v>2394</v>
      </c>
      <c r="J68" s="1014"/>
      <c r="K68" s="985" t="e">
        <f>K54</f>
        <v>#VALUE!</v>
      </c>
    </row>
    <row r="69" spans="1:11" ht="17.25" thickBot="1">
      <c r="A69" s="1013"/>
      <c r="B69" s="979"/>
      <c r="C69" s="979"/>
      <c r="D69" s="979"/>
      <c r="E69" s="979" t="s">
        <v>2395</v>
      </c>
      <c r="F69" s="979"/>
      <c r="G69" s="979"/>
      <c r="H69" s="979"/>
      <c r="I69" s="979"/>
      <c r="J69" s="1015"/>
      <c r="K69" s="1018" t="e">
        <f>K64</f>
        <v>#REF!</v>
      </c>
    </row>
    <row r="70" spans="1:11" ht="17.25" thickBot="1">
      <c r="A70" s="987"/>
      <c r="B70" s="980"/>
      <c r="C70" s="3986" t="s">
        <v>2396</v>
      </c>
      <c r="D70" s="3986"/>
      <c r="E70" s="3986"/>
      <c r="F70" s="3986"/>
      <c r="G70" s="3986"/>
      <c r="H70" s="3986"/>
      <c r="I70" s="3986"/>
      <c r="J70" s="3986"/>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yXSKYHQhDI/E0jD2ETct3eLfmTJfPIzb6cLOBfxYx4mvWiJZulINkHETzMhr8lkqyL+4RzwM1MXnyYgY7aYw6w==" saltValue="VvtEPAizQfsyq/FSdsOLYw==" spinCount="100000" sheet="1" objects="1" scenario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8515625" defaultRowHeight="12.75"/>
  <cols>
    <col min="1" max="1" width="5.28515625" style="12" customWidth="1"/>
    <col min="2" max="2" width="2.5703125" style="12" customWidth="1"/>
    <col min="3" max="3" width="2.28515625" style="12" customWidth="1"/>
    <col min="4" max="10" width="8.7109375" style="12" customWidth="1"/>
    <col min="11" max="11" width="7.5703125" style="12" customWidth="1"/>
    <col min="12" max="15" width="9.28515625" style="12" customWidth="1"/>
    <col min="16" max="16" width="8.7109375" style="12" customWidth="1"/>
    <col min="17" max="17" width="9.28515625" style="12" customWidth="1"/>
    <col min="18" max="16384" width="9.28515625" style="12"/>
  </cols>
  <sheetData>
    <row r="1" spans="1:19" ht="14.1" customHeight="1">
      <c r="A1" s="3130" t="e">
        <f>CONCATENATE("PART SEVEN - THRESHOLD CRITERIA","  -  ",#REF!," ",#REF!,", ",#REF!,", ",#REF!," County")</f>
        <v>#REF!</v>
      </c>
      <c r="B1" s="3131"/>
      <c r="C1" s="3131"/>
      <c r="D1" s="3131"/>
      <c r="E1" s="3131"/>
      <c r="F1" s="3131"/>
      <c r="G1" s="3131"/>
      <c r="H1" s="3131"/>
      <c r="I1" s="3131"/>
      <c r="J1" s="3131"/>
      <c r="K1" s="3131"/>
      <c r="L1" s="3131"/>
      <c r="M1" s="3131"/>
      <c r="N1" s="3131"/>
      <c r="O1" s="3131"/>
      <c r="P1" s="3131"/>
      <c r="Q1" s="3131"/>
      <c r="R1" s="1368"/>
      <c r="S1" s="1368"/>
    </row>
    <row r="2" spans="1:19" customFormat="1" ht="3" customHeight="1">
      <c r="R2" s="1368"/>
      <c r="S2" s="1368"/>
    </row>
    <row r="3" spans="1:19" ht="13.5" customHeight="1">
      <c r="A3" s="4067"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67"/>
      <c r="C3" s="4067"/>
      <c r="D3" s="4067"/>
      <c r="E3" s="4067"/>
      <c r="F3" s="4067"/>
      <c r="G3" s="4067"/>
      <c r="H3" s="406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67"/>
      <c r="J3" s="4067"/>
      <c r="K3" s="4067"/>
      <c r="L3" s="4067"/>
      <c r="M3" s="4067"/>
      <c r="N3" s="4067"/>
      <c r="O3" s="77"/>
      <c r="P3" s="4076" t="s">
        <v>2397</v>
      </c>
      <c r="Q3" s="3992" t="s">
        <v>1421</v>
      </c>
      <c r="R3" s="1368"/>
      <c r="S3" s="1368"/>
    </row>
    <row r="4" spans="1:19" ht="3" customHeight="1">
      <c r="A4" s="517"/>
      <c r="B4" s="4068"/>
      <c r="C4" s="4068"/>
      <c r="D4" s="4068"/>
      <c r="E4" s="517"/>
      <c r="F4" s="517"/>
      <c r="G4" s="517"/>
      <c r="H4" s="517"/>
      <c r="I4" s="77"/>
      <c r="J4" s="355"/>
      <c r="K4" s="517"/>
      <c r="L4" s="517"/>
      <c r="M4" s="517"/>
      <c r="N4" s="517"/>
      <c r="O4" s="77"/>
      <c r="P4" s="4077"/>
      <c r="Q4" s="3993"/>
      <c r="R4" s="1368"/>
      <c r="S4" s="1368"/>
    </row>
    <row r="5" spans="1:19">
      <c r="A5" s="77"/>
      <c r="B5" s="77"/>
      <c r="C5" s="77"/>
      <c r="D5" s="77"/>
      <c r="E5" s="4075" t="e">
        <f>#REF!</f>
        <v>#REF!</v>
      </c>
      <c r="F5" s="4075"/>
      <c r="G5" s="4075"/>
      <c r="H5" s="4075"/>
      <c r="I5" s="4075"/>
      <c r="J5" s="355"/>
      <c r="K5" s="2788"/>
      <c r="L5" s="1369" t="s">
        <v>2398</v>
      </c>
      <c r="M5" s="1370" t="e">
        <f>#REF!</f>
        <v>#REF!</v>
      </c>
      <c r="N5" s="1371"/>
      <c r="O5" s="2789"/>
      <c r="P5" s="4078"/>
      <c r="Q5" s="3994"/>
      <c r="R5" s="1187"/>
      <c r="S5" s="1187"/>
    </row>
    <row r="6" spans="1:19" ht="17.25" customHeight="1">
      <c r="A6" s="61" t="s">
        <v>2399</v>
      </c>
      <c r="B6" s="77"/>
      <c r="C6" s="77"/>
      <c r="D6" s="77"/>
      <c r="E6" s="77"/>
      <c r="F6" s="77"/>
      <c r="G6" s="77"/>
      <c r="H6" s="77"/>
      <c r="I6" s="355"/>
      <c r="J6" s="355"/>
      <c r="K6" s="4074" t="s">
        <v>2400</v>
      </c>
      <c r="L6" s="4074"/>
      <c r="M6" s="4074"/>
      <c r="N6" s="4074"/>
      <c r="O6" s="4726"/>
      <c r="P6" s="4069"/>
      <c r="Q6" s="4070"/>
      <c r="R6" s="1187"/>
      <c r="S6" s="1187"/>
    </row>
    <row r="7" spans="1:19" ht="12.6" customHeight="1">
      <c r="A7" s="62" t="s">
        <v>1424</v>
      </c>
      <c r="B7" s="77"/>
      <c r="C7" s="77"/>
      <c r="D7" s="77"/>
      <c r="E7" s="77"/>
      <c r="F7" s="77"/>
      <c r="G7" s="77"/>
      <c r="H7" s="755"/>
      <c r="I7" s="1367"/>
      <c r="J7" s="1367"/>
      <c r="K7" s="755"/>
      <c r="L7" s="755"/>
      <c r="M7" s="517"/>
      <c r="N7" s="517"/>
      <c r="O7" s="77"/>
      <c r="P7" s="77"/>
      <c r="Q7" s="77"/>
      <c r="R7" s="77"/>
      <c r="S7" s="77"/>
    </row>
    <row r="8" spans="1:19" ht="23.25" customHeight="1">
      <c r="A8" s="4071" t="s">
        <v>1425</v>
      </c>
      <c r="B8" s="4072"/>
      <c r="C8" s="4072"/>
      <c r="D8" s="4072"/>
      <c r="E8" s="4072"/>
      <c r="F8" s="4072"/>
      <c r="G8" s="4072"/>
      <c r="H8" s="4072"/>
      <c r="I8" s="4072"/>
      <c r="J8" s="4072"/>
      <c r="K8" s="4072"/>
      <c r="L8" s="4072"/>
      <c r="M8" s="4072"/>
      <c r="N8" s="4072"/>
      <c r="O8" s="4072"/>
      <c r="P8" s="4072"/>
      <c r="Q8" s="4073"/>
      <c r="R8" s="2877" t="s">
        <v>261</v>
      </c>
      <c r="S8" s="2843"/>
    </row>
    <row r="9" spans="1:19" ht="23.25" customHeight="1">
      <c r="A9" s="4050" t="s">
        <v>1426</v>
      </c>
      <c r="B9" s="4051"/>
      <c r="C9" s="4051"/>
      <c r="D9" s="4051"/>
      <c r="E9" s="4051"/>
      <c r="F9" s="4051"/>
      <c r="G9" s="4051"/>
      <c r="H9" s="4051"/>
      <c r="I9" s="4051"/>
      <c r="J9" s="4051"/>
      <c r="K9" s="4051"/>
      <c r="L9" s="4051"/>
      <c r="M9" s="4051"/>
      <c r="N9" s="4051"/>
      <c r="O9" s="4051"/>
      <c r="P9" s="4051"/>
      <c r="Q9" s="4052"/>
      <c r="R9" s="2877"/>
      <c r="S9" s="2843"/>
    </row>
    <row r="10" spans="1:19" ht="23.25" customHeight="1">
      <c r="A10" s="4050" t="s">
        <v>1427</v>
      </c>
      <c r="B10" s="4051"/>
      <c r="C10" s="4051"/>
      <c r="D10" s="4051"/>
      <c r="E10" s="4051"/>
      <c r="F10" s="4051"/>
      <c r="G10" s="4051"/>
      <c r="H10" s="4051"/>
      <c r="I10" s="4051"/>
      <c r="J10" s="4051"/>
      <c r="K10" s="4051"/>
      <c r="L10" s="4051"/>
      <c r="M10" s="4051"/>
      <c r="N10" s="4051"/>
      <c r="O10" s="4051"/>
      <c r="P10" s="4051"/>
      <c r="Q10" s="4052"/>
      <c r="R10" s="2877"/>
      <c r="S10" s="2843"/>
    </row>
    <row r="11" spans="1:19" ht="23.25" customHeight="1">
      <c r="A11" s="4050" t="s">
        <v>1428</v>
      </c>
      <c r="B11" s="4051"/>
      <c r="C11" s="4051"/>
      <c r="D11" s="4051"/>
      <c r="E11" s="4051"/>
      <c r="F11" s="4051"/>
      <c r="G11" s="4051"/>
      <c r="H11" s="4051"/>
      <c r="I11" s="4051"/>
      <c r="J11" s="4051"/>
      <c r="K11" s="4051"/>
      <c r="L11" s="4051"/>
      <c r="M11" s="4051"/>
      <c r="N11" s="4051"/>
      <c r="O11" s="4051"/>
      <c r="P11" s="4051"/>
      <c r="Q11" s="4052"/>
      <c r="R11" s="2877"/>
      <c r="S11" s="2843"/>
    </row>
    <row r="12" spans="1:19" ht="23.25" customHeight="1">
      <c r="A12" s="4050" t="s">
        <v>1429</v>
      </c>
      <c r="B12" s="4051"/>
      <c r="C12" s="4051"/>
      <c r="D12" s="4051"/>
      <c r="E12" s="4051"/>
      <c r="F12" s="4051"/>
      <c r="G12" s="4051"/>
      <c r="H12" s="4051"/>
      <c r="I12" s="4051"/>
      <c r="J12" s="4051"/>
      <c r="K12" s="4051"/>
      <c r="L12" s="4051"/>
      <c r="M12" s="4051"/>
      <c r="N12" s="4051"/>
      <c r="O12" s="4051"/>
      <c r="P12" s="4051"/>
      <c r="Q12" s="4052"/>
      <c r="R12" s="2510"/>
      <c r="S12" s="2510"/>
    </row>
    <row r="13" spans="1:19" ht="23.25" customHeight="1">
      <c r="A13" s="4050" t="s">
        <v>1430</v>
      </c>
      <c r="B13" s="4051"/>
      <c r="C13" s="4051"/>
      <c r="D13" s="4051"/>
      <c r="E13" s="4051"/>
      <c r="F13" s="4051"/>
      <c r="G13" s="4051"/>
      <c r="H13" s="4051"/>
      <c r="I13" s="4051"/>
      <c r="J13" s="4051"/>
      <c r="K13" s="4051"/>
      <c r="L13" s="4051"/>
      <c r="M13" s="4051"/>
      <c r="N13" s="4051"/>
      <c r="O13" s="4051"/>
      <c r="P13" s="4051"/>
      <c r="Q13" s="4052"/>
      <c r="R13" s="2510"/>
      <c r="S13" s="2510"/>
    </row>
    <row r="14" spans="1:19" ht="23.25" customHeight="1">
      <c r="A14" s="4050" t="s">
        <v>1431</v>
      </c>
      <c r="B14" s="4051"/>
      <c r="C14" s="4051"/>
      <c r="D14" s="4051"/>
      <c r="E14" s="4051"/>
      <c r="F14" s="4051"/>
      <c r="G14" s="4051"/>
      <c r="H14" s="4051"/>
      <c r="I14" s="4051"/>
      <c r="J14" s="4051"/>
      <c r="K14" s="4051"/>
      <c r="L14" s="4051"/>
      <c r="M14" s="4051"/>
      <c r="N14" s="4051"/>
      <c r="O14" s="4051"/>
      <c r="P14" s="4051"/>
      <c r="Q14" s="4052"/>
      <c r="R14" s="77"/>
      <c r="S14" s="77"/>
    </row>
    <row r="15" spans="1:19" ht="11.25" customHeight="1">
      <c r="A15" s="4050" t="s">
        <v>1432</v>
      </c>
      <c r="B15" s="4051"/>
      <c r="C15" s="4051"/>
      <c r="D15" s="4051"/>
      <c r="E15" s="4051"/>
      <c r="F15" s="4051"/>
      <c r="G15" s="4051"/>
      <c r="H15" s="4051"/>
      <c r="I15" s="4051"/>
      <c r="J15" s="4051"/>
      <c r="K15" s="4051"/>
      <c r="L15" s="4051"/>
      <c r="M15" s="4051"/>
      <c r="N15" s="4051"/>
      <c r="O15" s="4051"/>
      <c r="P15" s="4051"/>
      <c r="Q15" s="4052"/>
      <c r="R15" s="2877"/>
      <c r="S15" s="2843"/>
    </row>
    <row r="16" spans="1:19" ht="11.25" customHeight="1">
      <c r="A16" s="4050" t="s">
        <v>1433</v>
      </c>
      <c r="B16" s="4051"/>
      <c r="C16" s="4051"/>
      <c r="D16" s="4051"/>
      <c r="E16" s="4051"/>
      <c r="F16" s="4051"/>
      <c r="G16" s="4051"/>
      <c r="H16" s="4051"/>
      <c r="I16" s="4051"/>
      <c r="J16" s="4051"/>
      <c r="K16" s="4051"/>
      <c r="L16" s="4051"/>
      <c r="M16" s="4051"/>
      <c r="N16" s="4051"/>
      <c r="O16" s="4051"/>
      <c r="P16" s="4051"/>
      <c r="Q16" s="4052"/>
      <c r="R16" s="2877"/>
      <c r="S16" s="2843"/>
    </row>
    <row r="17" spans="1:31" ht="11.25" customHeight="1">
      <c r="A17" s="4050" t="s">
        <v>1434</v>
      </c>
      <c r="B17" s="4051"/>
      <c r="C17" s="4051"/>
      <c r="D17" s="4051"/>
      <c r="E17" s="4051"/>
      <c r="F17" s="4051"/>
      <c r="G17" s="4051"/>
      <c r="H17" s="4051"/>
      <c r="I17" s="4051"/>
      <c r="J17" s="4051"/>
      <c r="K17" s="4051"/>
      <c r="L17" s="4051"/>
      <c r="M17" s="4051"/>
      <c r="N17" s="4051"/>
      <c r="O17" s="4051"/>
      <c r="P17" s="4051"/>
      <c r="Q17" s="4052"/>
      <c r="R17" s="2877"/>
      <c r="S17" s="2843"/>
      <c r="T17" s="77"/>
      <c r="U17" s="77"/>
      <c r="V17" s="77"/>
      <c r="W17" s="77"/>
      <c r="X17" s="77"/>
      <c r="Y17" s="77"/>
      <c r="Z17" s="77"/>
      <c r="AA17" s="77"/>
      <c r="AB17" s="77"/>
      <c r="AC17" s="77"/>
      <c r="AD17" s="77"/>
      <c r="AE17" s="77"/>
    </row>
    <row r="18" spans="1:31" ht="11.25" customHeight="1">
      <c r="A18" s="4050" t="s">
        <v>1435</v>
      </c>
      <c r="B18" s="4051"/>
      <c r="C18" s="4051"/>
      <c r="D18" s="4051"/>
      <c r="E18" s="4051"/>
      <c r="F18" s="4051"/>
      <c r="G18" s="4051"/>
      <c r="H18" s="4051"/>
      <c r="I18" s="4051"/>
      <c r="J18" s="4051"/>
      <c r="K18" s="4051"/>
      <c r="L18" s="4051"/>
      <c r="M18" s="4051"/>
      <c r="N18" s="4051"/>
      <c r="O18" s="4051"/>
      <c r="P18" s="4051"/>
      <c r="Q18" s="4052"/>
      <c r="R18" s="2877"/>
      <c r="S18" s="2843"/>
      <c r="T18" s="77"/>
      <c r="U18" s="77"/>
      <c r="V18" s="77"/>
      <c r="W18" s="77"/>
      <c r="X18" s="77"/>
      <c r="Y18" s="77"/>
      <c r="Z18" s="77"/>
      <c r="AA18" s="77"/>
      <c r="AB18" s="77"/>
      <c r="AC18" s="77"/>
      <c r="AD18" s="77"/>
      <c r="AE18" s="77"/>
    </row>
    <row r="19" spans="1:31" ht="11.25" customHeight="1">
      <c r="A19" s="4050" t="s">
        <v>1436</v>
      </c>
      <c r="B19" s="4051"/>
      <c r="C19" s="4051"/>
      <c r="D19" s="4051"/>
      <c r="E19" s="4051"/>
      <c r="F19" s="4051"/>
      <c r="G19" s="4051"/>
      <c r="H19" s="4051"/>
      <c r="I19" s="4051"/>
      <c r="J19" s="4051"/>
      <c r="K19" s="4051"/>
      <c r="L19" s="4051"/>
      <c r="M19" s="4051"/>
      <c r="N19" s="4051"/>
      <c r="O19" s="4051"/>
      <c r="P19" s="4051"/>
      <c r="Q19" s="4052"/>
      <c r="R19" s="2877"/>
      <c r="S19" s="2843"/>
      <c r="T19" s="77"/>
      <c r="U19" s="77"/>
      <c r="V19" s="77"/>
      <c r="W19" s="77"/>
      <c r="X19" s="77"/>
      <c r="Y19" s="77"/>
      <c r="Z19" s="77"/>
      <c r="AA19" s="77"/>
      <c r="AB19" s="77"/>
      <c r="AC19" s="77"/>
      <c r="AD19" s="77"/>
      <c r="AE19" s="77"/>
    </row>
    <row r="20" spans="1:31" ht="11.25" customHeight="1">
      <c r="A20" s="4050" t="s">
        <v>1437</v>
      </c>
      <c r="B20" s="4051"/>
      <c r="C20" s="4051"/>
      <c r="D20" s="4051"/>
      <c r="E20" s="4051"/>
      <c r="F20" s="4051"/>
      <c r="G20" s="4051"/>
      <c r="H20" s="4051"/>
      <c r="I20" s="4051"/>
      <c r="J20" s="4051"/>
      <c r="K20" s="4051"/>
      <c r="L20" s="4051"/>
      <c r="M20" s="4051"/>
      <c r="N20" s="4051"/>
      <c r="O20" s="4051"/>
      <c r="P20" s="4051"/>
      <c r="Q20" s="4052"/>
      <c r="R20" s="2877"/>
      <c r="S20" s="2843"/>
      <c r="T20" s="77"/>
      <c r="U20" s="77"/>
      <c r="V20" s="77"/>
      <c r="W20" s="77"/>
      <c r="X20" s="77"/>
      <c r="Y20" s="77"/>
      <c r="Z20" s="77"/>
      <c r="AA20" s="77"/>
      <c r="AB20" s="77"/>
      <c r="AC20" s="77"/>
      <c r="AD20" s="77"/>
      <c r="AE20" s="77"/>
    </row>
    <row r="21" spans="1:31" ht="11.25" customHeight="1">
      <c r="A21" s="4050" t="s">
        <v>1438</v>
      </c>
      <c r="B21" s="4051"/>
      <c r="C21" s="4051"/>
      <c r="D21" s="4051"/>
      <c r="E21" s="4051"/>
      <c r="F21" s="4051"/>
      <c r="G21" s="4051"/>
      <c r="H21" s="4051"/>
      <c r="I21" s="4051"/>
      <c r="J21" s="4051"/>
      <c r="K21" s="4051"/>
      <c r="L21" s="4051"/>
      <c r="M21" s="4051"/>
      <c r="N21" s="4051"/>
      <c r="O21" s="4051"/>
      <c r="P21" s="4051"/>
      <c r="Q21" s="4052"/>
      <c r="R21" s="77"/>
      <c r="S21" s="77"/>
      <c r="T21" s="77"/>
      <c r="U21" s="77"/>
      <c r="V21" s="77"/>
      <c r="W21" s="77"/>
      <c r="X21" s="77"/>
      <c r="Y21" s="77"/>
      <c r="Z21" s="77"/>
      <c r="AA21" s="77"/>
      <c r="AB21" s="77"/>
      <c r="AC21" s="77"/>
      <c r="AD21" s="77"/>
      <c r="AE21" s="77"/>
    </row>
    <row r="22" spans="1:31" ht="11.25" customHeight="1">
      <c r="A22" s="4050" t="s">
        <v>1439</v>
      </c>
      <c r="B22" s="4051"/>
      <c r="C22" s="4051"/>
      <c r="D22" s="4051"/>
      <c r="E22" s="4051"/>
      <c r="F22" s="4051"/>
      <c r="G22" s="4051"/>
      <c r="H22" s="4051"/>
      <c r="I22" s="4051"/>
      <c r="J22" s="4051"/>
      <c r="K22" s="4051"/>
      <c r="L22" s="4051"/>
      <c r="M22" s="4051"/>
      <c r="N22" s="4051"/>
      <c r="O22" s="4051"/>
      <c r="P22" s="4051"/>
      <c r="Q22" s="4052"/>
      <c r="R22" s="2877"/>
      <c r="S22" s="2843"/>
      <c r="T22" s="77"/>
      <c r="U22" s="77"/>
      <c r="V22" s="77"/>
      <c r="W22" s="77"/>
      <c r="X22" s="77"/>
      <c r="Y22" s="77"/>
      <c r="Z22" s="77"/>
      <c r="AA22" s="77"/>
      <c r="AB22" s="77"/>
      <c r="AC22" s="77"/>
      <c r="AD22" s="77"/>
      <c r="AE22" s="77"/>
    </row>
    <row r="23" spans="1:31" ht="11.25" customHeight="1">
      <c r="A23" s="4050" t="s">
        <v>1440</v>
      </c>
      <c r="B23" s="4051"/>
      <c r="C23" s="4051"/>
      <c r="D23" s="4051"/>
      <c r="E23" s="4051"/>
      <c r="F23" s="4051"/>
      <c r="G23" s="4051"/>
      <c r="H23" s="4051"/>
      <c r="I23" s="4051"/>
      <c r="J23" s="4051"/>
      <c r="K23" s="4051"/>
      <c r="L23" s="4051"/>
      <c r="M23" s="4051"/>
      <c r="N23" s="4051"/>
      <c r="O23" s="4051"/>
      <c r="P23" s="4051"/>
      <c r="Q23" s="4052"/>
      <c r="R23" s="2877"/>
      <c r="S23" s="2843"/>
      <c r="T23" s="77"/>
      <c r="U23" s="77"/>
      <c r="V23" s="77"/>
      <c r="W23" s="77"/>
      <c r="X23" s="77"/>
      <c r="Y23" s="77"/>
      <c r="Z23" s="77"/>
      <c r="AA23" s="77"/>
      <c r="AB23" s="77"/>
      <c r="AC23" s="77"/>
      <c r="AD23" s="77"/>
      <c r="AE23" s="77"/>
    </row>
    <row r="24" spans="1:31" ht="11.25" customHeight="1">
      <c r="A24" s="4050" t="s">
        <v>1441</v>
      </c>
      <c r="B24" s="4051"/>
      <c r="C24" s="4051"/>
      <c r="D24" s="4051"/>
      <c r="E24" s="4051"/>
      <c r="F24" s="4051"/>
      <c r="G24" s="4051"/>
      <c r="H24" s="4051"/>
      <c r="I24" s="4051"/>
      <c r="J24" s="4051"/>
      <c r="K24" s="4051"/>
      <c r="L24" s="4051"/>
      <c r="M24" s="4051"/>
      <c r="N24" s="4051"/>
      <c r="O24" s="4051"/>
      <c r="P24" s="4051"/>
      <c r="Q24" s="4052"/>
      <c r="R24" s="2877"/>
      <c r="S24" s="2843"/>
      <c r="T24" s="77"/>
      <c r="U24" s="77"/>
      <c r="V24" s="77"/>
      <c r="W24" s="77"/>
      <c r="X24" s="77"/>
      <c r="Y24" s="77"/>
      <c r="Z24" s="77"/>
      <c r="AA24" s="77"/>
      <c r="AB24" s="77"/>
      <c r="AC24" s="77"/>
      <c r="AD24" s="77"/>
      <c r="AE24" s="77"/>
    </row>
    <row r="25" spans="1:31" ht="11.25" customHeight="1">
      <c r="A25" s="4079" t="s">
        <v>1442</v>
      </c>
      <c r="B25" s="4080"/>
      <c r="C25" s="4080"/>
      <c r="D25" s="4080"/>
      <c r="E25" s="4080"/>
      <c r="F25" s="4080"/>
      <c r="G25" s="4080"/>
      <c r="H25" s="4080"/>
      <c r="I25" s="4080"/>
      <c r="J25" s="4080"/>
      <c r="K25" s="4080"/>
      <c r="L25" s="4080"/>
      <c r="M25" s="4080"/>
      <c r="N25" s="4080"/>
      <c r="O25" s="4080"/>
      <c r="P25" s="4080"/>
      <c r="Q25" s="4081"/>
      <c r="R25" s="2877"/>
      <c r="S25" s="2843"/>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1443</v>
      </c>
      <c r="C27" s="65"/>
      <c r="D27" s="38"/>
      <c r="E27" s="38"/>
      <c r="F27" s="38"/>
      <c r="G27" s="38"/>
      <c r="H27" s="77"/>
      <c r="I27" s="2584"/>
      <c r="J27" s="2584"/>
      <c r="K27" s="2584"/>
      <c r="L27" s="517"/>
      <c r="M27" s="517"/>
      <c r="N27" s="77"/>
      <c r="O27" s="66" t="s">
        <v>1444</v>
      </c>
      <c r="P27" s="4014"/>
      <c r="Q27" s="4003"/>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1450</v>
      </c>
      <c r="C29" s="23"/>
      <c r="D29" s="23"/>
      <c r="E29" s="23"/>
      <c r="F29" s="23"/>
      <c r="G29" s="2584"/>
      <c r="H29" s="2584"/>
      <c r="I29" s="2584"/>
      <c r="J29" s="2584"/>
      <c r="K29" s="517"/>
      <c r="L29" s="517"/>
      <c r="M29" s="517"/>
      <c r="N29" s="517"/>
      <c r="O29" s="517"/>
      <c r="P29" s="517"/>
      <c r="Q29" s="77"/>
      <c r="R29" s="77"/>
      <c r="S29" s="82"/>
      <c r="T29" s="82"/>
      <c r="U29" s="77"/>
      <c r="V29" s="77"/>
      <c r="W29" s="77"/>
      <c r="X29" s="77"/>
      <c r="Y29" s="77"/>
      <c r="Z29" s="77"/>
      <c r="AA29" s="77"/>
      <c r="AB29" s="77"/>
      <c r="AC29" s="77"/>
      <c r="AD29" s="77"/>
      <c r="AE29" s="77"/>
    </row>
    <row r="30" spans="1:31" ht="108.75" customHeight="1">
      <c r="A30" s="3995"/>
      <c r="B30" s="3996"/>
      <c r="C30" s="3996"/>
      <c r="D30" s="3996"/>
      <c r="E30" s="3996"/>
      <c r="F30" s="3996"/>
      <c r="G30" s="3996"/>
      <c r="H30" s="3996"/>
      <c r="I30" s="3996"/>
      <c r="J30" s="3996"/>
      <c r="K30" s="3996"/>
      <c r="L30" s="3996"/>
      <c r="M30" s="3996"/>
      <c r="N30" s="3996"/>
      <c r="O30" s="3996"/>
      <c r="P30" s="3996"/>
      <c r="Q30" s="3997"/>
      <c r="R30" s="248" t="s">
        <v>2401</v>
      </c>
      <c r="S30" s="249"/>
      <c r="T30" s="82"/>
      <c r="U30" s="69"/>
      <c r="V30" s="69"/>
      <c r="W30" s="69"/>
      <c r="X30" s="69"/>
      <c r="Y30" s="69"/>
      <c r="Z30" s="69"/>
      <c r="AA30" s="69"/>
      <c r="AB30" s="69"/>
      <c r="AC30" s="69"/>
      <c r="AD30" s="69"/>
      <c r="AE30" s="69"/>
    </row>
    <row r="31" spans="1:31" ht="11.25" customHeight="1">
      <c r="A31" s="77"/>
      <c r="B31" s="70" t="s">
        <v>1447</v>
      </c>
      <c r="C31" s="71"/>
      <c r="D31" s="2574"/>
      <c r="E31" s="2574"/>
      <c r="F31" s="2574"/>
      <c r="G31" s="2574"/>
      <c r="H31" s="2574"/>
      <c r="I31" s="2574"/>
      <c r="J31" s="2574"/>
      <c r="K31" s="2574"/>
      <c r="L31" s="2574"/>
      <c r="M31" s="2574"/>
      <c r="N31" s="2574"/>
      <c r="O31" s="2574"/>
      <c r="P31" s="2574"/>
      <c r="Q31" s="77"/>
      <c r="R31" s="77"/>
      <c r="S31" s="77"/>
      <c r="T31" s="77"/>
      <c r="U31" s="77"/>
      <c r="V31" s="77"/>
      <c r="W31" s="77"/>
      <c r="X31" s="77"/>
      <c r="Y31" s="77"/>
      <c r="Z31" s="77"/>
      <c r="AA31" s="77"/>
      <c r="AB31" s="77"/>
      <c r="AC31" s="77"/>
      <c r="AD31" s="77"/>
      <c r="AE31" s="77"/>
    </row>
    <row r="32" spans="1:31" ht="36" customHeight="1">
      <c r="A32" s="4087"/>
      <c r="B32" s="4087"/>
      <c r="C32" s="4087"/>
      <c r="D32" s="4087"/>
      <c r="E32" s="4087"/>
      <c r="F32" s="4087"/>
      <c r="G32" s="4087"/>
      <c r="H32" s="4087"/>
      <c r="I32" s="4087"/>
      <c r="J32" s="4087"/>
      <c r="K32" s="4087"/>
      <c r="L32" s="4087"/>
      <c r="M32" s="4087"/>
      <c r="N32" s="4087"/>
      <c r="O32" s="4087"/>
      <c r="P32" s="4087"/>
      <c r="Q32" s="4087"/>
      <c r="R32" s="248" t="s">
        <v>2401</v>
      </c>
      <c r="S32" s="249"/>
      <c r="T32" s="77"/>
      <c r="U32" s="77"/>
      <c r="V32" s="77"/>
      <c r="W32" s="77"/>
      <c r="X32" s="77"/>
      <c r="Y32" s="77"/>
      <c r="Z32" s="77"/>
      <c r="AA32" s="77"/>
      <c r="AB32" s="77"/>
      <c r="AC32" s="77"/>
      <c r="AD32" s="77"/>
      <c r="AE32" s="77"/>
    </row>
    <row r="33" spans="1:31" ht="4.5" customHeight="1">
      <c r="A33" s="77"/>
      <c r="B33" s="2584"/>
      <c r="C33" s="2574"/>
      <c r="D33" s="2574"/>
      <c r="E33" s="2574"/>
      <c r="F33" s="2574"/>
      <c r="G33" s="2574"/>
      <c r="H33" s="2574"/>
      <c r="I33" s="2574"/>
      <c r="J33" s="2574"/>
      <c r="K33" s="2574"/>
      <c r="L33" s="2574"/>
      <c r="M33" s="2574"/>
      <c r="N33" s="2574"/>
      <c r="O33" s="2574"/>
      <c r="P33" s="2574"/>
      <c r="Q33" s="517"/>
      <c r="R33" s="77"/>
      <c r="S33" s="77"/>
      <c r="T33" s="77"/>
      <c r="U33" s="77"/>
      <c r="V33" s="77"/>
      <c r="W33" s="77"/>
      <c r="X33" s="77"/>
      <c r="Y33" s="77"/>
      <c r="Z33" s="77"/>
      <c r="AA33" s="77"/>
      <c r="AB33" s="77"/>
      <c r="AC33" s="77"/>
      <c r="AD33" s="77"/>
      <c r="AE33" s="77"/>
    </row>
    <row r="34" spans="1:31" ht="12.75" customHeight="1">
      <c r="A34" s="2536" t="s">
        <v>32</v>
      </c>
      <c r="B34" s="3" t="s">
        <v>1448</v>
      </c>
      <c r="C34" s="3"/>
      <c r="D34" s="3"/>
      <c r="E34" s="2574"/>
      <c r="F34" s="2574"/>
      <c r="G34" s="1241"/>
      <c r="H34" s="77"/>
      <c r="I34" s="77"/>
      <c r="J34" s="77"/>
      <c r="K34" s="77"/>
      <c r="L34" s="77"/>
      <c r="M34" s="77"/>
      <c r="N34" s="77"/>
      <c r="O34" s="66" t="s">
        <v>1444</v>
      </c>
      <c r="P34" s="4014"/>
      <c r="Q34" s="4003"/>
      <c r="R34" s="77"/>
      <c r="S34" s="77"/>
      <c r="T34" s="77"/>
      <c r="U34" s="77"/>
      <c r="V34" s="77"/>
      <c r="W34" s="77"/>
      <c r="X34" s="77"/>
      <c r="Y34" s="77"/>
      <c r="Z34" s="77"/>
      <c r="AA34" s="77"/>
      <c r="AB34" s="77"/>
      <c r="AC34" s="77"/>
      <c r="AD34" s="77"/>
      <c r="AE34" s="77"/>
    </row>
    <row r="35" spans="1:31" ht="12.75" customHeight="1">
      <c r="A35" s="2536"/>
      <c r="B35" s="73" t="s">
        <v>2402</v>
      </c>
      <c r="C35" s="3"/>
      <c r="D35" s="3"/>
      <c r="E35" s="2574"/>
      <c r="F35" s="2574"/>
      <c r="G35" s="77"/>
      <c r="H35" s="2574"/>
      <c r="I35" s="77"/>
      <c r="J35" s="2858" t="s">
        <v>2403</v>
      </c>
      <c r="K35" s="2859"/>
      <c r="L35" s="2860"/>
      <c r="M35" s="98" t="s">
        <v>2404</v>
      </c>
      <c r="N35" s="4145"/>
      <c r="O35" s="4146"/>
      <c r="P35" s="4146"/>
      <c r="Q35" s="4147"/>
      <c r="R35" s="77"/>
      <c r="S35" s="77"/>
      <c r="T35" s="77"/>
      <c r="U35" s="77"/>
      <c r="V35" s="77"/>
      <c r="W35" s="77"/>
      <c r="X35" s="77"/>
      <c r="Y35" s="77"/>
      <c r="Z35" s="77"/>
      <c r="AA35" s="77"/>
      <c r="AB35" s="77"/>
      <c r="AC35" s="77"/>
      <c r="AD35" s="77"/>
      <c r="AE35" s="77"/>
    </row>
    <row r="36" spans="1:31" ht="12.75" customHeight="1">
      <c r="A36" s="2536"/>
      <c r="B36" s="73" t="s">
        <v>2405</v>
      </c>
      <c r="C36" s="3"/>
      <c r="D36" s="3"/>
      <c r="E36" s="2574"/>
      <c r="F36" s="2574"/>
      <c r="G36" s="1241"/>
      <c r="H36" s="2574"/>
      <c r="I36" s="77"/>
      <c r="J36" s="2858" t="s">
        <v>2406</v>
      </c>
      <c r="K36" s="2859"/>
      <c r="L36" s="2860"/>
      <c r="M36" s="98" t="s">
        <v>2404</v>
      </c>
      <c r="N36" s="4145"/>
      <c r="O36" s="4146"/>
      <c r="P36" s="4146"/>
      <c r="Q36" s="4147"/>
      <c r="R36" s="77"/>
      <c r="S36" s="77"/>
      <c r="T36" s="77"/>
      <c r="U36" s="77"/>
      <c r="V36" s="77"/>
      <c r="W36" s="77"/>
      <c r="X36" s="77"/>
      <c r="Y36" s="77"/>
      <c r="Z36" s="77"/>
      <c r="AA36" s="77"/>
      <c r="AB36" s="77"/>
      <c r="AC36" s="77"/>
      <c r="AD36" s="77"/>
      <c r="AE36" s="77"/>
    </row>
    <row r="37" spans="1:31" ht="12.75" customHeight="1">
      <c r="A37" s="77"/>
      <c r="B37" s="44" t="s">
        <v>1450</v>
      </c>
      <c r="C37" s="77"/>
      <c r="D37" s="44"/>
      <c r="E37" s="44"/>
      <c r="F37" s="44"/>
      <c r="G37" s="44"/>
      <c r="H37" s="16"/>
      <c r="I37" s="2584"/>
      <c r="J37" s="2584"/>
      <c r="K37" s="1336" t="s">
        <v>1447</v>
      </c>
      <c r="L37" s="517"/>
      <c r="M37" s="517"/>
      <c r="N37" s="517"/>
      <c r="O37" s="517"/>
      <c r="P37" s="517"/>
      <c r="Q37" s="517"/>
      <c r="R37" s="77"/>
      <c r="S37" s="77"/>
      <c r="T37" s="77"/>
      <c r="U37" s="77"/>
      <c r="V37" s="77"/>
      <c r="W37" s="77"/>
      <c r="X37" s="77"/>
      <c r="Y37" s="77"/>
      <c r="Z37" s="77"/>
      <c r="AA37" s="77"/>
      <c r="AB37" s="77"/>
      <c r="AC37" s="77"/>
      <c r="AD37" s="77"/>
      <c r="AE37" s="77"/>
    </row>
    <row r="38" spans="1:31" ht="10.5" customHeight="1">
      <c r="A38" s="3995"/>
      <c r="B38" s="3996"/>
      <c r="C38" s="3996"/>
      <c r="D38" s="3996"/>
      <c r="E38" s="3996"/>
      <c r="F38" s="3996"/>
      <c r="G38" s="3996"/>
      <c r="H38" s="3996"/>
      <c r="I38" s="3996"/>
      <c r="J38" s="3997"/>
      <c r="K38" s="3999"/>
      <c r="L38" s="4000"/>
      <c r="M38" s="4000"/>
      <c r="N38" s="4000"/>
      <c r="O38" s="4000"/>
      <c r="P38" s="4000"/>
      <c r="Q38" s="4001"/>
      <c r="R38" s="248" t="s">
        <v>2401</v>
      </c>
      <c r="S38" s="77"/>
      <c r="T38" s="77"/>
      <c r="U38" s="69"/>
      <c r="V38" s="69"/>
      <c r="W38" s="69"/>
      <c r="X38" s="69"/>
      <c r="Y38" s="69"/>
      <c r="Z38" s="69"/>
      <c r="AA38" s="69"/>
      <c r="AB38" s="69"/>
      <c r="AC38" s="69"/>
      <c r="AD38" s="69"/>
      <c r="AE38" s="69"/>
    </row>
    <row r="39" spans="1:31" ht="4.5" customHeight="1">
      <c r="A39" s="517"/>
      <c r="B39" s="2584"/>
      <c r="C39" s="2574"/>
      <c r="D39" s="2574"/>
      <c r="E39" s="2574"/>
      <c r="F39" s="2574"/>
      <c r="G39" s="2574"/>
      <c r="H39" s="2574"/>
      <c r="I39" s="2574"/>
      <c r="J39" s="2574"/>
      <c r="K39" s="2574"/>
      <c r="L39" s="2574"/>
      <c r="M39" s="2574"/>
      <c r="N39" s="2574"/>
      <c r="O39" s="2574"/>
      <c r="P39" s="2574"/>
      <c r="Q39" s="517"/>
      <c r="R39" s="77"/>
      <c r="S39" s="77"/>
      <c r="T39" s="77"/>
      <c r="U39" s="77"/>
      <c r="V39" s="77"/>
      <c r="W39" s="77"/>
      <c r="X39" s="77"/>
      <c r="Y39" s="77"/>
      <c r="Z39" s="77"/>
      <c r="AA39" s="77"/>
      <c r="AB39" s="77"/>
      <c r="AC39" s="77"/>
      <c r="AD39" s="77"/>
      <c r="AE39" s="77"/>
    </row>
    <row r="40" spans="1:31" ht="12.75" customHeight="1">
      <c r="A40" s="2536" t="s">
        <v>51</v>
      </c>
      <c r="B40" s="2536" t="s">
        <v>2407</v>
      </c>
      <c r="C40" s="56"/>
      <c r="D40" s="2574"/>
      <c r="E40" s="2574"/>
      <c r="F40" s="2574"/>
      <c r="G40" s="2574"/>
      <c r="H40" s="2574"/>
      <c r="I40" s="2574"/>
      <c r="J40" s="2574"/>
      <c r="K40" s="77"/>
      <c r="L40" s="961" t="s">
        <v>2408</v>
      </c>
      <c r="M40" s="962" t="s">
        <v>2409</v>
      </c>
      <c r="N40" s="77"/>
      <c r="O40" s="66" t="s">
        <v>1444</v>
      </c>
      <c r="P40" s="4014"/>
      <c r="Q40" s="4003"/>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197</v>
      </c>
      <c r="B42" s="3998" t="s">
        <v>2410</v>
      </c>
      <c r="C42" s="3998"/>
      <c r="D42" s="3998"/>
      <c r="E42" s="3998"/>
      <c r="F42" s="3998"/>
      <c r="G42" s="3998"/>
      <c r="H42" s="3998"/>
      <c r="I42" s="3998"/>
      <c r="J42" s="3998"/>
      <c r="K42" s="77"/>
      <c r="L42" s="241" t="s">
        <v>2411</v>
      </c>
      <c r="M42" s="2600">
        <v>2</v>
      </c>
      <c r="N42" s="73" t="s">
        <v>2412</v>
      </c>
      <c r="O42" s="77"/>
      <c r="P42" s="4034"/>
      <c r="Q42" s="4046"/>
      <c r="R42" s="77"/>
      <c r="S42" s="77"/>
      <c r="T42" s="77"/>
      <c r="U42" s="77"/>
      <c r="V42" s="77"/>
      <c r="W42" s="77"/>
      <c r="X42" s="77"/>
      <c r="Y42" s="77"/>
      <c r="Z42" s="77"/>
      <c r="AA42" s="77"/>
      <c r="AB42" s="77"/>
      <c r="AC42" s="77"/>
      <c r="AD42" s="77"/>
      <c r="AE42" s="77"/>
    </row>
    <row r="43" spans="1:31" ht="12" customHeight="1">
      <c r="A43" s="75"/>
      <c r="B43" s="3998"/>
      <c r="C43" s="3998"/>
      <c r="D43" s="3998"/>
      <c r="E43" s="3998"/>
      <c r="F43" s="3998"/>
      <c r="G43" s="3998"/>
      <c r="H43" s="3998"/>
      <c r="I43" s="3998"/>
      <c r="J43" s="3998"/>
      <c r="K43" s="77"/>
      <c r="L43" s="241" t="s">
        <v>2413</v>
      </c>
      <c r="M43" s="882">
        <v>4</v>
      </c>
      <c r="N43" s="77"/>
      <c r="O43" s="337"/>
      <c r="P43" s="4035"/>
      <c r="Q43" s="4047"/>
      <c r="R43" s="77"/>
      <c r="S43" s="77"/>
      <c r="T43" s="77"/>
      <c r="U43" s="77"/>
      <c r="V43" s="77"/>
      <c r="W43" s="77"/>
      <c r="X43" s="77"/>
      <c r="Y43" s="77"/>
      <c r="Z43" s="77"/>
      <c r="AA43" s="77"/>
      <c r="AB43" s="77"/>
      <c r="AC43" s="77"/>
      <c r="AD43" s="77"/>
      <c r="AE43" s="77"/>
    </row>
    <row r="44" spans="1:31" ht="12" customHeight="1">
      <c r="A44" s="75"/>
      <c r="B44" s="77"/>
      <c r="C44" s="77"/>
      <c r="D44" s="2574"/>
      <c r="E44" s="2574"/>
      <c r="F44" s="2574"/>
      <c r="G44" s="2574"/>
      <c r="H44" s="2574"/>
      <c r="I44" s="2574"/>
      <c r="J44" s="2574"/>
      <c r="K44" s="77"/>
      <c r="L44" s="266" t="s">
        <v>2414</v>
      </c>
      <c r="M44" s="882"/>
      <c r="N44" s="77"/>
      <c r="O44" s="337"/>
      <c r="P44" s="1146"/>
      <c r="Q44" s="1147"/>
      <c r="R44" s="77"/>
      <c r="S44" s="77"/>
      <c r="T44" s="77"/>
      <c r="U44" s="77"/>
      <c r="V44" s="77"/>
      <c r="W44" s="77"/>
      <c r="X44" s="77"/>
      <c r="Y44" s="77"/>
      <c r="Z44" s="77"/>
      <c r="AA44" s="77"/>
      <c r="AB44" s="77"/>
      <c r="AC44" s="77"/>
      <c r="AD44" s="77"/>
      <c r="AE44" s="77"/>
    </row>
    <row r="45" spans="1:31" ht="12" customHeight="1">
      <c r="A45" s="22" t="s">
        <v>209</v>
      </c>
      <c r="B45" s="73" t="s">
        <v>2415</v>
      </c>
      <c r="C45" s="73"/>
      <c r="D45" s="73"/>
      <c r="E45" s="73"/>
      <c r="F45" s="73"/>
      <c r="G45" s="73"/>
      <c r="H45" s="73"/>
      <c r="I45" s="73"/>
      <c r="J45" s="73"/>
      <c r="K45" s="337"/>
      <c r="L45" s="73"/>
      <c r="M45" s="77"/>
      <c r="N45" s="540"/>
      <c r="O45" s="540"/>
      <c r="P45" s="540"/>
      <c r="Q45" s="77"/>
      <c r="R45" s="77"/>
      <c r="S45" s="77"/>
      <c r="T45" s="77"/>
      <c r="U45" s="77"/>
      <c r="V45" s="77"/>
      <c r="W45" s="77"/>
      <c r="X45" s="77"/>
      <c r="Y45" s="77"/>
      <c r="Z45" s="77"/>
      <c r="AA45" s="77"/>
      <c r="AB45" s="77"/>
      <c r="AC45" s="77"/>
      <c r="AD45" s="77"/>
      <c r="AE45" s="77"/>
    </row>
    <row r="46" spans="1:31" ht="12.75" customHeight="1">
      <c r="A46" s="288"/>
      <c r="B46" s="266" t="s">
        <v>1521</v>
      </c>
      <c r="C46" s="73" t="s">
        <v>2416</v>
      </c>
      <c r="D46" s="854"/>
      <c r="E46" s="854"/>
      <c r="F46" s="854"/>
      <c r="G46" s="854"/>
      <c r="H46" s="854"/>
      <c r="I46" s="854"/>
      <c r="J46" s="854"/>
      <c r="K46" s="853"/>
      <c r="L46" s="73"/>
      <c r="M46" s="77"/>
      <c r="N46" s="73" t="s">
        <v>2417</v>
      </c>
      <c r="O46" s="540"/>
      <c r="P46" s="935"/>
      <c r="Q46" s="936"/>
      <c r="R46" s="77"/>
      <c r="S46" s="77"/>
      <c r="T46" s="77"/>
      <c r="U46" s="77"/>
      <c r="V46" s="77"/>
      <c r="W46" s="77"/>
      <c r="X46" s="77"/>
      <c r="Y46" s="77"/>
      <c r="Z46" s="77"/>
      <c r="AA46" s="77"/>
      <c r="AB46" s="77"/>
      <c r="AC46" s="77"/>
      <c r="AD46" s="77"/>
      <c r="AE46" s="77"/>
    </row>
    <row r="47" spans="1:31" ht="12.75" customHeight="1">
      <c r="A47" s="288"/>
      <c r="B47" s="266" t="s">
        <v>1524</v>
      </c>
      <c r="C47" s="73" t="s">
        <v>2418</v>
      </c>
      <c r="D47" s="854"/>
      <c r="E47" s="854"/>
      <c r="F47" s="854"/>
      <c r="G47" s="854"/>
      <c r="H47" s="854"/>
      <c r="I47" s="854"/>
      <c r="J47" s="854"/>
      <c r="K47" s="853"/>
      <c r="L47" s="73"/>
      <c r="M47" s="77"/>
      <c r="N47" s="73" t="s">
        <v>2419</v>
      </c>
      <c r="O47" s="540"/>
      <c r="P47" s="202"/>
      <c r="Q47" s="307"/>
      <c r="R47" s="77"/>
      <c r="S47" s="77"/>
      <c r="T47" s="77"/>
      <c r="U47" s="77"/>
      <c r="V47" s="77"/>
      <c r="W47" s="77"/>
      <c r="X47" s="77"/>
      <c r="Y47" s="77"/>
      <c r="Z47" s="77"/>
      <c r="AA47" s="77"/>
      <c r="AB47" s="77"/>
      <c r="AC47" s="77"/>
      <c r="AD47" s="77"/>
      <c r="AE47" s="77"/>
    </row>
    <row r="48" spans="1:31" ht="12.75" customHeight="1">
      <c r="A48" s="852"/>
      <c r="B48" s="266" t="s">
        <v>1526</v>
      </c>
      <c r="C48" s="73" t="s">
        <v>2420</v>
      </c>
      <c r="D48" s="77"/>
      <c r="E48" s="854"/>
      <c r="F48" s="854"/>
      <c r="G48" s="854"/>
      <c r="H48" s="854"/>
      <c r="I48" s="854"/>
      <c r="J48" s="854"/>
      <c r="K48" s="853"/>
      <c r="L48" s="73"/>
      <c r="M48" s="540"/>
      <c r="N48" s="73" t="s">
        <v>2421</v>
      </c>
      <c r="O48" s="540"/>
      <c r="P48" s="202"/>
      <c r="Q48" s="307"/>
      <c r="R48" s="77"/>
      <c r="S48" s="77"/>
      <c r="T48" s="77"/>
      <c r="U48" s="77"/>
      <c r="V48" s="77"/>
      <c r="W48" s="77"/>
      <c r="X48" s="77"/>
      <c r="Y48" s="77"/>
      <c r="Z48" s="77"/>
      <c r="AA48" s="77"/>
      <c r="AB48" s="77"/>
      <c r="AC48" s="77"/>
      <c r="AD48" s="77"/>
      <c r="AE48" s="77"/>
    </row>
    <row r="49" spans="1:31" ht="12.75" customHeight="1">
      <c r="A49" s="76"/>
      <c r="B49" s="266" t="s">
        <v>1528</v>
      </c>
      <c r="C49" s="266" t="s">
        <v>2422</v>
      </c>
      <c r="D49" s="68"/>
      <c r="E49" s="68"/>
      <c r="F49" s="68"/>
      <c r="G49" s="68"/>
      <c r="H49" s="68"/>
      <c r="I49" s="43"/>
      <c r="J49" s="43"/>
      <c r="K49" s="77"/>
      <c r="L49" s="77"/>
      <c r="M49" s="77"/>
      <c r="N49" s="73" t="s">
        <v>2423</v>
      </c>
      <c r="O49" s="540"/>
      <c r="P49" s="118"/>
      <c r="Q49" s="308"/>
      <c r="R49" s="77"/>
      <c r="S49" s="77"/>
      <c r="T49" s="77"/>
      <c r="U49" s="77"/>
      <c r="V49" s="77"/>
      <c r="W49" s="77"/>
      <c r="X49" s="77"/>
      <c r="Y49" s="77"/>
      <c r="Z49" s="77"/>
      <c r="AA49" s="77"/>
      <c r="AB49" s="77"/>
      <c r="AC49" s="77"/>
      <c r="AD49" s="77"/>
      <c r="AE49" s="77"/>
    </row>
    <row r="50" spans="1:31" ht="12.75" customHeight="1">
      <c r="A50" s="76"/>
      <c r="B50" s="266"/>
      <c r="C50" s="73" t="s">
        <v>2424</v>
      </c>
      <c r="D50" s="68"/>
      <c r="E50" s="68"/>
      <c r="F50" s="68"/>
      <c r="G50" s="68"/>
      <c r="H50" s="68"/>
      <c r="I50" s="43"/>
      <c r="J50" s="43"/>
      <c r="K50" s="77"/>
      <c r="L50" s="4057"/>
      <c r="M50" s="4058"/>
      <c r="N50" s="4058"/>
      <c r="O50" s="4058"/>
      <c r="P50" s="4058"/>
      <c r="Q50" s="4059"/>
      <c r="R50" s="77"/>
      <c r="S50" s="77"/>
      <c r="T50" s="77"/>
      <c r="U50" s="77"/>
      <c r="V50" s="77"/>
      <c r="W50" s="77"/>
      <c r="X50" s="77"/>
      <c r="Y50" s="77"/>
      <c r="Z50" s="77"/>
      <c r="AA50" s="77"/>
      <c r="AB50" s="77"/>
      <c r="AC50" s="77"/>
      <c r="AD50" s="77"/>
      <c r="AE50" s="77"/>
    </row>
    <row r="51" spans="1:31" ht="12.75" customHeight="1">
      <c r="A51" s="76"/>
      <c r="B51" s="266" t="s">
        <v>2316</v>
      </c>
      <c r="C51" s="3998" t="s">
        <v>2425</v>
      </c>
      <c r="D51" s="3998"/>
      <c r="E51" s="3998"/>
      <c r="F51" s="3998"/>
      <c r="G51" s="3998"/>
      <c r="H51" s="3998"/>
      <c r="I51" s="3998"/>
      <c r="J51" s="3998"/>
      <c r="K51" s="3998"/>
      <c r="L51" s="3998"/>
      <c r="M51" s="304"/>
      <c r="N51" s="73" t="s">
        <v>2426</v>
      </c>
      <c r="O51" s="540"/>
      <c r="P51" s="267"/>
      <c r="Q51" s="306"/>
      <c r="R51" s="77"/>
      <c r="S51" s="77"/>
      <c r="T51" s="77"/>
      <c r="U51" s="77"/>
      <c r="V51" s="77"/>
      <c r="W51" s="77"/>
      <c r="X51" s="77"/>
      <c r="Y51" s="77"/>
      <c r="Z51" s="77"/>
      <c r="AA51" s="77"/>
      <c r="AB51" s="77"/>
      <c r="AC51" s="77"/>
      <c r="AD51" s="77"/>
      <c r="AE51" s="77"/>
    </row>
    <row r="52" spans="1:31" ht="12.75" customHeight="1">
      <c r="A52" s="22"/>
      <c r="B52" s="77"/>
      <c r="C52" s="3998"/>
      <c r="D52" s="3998"/>
      <c r="E52" s="3998"/>
      <c r="F52" s="3998"/>
      <c r="G52" s="3998"/>
      <c r="H52" s="3998"/>
      <c r="I52" s="3998"/>
      <c r="J52" s="3998"/>
      <c r="K52" s="3998"/>
      <c r="L52" s="3998"/>
      <c r="M52" s="304"/>
      <c r="N52" s="77"/>
      <c r="O52" s="77"/>
      <c r="P52" s="77"/>
      <c r="Q52" s="77"/>
      <c r="R52" s="77"/>
      <c r="S52" s="77"/>
      <c r="T52" s="77"/>
      <c r="U52" s="77"/>
      <c r="V52" s="77"/>
      <c r="W52" s="77"/>
      <c r="X52" s="77"/>
      <c r="Y52" s="77"/>
      <c r="Z52" s="77"/>
      <c r="AA52" s="77"/>
      <c r="AB52" s="77"/>
      <c r="AC52" s="77"/>
      <c r="AD52" s="77"/>
      <c r="AE52" s="77"/>
    </row>
    <row r="53" spans="1:31" ht="10.5" customHeight="1">
      <c r="A53" s="77"/>
      <c r="B53" s="44" t="s">
        <v>1450</v>
      </c>
      <c r="C53" s="77"/>
      <c r="D53" s="44"/>
      <c r="E53" s="44"/>
      <c r="F53" s="44"/>
      <c r="G53" s="44"/>
      <c r="H53" s="16"/>
      <c r="I53" s="2584"/>
      <c r="J53" s="2584"/>
      <c r="K53" s="70" t="s">
        <v>1447</v>
      </c>
      <c r="L53" s="517"/>
      <c r="M53" s="517"/>
      <c r="N53" s="517"/>
      <c r="O53" s="517"/>
      <c r="P53" s="517"/>
      <c r="Q53" s="517"/>
      <c r="R53" s="77"/>
      <c r="S53" s="77"/>
      <c r="T53" s="77"/>
      <c r="U53" s="77"/>
      <c r="V53" s="77"/>
      <c r="W53" s="77"/>
      <c r="X53" s="77"/>
      <c r="Y53" s="77"/>
      <c r="Z53" s="77"/>
      <c r="AA53" s="77"/>
      <c r="AB53" s="77"/>
      <c r="AC53" s="77"/>
      <c r="AD53" s="77"/>
      <c r="AE53" s="77"/>
    </row>
    <row r="54" spans="1:31" ht="10.5" customHeight="1">
      <c r="A54" s="3995"/>
      <c r="B54" s="3996"/>
      <c r="C54" s="3996"/>
      <c r="D54" s="3996"/>
      <c r="E54" s="3996"/>
      <c r="F54" s="3996"/>
      <c r="G54" s="3996"/>
      <c r="H54" s="3996"/>
      <c r="I54" s="3996"/>
      <c r="J54" s="3997"/>
      <c r="K54" s="3999"/>
      <c r="L54" s="4000"/>
      <c r="M54" s="4000"/>
      <c r="N54" s="4000"/>
      <c r="O54" s="4000"/>
      <c r="P54" s="4000"/>
      <c r="Q54" s="4001"/>
      <c r="R54" s="248" t="s">
        <v>2401</v>
      </c>
      <c r="S54" s="77"/>
      <c r="T54" s="77"/>
      <c r="U54" s="69"/>
      <c r="V54" s="69"/>
      <c r="W54" s="69"/>
      <c r="X54" s="69"/>
      <c r="Y54" s="69"/>
      <c r="Z54" s="69"/>
      <c r="AA54" s="69"/>
      <c r="AB54" s="69"/>
      <c r="AC54" s="69"/>
      <c r="AD54" s="69"/>
      <c r="AE54" s="69"/>
    </row>
    <row r="55" spans="1:31" ht="4.5" customHeight="1">
      <c r="A55" s="517"/>
      <c r="B55" s="2584"/>
      <c r="C55" s="2574"/>
      <c r="D55" s="2574"/>
      <c r="E55" s="2574"/>
      <c r="F55" s="2574"/>
      <c r="G55" s="2574"/>
      <c r="H55" s="2574"/>
      <c r="I55" s="2574"/>
      <c r="J55" s="2574"/>
      <c r="K55" s="2574"/>
      <c r="L55" s="2574"/>
      <c r="M55" s="2574"/>
      <c r="N55" s="2574"/>
      <c r="O55" s="2574"/>
      <c r="P55" s="2574"/>
      <c r="Q55" s="517"/>
      <c r="R55" s="77"/>
      <c r="S55" s="77"/>
      <c r="T55" s="77"/>
      <c r="U55" s="77"/>
      <c r="V55" s="77"/>
      <c r="W55" s="77"/>
      <c r="X55" s="77"/>
      <c r="Y55" s="77"/>
      <c r="Z55" s="77"/>
      <c r="AA55" s="77"/>
      <c r="AB55" s="77"/>
      <c r="AC55" s="77"/>
      <c r="AD55" s="77"/>
      <c r="AE55" s="77"/>
    </row>
    <row r="56" spans="1:31" ht="14.1" customHeight="1">
      <c r="A56" s="2536" t="s">
        <v>68</v>
      </c>
      <c r="B56" s="2536" t="s">
        <v>1455</v>
      </c>
      <c r="C56" s="2536"/>
      <c r="D56" s="2574"/>
      <c r="E56" s="2574"/>
      <c r="F56" s="2574"/>
      <c r="G56" s="2574"/>
      <c r="H56" s="969" t="e">
        <f>#REF!</f>
        <v>#REF!</v>
      </c>
      <c r="I56" s="77"/>
      <c r="J56" s="1372" t="s">
        <v>2427</v>
      </c>
      <c r="K56" s="313" t="str">
        <f>'Part VIII Scoring Criteria OLD'!$M$60</f>
        <v>&lt;&lt; Select Pool &gt;&gt;</v>
      </c>
      <c r="L56" s="1372" t="s">
        <v>2428</v>
      </c>
      <c r="M56" s="651" t="str">
        <f>J35</f>
        <v>&lt;&lt; Select PROPOSED Tenancy &gt;&gt;</v>
      </c>
      <c r="N56" s="77"/>
      <c r="O56" s="66" t="s">
        <v>1444</v>
      </c>
      <c r="P56" s="4014"/>
      <c r="Q56" s="4003"/>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197</v>
      </c>
      <c r="B58" s="13" t="s">
        <v>1456</v>
      </c>
      <c r="C58" s="77"/>
      <c r="D58" s="68"/>
      <c r="E58" s="68"/>
      <c r="F58" s="68"/>
      <c r="G58" s="68"/>
      <c r="H58" s="68"/>
      <c r="I58" s="43"/>
      <c r="J58" s="43"/>
      <c r="K58" s="43"/>
      <c r="L58" s="28" t="s">
        <v>197</v>
      </c>
      <c r="M58" s="4007"/>
      <c r="N58" s="4008"/>
      <c r="O58" s="4008"/>
      <c r="P58" s="3023"/>
      <c r="Q58" s="936"/>
      <c r="R58" s="77"/>
      <c r="S58" s="77"/>
      <c r="T58" s="77"/>
      <c r="U58" s="77"/>
      <c r="V58" s="77"/>
      <c r="W58" s="77"/>
      <c r="X58" s="77"/>
      <c r="Y58" s="77"/>
      <c r="Z58" s="77"/>
      <c r="AA58" s="77"/>
      <c r="AB58" s="77"/>
      <c r="AC58" s="77"/>
      <c r="AD58" s="77"/>
      <c r="AE58" s="77"/>
    </row>
    <row r="59" spans="1:31" ht="12.75" customHeight="1">
      <c r="A59" s="22" t="s">
        <v>209</v>
      </c>
      <c r="B59" s="13" t="s">
        <v>2429</v>
      </c>
      <c r="C59" s="77"/>
      <c r="D59" s="68"/>
      <c r="E59" s="68"/>
      <c r="F59" s="68"/>
      <c r="G59" s="77"/>
      <c r="H59" s="77"/>
      <c r="I59" s="77"/>
      <c r="J59" s="77"/>
      <c r="K59" s="77"/>
      <c r="L59" s="28" t="s">
        <v>209</v>
      </c>
      <c r="M59" s="4031"/>
      <c r="N59" s="4032"/>
      <c r="O59" s="4032"/>
      <c r="P59" s="3025"/>
      <c r="Q59" s="307"/>
      <c r="R59" s="77"/>
      <c r="S59" s="77"/>
      <c r="T59" s="77"/>
      <c r="U59" s="77"/>
      <c r="V59" s="77"/>
      <c r="W59" s="77"/>
      <c r="X59" s="77"/>
      <c r="Y59" s="77"/>
      <c r="Z59" s="77"/>
      <c r="AA59" s="77"/>
      <c r="AB59" s="77"/>
      <c r="AC59" s="77"/>
      <c r="AD59" s="77"/>
      <c r="AE59" s="77"/>
    </row>
    <row r="60" spans="1:31" ht="12.75" customHeight="1">
      <c r="A60" s="22" t="s">
        <v>230</v>
      </c>
      <c r="B60" s="13" t="s">
        <v>2430</v>
      </c>
      <c r="C60" s="77"/>
      <c r="D60" s="68"/>
      <c r="E60" s="68"/>
      <c r="F60" s="68"/>
      <c r="G60" s="77"/>
      <c r="H60" s="77"/>
      <c r="I60" s="77"/>
      <c r="J60" s="77"/>
      <c r="K60" s="77"/>
      <c r="L60" s="28" t="s">
        <v>230</v>
      </c>
      <c r="M60" s="4027"/>
      <c r="N60" s="4028"/>
      <c r="O60" s="4028"/>
      <c r="P60" s="4029"/>
      <c r="Q60" s="307"/>
      <c r="R60" s="77"/>
      <c r="S60" s="77"/>
      <c r="T60" s="77"/>
      <c r="U60" s="77"/>
      <c r="V60" s="77"/>
      <c r="W60" s="77"/>
      <c r="X60" s="77"/>
      <c r="Y60" s="77"/>
      <c r="Z60" s="77"/>
      <c r="AA60" s="77"/>
      <c r="AB60" s="77"/>
      <c r="AC60" s="77"/>
      <c r="AD60" s="77"/>
      <c r="AE60" s="77"/>
    </row>
    <row r="61" spans="1:31" ht="12.75" customHeight="1">
      <c r="A61" s="22" t="s">
        <v>232</v>
      </c>
      <c r="B61" s="13" t="s">
        <v>2431</v>
      </c>
      <c r="C61" s="77"/>
      <c r="D61" s="68"/>
      <c r="E61" s="68"/>
      <c r="F61" s="68"/>
      <c r="G61" s="77"/>
      <c r="H61" s="77"/>
      <c r="I61" s="77"/>
      <c r="J61" s="28" t="s">
        <v>2432</v>
      </c>
      <c r="K61" s="1129"/>
      <c r="L61" s="1128"/>
      <c r="M61" s="2762"/>
      <c r="N61" s="2790"/>
      <c r="O61" s="4727" t="s">
        <v>2433</v>
      </c>
      <c r="P61" s="660"/>
      <c r="Q61" s="1127"/>
      <c r="R61" s="77"/>
      <c r="S61" s="77"/>
      <c r="T61" s="77"/>
      <c r="U61" s="77"/>
      <c r="V61" s="77"/>
      <c r="W61" s="77"/>
      <c r="X61" s="77"/>
      <c r="Y61" s="77"/>
      <c r="Z61" s="77"/>
      <c r="AA61" s="77"/>
      <c r="AB61" s="77"/>
      <c r="AC61" s="77"/>
      <c r="AD61" s="77"/>
      <c r="AE61" s="77"/>
    </row>
    <row r="62" spans="1:31" ht="12.75" customHeight="1">
      <c r="A62" s="22" t="s">
        <v>239</v>
      </c>
      <c r="B62" s="13" t="s">
        <v>2434</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584" t="s">
        <v>2435</v>
      </c>
      <c r="E63" s="16" t="s">
        <v>53</v>
      </c>
      <c r="F63" s="16"/>
      <c r="G63" s="77"/>
      <c r="H63" s="13"/>
      <c r="I63" s="2584" t="s">
        <v>2435</v>
      </c>
      <c r="J63" s="16" t="s">
        <v>53</v>
      </c>
      <c r="K63" s="16"/>
      <c r="L63" s="77"/>
      <c r="M63" s="13"/>
      <c r="N63" s="2584" t="s">
        <v>2435</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1521</v>
      </c>
      <c r="D64" s="2791"/>
      <c r="E64" s="4033"/>
      <c r="F64" s="4033"/>
      <c r="G64" s="4033"/>
      <c r="H64" s="28" t="s">
        <v>1528</v>
      </c>
      <c r="I64" s="2791"/>
      <c r="J64" s="4033"/>
      <c r="K64" s="4033"/>
      <c r="L64" s="4033"/>
      <c r="M64" s="28" t="s">
        <v>2320</v>
      </c>
      <c r="N64" s="2791"/>
      <c r="O64" s="4033"/>
      <c r="P64" s="4033"/>
      <c r="Q64" s="4033"/>
      <c r="R64" s="77"/>
      <c r="S64" s="77"/>
      <c r="T64" s="77"/>
      <c r="U64" s="77"/>
      <c r="V64" s="77"/>
      <c r="W64" s="77"/>
      <c r="X64" s="77"/>
      <c r="Y64" s="77"/>
      <c r="Z64" s="77"/>
      <c r="AA64" s="77"/>
      <c r="AB64" s="77"/>
      <c r="AC64" s="77"/>
      <c r="AD64" s="77"/>
      <c r="AE64" s="77"/>
    </row>
    <row r="65" spans="1:31" ht="12.75" customHeight="1">
      <c r="A65" s="77"/>
      <c r="B65" s="77"/>
      <c r="C65" s="28" t="s">
        <v>1524</v>
      </c>
      <c r="D65" s="1338"/>
      <c r="E65" s="4131"/>
      <c r="F65" s="4131"/>
      <c r="G65" s="4131"/>
      <c r="H65" s="28" t="s">
        <v>2316</v>
      </c>
      <c r="I65" s="1338"/>
      <c r="J65" s="4131"/>
      <c r="K65" s="4131"/>
      <c r="L65" s="4131"/>
      <c r="M65" s="28" t="s">
        <v>2322</v>
      </c>
      <c r="N65" s="1338"/>
      <c r="O65" s="4131"/>
      <c r="P65" s="4131"/>
      <c r="Q65" s="4131"/>
      <c r="R65" s="77"/>
      <c r="S65" s="77"/>
      <c r="T65" s="77"/>
      <c r="U65" s="77"/>
      <c r="V65" s="77"/>
      <c r="W65" s="77"/>
      <c r="X65" s="77"/>
      <c r="Y65" s="77"/>
      <c r="Z65" s="77"/>
      <c r="AA65" s="77"/>
      <c r="AB65" s="77"/>
      <c r="AC65" s="77"/>
      <c r="AD65" s="77"/>
      <c r="AE65" s="77"/>
    </row>
    <row r="66" spans="1:31" ht="12.75" customHeight="1">
      <c r="A66" s="77"/>
      <c r="B66" s="77"/>
      <c r="C66" s="28" t="s">
        <v>1526</v>
      </c>
      <c r="D66" s="277"/>
      <c r="E66" s="4082"/>
      <c r="F66" s="4082"/>
      <c r="G66" s="4082"/>
      <c r="H66" s="28" t="s">
        <v>2318</v>
      </c>
      <c r="I66" s="277"/>
      <c r="J66" s="4082"/>
      <c r="K66" s="4082"/>
      <c r="L66" s="4082"/>
      <c r="M66" s="28" t="s">
        <v>2324</v>
      </c>
      <c r="N66" s="277"/>
      <c r="O66" s="4082"/>
      <c r="P66" s="4082"/>
      <c r="Q66" s="4082"/>
      <c r="R66" s="77"/>
      <c r="S66" s="77"/>
      <c r="T66" s="77"/>
      <c r="U66" s="77"/>
      <c r="V66" s="77"/>
      <c r="W66" s="77"/>
      <c r="X66" s="77"/>
      <c r="Y66" s="77"/>
      <c r="Z66" s="77"/>
      <c r="AA66" s="77"/>
      <c r="AB66" s="77"/>
      <c r="AC66" s="77"/>
      <c r="AD66" s="77"/>
      <c r="AE66" s="77"/>
    </row>
    <row r="67" spans="1:31" ht="12.75" customHeight="1">
      <c r="A67" s="22" t="s">
        <v>241</v>
      </c>
      <c r="B67" s="13" t="s">
        <v>2436</v>
      </c>
      <c r="C67" s="77"/>
      <c r="D67" s="68"/>
      <c r="E67" s="68"/>
      <c r="F67" s="68"/>
      <c r="G67" s="68"/>
      <c r="H67" s="68"/>
      <c r="I67" s="43"/>
      <c r="J67" s="43"/>
      <c r="K67" s="68"/>
      <c r="L67" s="2578"/>
      <c r="M67" s="2578"/>
      <c r="N67" s="77"/>
      <c r="O67" s="28" t="s">
        <v>241</v>
      </c>
      <c r="P67" s="935"/>
      <c r="Q67" s="936"/>
      <c r="R67" s="77"/>
      <c r="S67" s="77"/>
      <c r="T67" s="77"/>
      <c r="U67" s="77"/>
      <c r="V67" s="77"/>
      <c r="W67" s="77"/>
      <c r="X67" s="77"/>
      <c r="Y67" s="77"/>
      <c r="Z67" s="77"/>
      <c r="AA67" s="77"/>
      <c r="AB67" s="77"/>
      <c r="AC67" s="77"/>
      <c r="AD67" s="77"/>
      <c r="AE67" s="77"/>
    </row>
    <row r="68" spans="1:31" ht="12.75" customHeight="1">
      <c r="A68" s="22" t="s">
        <v>2437</v>
      </c>
      <c r="B68" s="13" t="s">
        <v>2438</v>
      </c>
      <c r="C68" s="77"/>
      <c r="D68" s="68"/>
      <c r="E68" s="68"/>
      <c r="F68" s="68"/>
      <c r="G68" s="68"/>
      <c r="H68" s="68"/>
      <c r="I68" s="43"/>
      <c r="J68" s="43"/>
      <c r="K68" s="68"/>
      <c r="L68" s="2578"/>
      <c r="M68" s="2578"/>
      <c r="N68" s="77"/>
      <c r="O68" s="28" t="s">
        <v>2437</v>
      </c>
      <c r="P68" s="202"/>
      <c r="Q68" s="307"/>
      <c r="R68" s="77"/>
      <c r="S68" s="77"/>
      <c r="T68" s="77"/>
      <c r="U68" s="77"/>
      <c r="V68" s="77"/>
      <c r="W68" s="77"/>
      <c r="X68" s="77"/>
      <c r="Y68" s="77"/>
      <c r="Z68" s="77"/>
      <c r="AA68" s="77"/>
      <c r="AB68" s="77"/>
      <c r="AC68" s="77"/>
      <c r="AD68" s="77"/>
      <c r="AE68" s="77"/>
    </row>
    <row r="69" spans="1:31" ht="10.5" customHeight="1">
      <c r="A69" s="22" t="s">
        <v>2439</v>
      </c>
      <c r="B69" s="13" t="s">
        <v>2440</v>
      </c>
      <c r="C69" s="77"/>
      <c r="D69" s="68"/>
      <c r="E69" s="68"/>
      <c r="F69" s="68"/>
      <c r="G69" s="68"/>
      <c r="H69" s="68"/>
      <c r="I69" s="43"/>
      <c r="J69" s="43"/>
      <c r="K69" s="68"/>
      <c r="L69" s="2578"/>
      <c r="M69" s="2578"/>
      <c r="N69" s="77"/>
      <c r="O69" s="28" t="s">
        <v>2439</v>
      </c>
      <c r="P69" s="660"/>
      <c r="Q69" s="1127"/>
      <c r="R69" s="77"/>
      <c r="S69" s="77"/>
      <c r="T69" s="77"/>
      <c r="U69" s="77"/>
      <c r="V69" s="77"/>
      <c r="W69" s="77"/>
      <c r="X69" s="77"/>
      <c r="Y69" s="77"/>
      <c r="Z69" s="77"/>
      <c r="AA69" s="77"/>
      <c r="AB69" s="77"/>
      <c r="AC69" s="77"/>
      <c r="AD69" s="77"/>
      <c r="AE69" s="77"/>
    </row>
    <row r="70" spans="1:31" ht="9.75" customHeight="1">
      <c r="A70" s="77"/>
      <c r="B70" s="74" t="s">
        <v>1450</v>
      </c>
      <c r="C70" s="77"/>
      <c r="D70" s="74"/>
      <c r="E70" s="74"/>
      <c r="F70" s="74"/>
      <c r="G70" s="74"/>
      <c r="H70" s="16"/>
      <c r="I70" s="2584"/>
      <c r="J70" s="2584"/>
      <c r="K70" s="2584"/>
      <c r="L70" s="517"/>
      <c r="M70" s="517"/>
      <c r="N70" s="517"/>
      <c r="O70" s="517"/>
      <c r="P70" s="517"/>
      <c r="Q70" s="517"/>
      <c r="R70" s="77"/>
      <c r="S70" s="77"/>
      <c r="T70" s="77"/>
      <c r="U70" s="77"/>
      <c r="V70" s="77"/>
      <c r="W70" s="77"/>
      <c r="X70" s="77"/>
      <c r="Y70" s="77"/>
      <c r="Z70" s="77"/>
      <c r="AA70" s="77"/>
      <c r="AB70" s="77"/>
      <c r="AC70" s="77"/>
      <c r="AD70" s="77"/>
      <c r="AE70" s="77"/>
    </row>
    <row r="71" spans="1:31" ht="33" customHeight="1">
      <c r="A71" s="3995"/>
      <c r="B71" s="3996"/>
      <c r="C71" s="3996"/>
      <c r="D71" s="3996"/>
      <c r="E71" s="3996"/>
      <c r="F71" s="3996"/>
      <c r="G71" s="3996"/>
      <c r="H71" s="3996"/>
      <c r="I71" s="3996"/>
      <c r="J71" s="3996"/>
      <c r="K71" s="3996"/>
      <c r="L71" s="3996"/>
      <c r="M71" s="3996"/>
      <c r="N71" s="3996"/>
      <c r="O71" s="3996"/>
      <c r="P71" s="3996"/>
      <c r="Q71" s="3997"/>
      <c r="R71" s="77"/>
      <c r="S71" s="77"/>
      <c r="T71" s="77"/>
      <c r="U71" s="69"/>
      <c r="V71" s="69"/>
      <c r="W71" s="69"/>
      <c r="X71" s="69"/>
      <c r="Y71" s="69"/>
      <c r="Z71" s="69"/>
      <c r="AA71" s="69"/>
      <c r="AB71" s="69"/>
      <c r="AC71" s="69"/>
      <c r="AD71" s="69"/>
      <c r="AE71" s="69"/>
    </row>
    <row r="72" spans="1:31" ht="9.75" customHeight="1">
      <c r="A72" s="77"/>
      <c r="B72" s="70" t="s">
        <v>1447</v>
      </c>
      <c r="C72" s="71"/>
      <c r="D72" s="2574"/>
      <c r="E72" s="2574"/>
      <c r="F72" s="2574"/>
      <c r="G72" s="2574"/>
      <c r="H72" s="2574"/>
      <c r="I72" s="2574"/>
      <c r="J72" s="2574"/>
      <c r="K72" s="2574"/>
      <c r="L72" s="2574"/>
      <c r="M72" s="2574"/>
      <c r="N72" s="2574"/>
      <c r="O72" s="2574"/>
      <c r="P72" s="2574"/>
      <c r="Q72" s="2574"/>
      <c r="R72" s="77"/>
      <c r="S72" s="77"/>
      <c r="T72" s="77"/>
      <c r="U72" s="77"/>
      <c r="V72" s="77"/>
      <c r="W72" s="77"/>
      <c r="X72" s="77"/>
      <c r="Y72" s="77"/>
      <c r="Z72" s="77"/>
      <c r="AA72" s="77"/>
      <c r="AB72" s="77"/>
      <c r="AC72" s="77"/>
      <c r="AD72" s="77"/>
      <c r="AE72" s="77"/>
    </row>
    <row r="73" spans="1:31" ht="33" customHeight="1">
      <c r="A73" s="3999"/>
      <c r="B73" s="4000"/>
      <c r="C73" s="4000"/>
      <c r="D73" s="4000"/>
      <c r="E73" s="4000"/>
      <c r="F73" s="4000"/>
      <c r="G73" s="4000"/>
      <c r="H73" s="4000"/>
      <c r="I73" s="4000"/>
      <c r="J73" s="4000"/>
      <c r="K73" s="4000"/>
      <c r="L73" s="4000"/>
      <c r="M73" s="4000"/>
      <c r="N73" s="4000"/>
      <c r="O73" s="4000"/>
      <c r="P73" s="4000"/>
      <c r="Q73" s="4001"/>
      <c r="R73" s="77"/>
      <c r="S73" s="77"/>
      <c r="T73" s="77"/>
      <c r="U73" s="77"/>
      <c r="V73" s="77"/>
      <c r="W73" s="77"/>
      <c r="X73" s="77"/>
      <c r="Y73" s="77"/>
      <c r="Z73" s="77"/>
      <c r="AA73" s="77"/>
      <c r="AB73" s="77"/>
      <c r="AC73" s="77"/>
      <c r="AD73" s="77"/>
      <c r="AE73" s="77"/>
    </row>
    <row r="74" spans="1:31" ht="14.1" customHeight="1">
      <c r="A74" s="2536" t="s">
        <v>77</v>
      </c>
      <c r="B74" s="2536" t="s">
        <v>1463</v>
      </c>
      <c r="C74" s="2536"/>
      <c r="D74" s="2574"/>
      <c r="E74" s="2574"/>
      <c r="F74" s="2574"/>
      <c r="G74" s="2574"/>
      <c r="H74" s="2574"/>
      <c r="I74" s="2574"/>
      <c r="J74" s="2574"/>
      <c r="K74" s="2574"/>
      <c r="L74" s="2574"/>
      <c r="M74" s="2574"/>
      <c r="N74" s="77"/>
      <c r="O74" s="66" t="s">
        <v>1444</v>
      </c>
      <c r="P74" s="4014"/>
      <c r="Q74" s="4003"/>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197</v>
      </c>
      <c r="B76" s="13" t="s">
        <v>2441</v>
      </c>
      <c r="C76" s="13"/>
      <c r="D76" s="77"/>
      <c r="E76" s="13"/>
      <c r="F76" s="13"/>
      <c r="G76" s="13"/>
      <c r="H76" s="13"/>
      <c r="I76" s="13"/>
      <c r="J76" s="13"/>
      <c r="K76" s="13"/>
      <c r="L76" s="16"/>
      <c r="M76" s="16"/>
      <c r="N76" s="77"/>
      <c r="O76" s="28" t="s">
        <v>197</v>
      </c>
      <c r="P76" s="267"/>
      <c r="Q76" s="936"/>
      <c r="R76" s="77"/>
      <c r="S76" s="77"/>
      <c r="T76" s="77"/>
      <c r="U76" s="77"/>
      <c r="V76" s="77"/>
      <c r="W76" s="77"/>
      <c r="X76" s="77"/>
      <c r="Y76" s="77"/>
      <c r="Z76" s="77"/>
      <c r="AA76" s="77"/>
      <c r="AB76" s="77"/>
      <c r="AC76" s="77"/>
      <c r="AD76" s="77"/>
      <c r="AE76" s="77"/>
    </row>
    <row r="77" spans="1:31" ht="12.75" customHeight="1">
      <c r="A77" s="77"/>
      <c r="B77" s="266" t="s">
        <v>1521</v>
      </c>
      <c r="C77" s="13" t="s">
        <v>2442</v>
      </c>
      <c r="D77" s="77"/>
      <c r="E77" s="43"/>
      <c r="F77" s="43"/>
      <c r="G77" s="43"/>
      <c r="H77" s="43"/>
      <c r="I77" s="43"/>
      <c r="J77" s="77"/>
      <c r="K77" s="77"/>
      <c r="L77" s="28" t="s">
        <v>2443</v>
      </c>
      <c r="M77" s="4057"/>
      <c r="N77" s="4058"/>
      <c r="O77" s="4058"/>
      <c r="P77" s="4135"/>
      <c r="Q77" s="307"/>
      <c r="R77" s="77"/>
      <c r="S77" s="77"/>
      <c r="T77" s="77"/>
      <c r="U77" s="77"/>
      <c r="V77" s="77"/>
      <c r="W77" s="77"/>
      <c r="X77" s="77"/>
      <c r="Y77" s="77"/>
      <c r="Z77" s="77"/>
      <c r="AA77" s="77"/>
      <c r="AB77" s="77"/>
      <c r="AC77" s="77"/>
      <c r="AD77" s="77"/>
      <c r="AE77" s="77"/>
    </row>
    <row r="78" spans="1:31" s="18" customFormat="1" ht="12.75" customHeight="1">
      <c r="A78" s="43"/>
      <c r="B78" s="16" t="s">
        <v>1524</v>
      </c>
      <c r="C78" s="13" t="s">
        <v>2444</v>
      </c>
      <c r="D78" s="43"/>
      <c r="E78" s="43"/>
      <c r="F78" s="43"/>
      <c r="G78" s="43"/>
      <c r="H78" s="43"/>
      <c r="I78" s="43"/>
      <c r="J78" s="43"/>
      <c r="K78" s="43"/>
      <c r="L78" s="43"/>
      <c r="M78" s="43"/>
      <c r="N78" s="43"/>
      <c r="O78" s="28" t="s">
        <v>1524</v>
      </c>
      <c r="P78" s="935"/>
      <c r="Q78" s="936"/>
      <c r="R78" s="43"/>
      <c r="S78" s="43"/>
      <c r="T78" s="43"/>
      <c r="U78" s="43"/>
      <c r="V78" s="43"/>
      <c r="W78" s="43"/>
      <c r="X78" s="43"/>
      <c r="Y78" s="43"/>
      <c r="Z78" s="43"/>
      <c r="AA78" s="43"/>
      <c r="AB78" s="43"/>
      <c r="AC78" s="43"/>
      <c r="AD78" s="43"/>
      <c r="AE78" s="43"/>
    </row>
    <row r="79" spans="1:31" s="18" customFormat="1" ht="12.75" customHeight="1">
      <c r="A79" s="43"/>
      <c r="B79" s="266" t="s">
        <v>1526</v>
      </c>
      <c r="C79" s="13" t="s">
        <v>2445</v>
      </c>
      <c r="D79" s="43"/>
      <c r="E79" s="43"/>
      <c r="F79" s="43"/>
      <c r="G79" s="43"/>
      <c r="H79" s="43"/>
      <c r="I79" s="43"/>
      <c r="J79" s="43"/>
      <c r="K79" s="43"/>
      <c r="L79" s="43"/>
      <c r="M79" s="43"/>
      <c r="N79" s="43"/>
      <c r="O79" s="84" t="s">
        <v>1526</v>
      </c>
      <c r="P79" s="1034"/>
      <c r="Q79" s="1035"/>
      <c r="R79" s="43"/>
      <c r="S79" s="43"/>
      <c r="T79" s="43"/>
      <c r="U79" s="43"/>
      <c r="V79" s="43"/>
      <c r="W79" s="43"/>
      <c r="X79" s="43"/>
      <c r="Y79" s="43"/>
      <c r="Z79" s="43"/>
      <c r="AA79" s="43"/>
      <c r="AB79" s="43"/>
      <c r="AC79" s="43"/>
      <c r="AD79" s="43"/>
      <c r="AE79" s="43"/>
    </row>
    <row r="80" spans="1:31" ht="12.75" customHeight="1">
      <c r="A80" s="2584"/>
      <c r="B80" s="266" t="s">
        <v>1528</v>
      </c>
      <c r="C80" s="16" t="s">
        <v>2446</v>
      </c>
      <c r="D80" s="610"/>
      <c r="E80" s="610"/>
      <c r="F80" s="610"/>
      <c r="G80" s="610"/>
      <c r="H80" s="610"/>
      <c r="I80" s="610"/>
      <c r="J80" s="610"/>
      <c r="K80" s="610"/>
      <c r="L80" s="610"/>
      <c r="M80" s="610"/>
      <c r="N80" s="77"/>
      <c r="O80" s="84" t="s">
        <v>1528</v>
      </c>
      <c r="P80" s="605"/>
      <c r="Q80" s="307"/>
      <c r="R80" s="77"/>
      <c r="S80" s="77"/>
      <c r="T80" s="77"/>
      <c r="U80" s="77"/>
      <c r="V80" s="77"/>
      <c r="W80" s="77"/>
      <c r="X80" s="77"/>
      <c r="Y80" s="77"/>
      <c r="Z80" s="77"/>
      <c r="AA80" s="77"/>
      <c r="AB80" s="77"/>
      <c r="AC80" s="77"/>
      <c r="AD80" s="77"/>
      <c r="AE80" s="77"/>
    </row>
    <row r="81" spans="1:31" ht="12.75" customHeight="1">
      <c r="A81" s="2584"/>
      <c r="B81" s="266" t="s">
        <v>2316</v>
      </c>
      <c r="C81" s="16" t="s">
        <v>2447</v>
      </c>
      <c r="D81" s="610"/>
      <c r="E81" s="610"/>
      <c r="F81" s="610"/>
      <c r="G81" s="610"/>
      <c r="H81" s="610"/>
      <c r="I81" s="610"/>
      <c r="J81" s="610"/>
      <c r="K81" s="610"/>
      <c r="L81" s="610"/>
      <c r="M81" s="610"/>
      <c r="N81" s="77"/>
      <c r="O81" s="84" t="s">
        <v>2316</v>
      </c>
      <c r="P81" s="202"/>
      <c r="Q81" s="307"/>
      <c r="R81" s="77"/>
      <c r="S81" s="77"/>
      <c r="T81" s="77"/>
      <c r="U81" s="77"/>
      <c r="V81" s="77"/>
      <c r="W81" s="77"/>
      <c r="X81" s="77"/>
      <c r="Y81" s="77"/>
      <c r="Z81" s="77"/>
      <c r="AA81" s="77"/>
      <c r="AB81" s="77"/>
      <c r="AC81" s="77"/>
      <c r="AD81" s="77"/>
      <c r="AE81" s="77"/>
    </row>
    <row r="82" spans="1:31" ht="12.75" customHeight="1">
      <c r="A82" s="2584"/>
      <c r="B82" s="266" t="s">
        <v>2318</v>
      </c>
      <c r="C82" s="16" t="s">
        <v>2448</v>
      </c>
      <c r="D82" s="610"/>
      <c r="E82" s="610"/>
      <c r="F82" s="610"/>
      <c r="G82" s="610"/>
      <c r="H82" s="610"/>
      <c r="I82" s="610"/>
      <c r="J82" s="610"/>
      <c r="K82" s="610"/>
      <c r="L82" s="610"/>
      <c r="M82" s="610"/>
      <c r="N82" s="77"/>
      <c r="O82" s="84" t="s">
        <v>2318</v>
      </c>
      <c r="P82" s="202"/>
      <c r="Q82" s="307"/>
      <c r="R82" s="77"/>
      <c r="S82" s="77"/>
      <c r="T82" s="77"/>
      <c r="U82" s="77"/>
      <c r="V82" s="77"/>
      <c r="W82" s="77"/>
      <c r="X82" s="77"/>
      <c r="Y82" s="77"/>
      <c r="Z82" s="77"/>
      <c r="AA82" s="77"/>
      <c r="AB82" s="77"/>
      <c r="AC82" s="77"/>
      <c r="AD82" s="77"/>
      <c r="AE82" s="77"/>
    </row>
    <row r="83" spans="1:31" ht="12.75" customHeight="1">
      <c r="A83" s="2584"/>
      <c r="B83" s="266" t="s">
        <v>2320</v>
      </c>
      <c r="C83" s="16" t="s">
        <v>2449</v>
      </c>
      <c r="D83" s="16"/>
      <c r="E83" s="16"/>
      <c r="F83" s="16"/>
      <c r="G83" s="16"/>
      <c r="H83" s="16"/>
      <c r="I83" s="16"/>
      <c r="J83" s="16"/>
      <c r="K83" s="16"/>
      <c r="L83" s="16"/>
      <c r="M83" s="526"/>
      <c r="N83" s="77"/>
      <c r="O83" s="84" t="s">
        <v>2320</v>
      </c>
      <c r="P83" s="202"/>
      <c r="Q83" s="307"/>
      <c r="R83" s="77"/>
      <c r="S83" s="77"/>
      <c r="T83" s="77"/>
      <c r="U83" s="77"/>
      <c r="V83" s="77"/>
      <c r="W83" s="77"/>
      <c r="X83" s="77"/>
      <c r="Y83" s="77"/>
      <c r="Z83" s="77"/>
      <c r="AA83" s="77"/>
      <c r="AB83" s="77"/>
      <c r="AC83" s="77"/>
      <c r="AD83" s="77"/>
      <c r="AE83" s="77"/>
    </row>
    <row r="84" spans="1:31" s="67" customFormat="1" ht="23.25" customHeight="1">
      <c r="A84" s="241"/>
      <c r="B84" s="266" t="s">
        <v>2322</v>
      </c>
      <c r="C84" s="3998" t="s">
        <v>2450</v>
      </c>
      <c r="D84" s="3998"/>
      <c r="E84" s="3998"/>
      <c r="F84" s="3998"/>
      <c r="G84" s="3998"/>
      <c r="H84" s="3998"/>
      <c r="I84" s="3998"/>
      <c r="J84" s="3998"/>
      <c r="K84" s="3998"/>
      <c r="L84" s="3998"/>
      <c r="M84" s="3998"/>
      <c r="N84" s="3998"/>
      <c r="O84" s="84" t="s">
        <v>2322</v>
      </c>
      <c r="P84" s="2583"/>
      <c r="Q84" s="2581"/>
      <c r="R84" s="229"/>
      <c r="S84" s="229"/>
      <c r="T84" s="229"/>
      <c r="U84" s="229"/>
      <c r="V84" s="229"/>
      <c r="W84" s="229"/>
      <c r="X84" s="229"/>
      <c r="Y84" s="229"/>
      <c r="Z84" s="229"/>
      <c r="AA84" s="229"/>
      <c r="AB84" s="229"/>
      <c r="AC84" s="229"/>
      <c r="AD84" s="229"/>
      <c r="AE84" s="229"/>
    </row>
    <row r="85" spans="1:31" ht="12.75" customHeight="1">
      <c r="A85" s="22" t="s">
        <v>209</v>
      </c>
      <c r="B85" s="13" t="s">
        <v>1466</v>
      </c>
      <c r="C85" s="13"/>
      <c r="D85" s="77"/>
      <c r="E85" s="13"/>
      <c r="F85" s="13"/>
      <c r="G85" s="13"/>
      <c r="H85" s="13"/>
      <c r="I85" s="13"/>
      <c r="J85" s="13"/>
      <c r="K85" s="13"/>
      <c r="L85" s="13"/>
      <c r="M85" s="13"/>
      <c r="N85" s="77"/>
      <c r="O85" s="28" t="s">
        <v>209</v>
      </c>
      <c r="P85" s="935"/>
      <c r="Q85" s="936"/>
      <c r="R85" s="77"/>
      <c r="S85" s="77"/>
      <c r="T85" s="77"/>
      <c r="U85" s="77"/>
      <c r="V85" s="77"/>
      <c r="W85" s="77"/>
      <c r="X85" s="77"/>
      <c r="Y85" s="77"/>
      <c r="Z85" s="77"/>
      <c r="AA85" s="77"/>
      <c r="AB85" s="77"/>
      <c r="AC85" s="77"/>
      <c r="AD85" s="77"/>
      <c r="AE85" s="77"/>
    </row>
    <row r="86" spans="1:31" ht="12.75" customHeight="1">
      <c r="A86" s="77"/>
      <c r="B86" s="266" t="s">
        <v>1521</v>
      </c>
      <c r="C86" s="13" t="s">
        <v>2451</v>
      </c>
      <c r="D86" s="13"/>
      <c r="E86" s="13"/>
      <c r="F86" s="13"/>
      <c r="G86" s="13"/>
      <c r="H86" s="13"/>
      <c r="I86" s="13"/>
      <c r="J86" s="13"/>
      <c r="K86" s="13"/>
      <c r="L86" s="13"/>
      <c r="M86" s="13"/>
      <c r="N86" s="77"/>
      <c r="O86" s="84" t="s">
        <v>1521</v>
      </c>
      <c r="P86" s="935"/>
      <c r="Q86" s="936"/>
      <c r="R86" s="77"/>
      <c r="S86" s="77"/>
      <c r="T86" s="77"/>
      <c r="U86" s="77"/>
      <c r="V86" s="77"/>
      <c r="W86" s="77"/>
      <c r="X86" s="77"/>
      <c r="Y86" s="77"/>
      <c r="Z86" s="77"/>
      <c r="AA86" s="77"/>
      <c r="AB86" s="77"/>
      <c r="AC86" s="77"/>
      <c r="AD86" s="77"/>
      <c r="AE86" s="77"/>
    </row>
    <row r="87" spans="1:31" ht="12.75" customHeight="1">
      <c r="A87" s="22"/>
      <c r="B87" s="16" t="s">
        <v>1524</v>
      </c>
      <c r="C87" s="13" t="s">
        <v>2452</v>
      </c>
      <c r="D87" s="13"/>
      <c r="E87" s="13"/>
      <c r="F87" s="13"/>
      <c r="G87" s="13"/>
      <c r="H87" s="13"/>
      <c r="I87" s="13"/>
      <c r="J87" s="13"/>
      <c r="K87" s="13"/>
      <c r="L87" s="13"/>
      <c r="M87" s="13"/>
      <c r="N87" s="77"/>
      <c r="O87" s="28" t="s">
        <v>1524</v>
      </c>
      <c r="P87" s="1032"/>
      <c r="Q87" s="1031"/>
      <c r="R87" s="77"/>
      <c r="S87" s="77"/>
      <c r="T87" s="77"/>
      <c r="U87" s="77"/>
      <c r="V87" s="77"/>
      <c r="W87" s="77"/>
      <c r="X87" s="77"/>
      <c r="Y87" s="77"/>
      <c r="Z87" s="77"/>
      <c r="AA87" s="77"/>
      <c r="AB87" s="77"/>
      <c r="AC87" s="77"/>
      <c r="AD87" s="77"/>
      <c r="AE87" s="77"/>
    </row>
    <row r="88" spans="1:31" ht="10.5" customHeight="1">
      <c r="A88" s="77"/>
      <c r="B88" s="74" t="s">
        <v>1450</v>
      </c>
      <c r="C88" s="77"/>
      <c r="D88" s="74"/>
      <c r="E88" s="74"/>
      <c r="F88" s="74"/>
      <c r="G88" s="74"/>
      <c r="H88" s="16"/>
      <c r="I88" s="2584"/>
      <c r="J88" s="2584"/>
      <c r="K88" s="2584"/>
      <c r="L88" s="517"/>
      <c r="M88" s="517"/>
      <c r="N88" s="517"/>
      <c r="O88" s="517"/>
      <c r="P88" s="517"/>
      <c r="Q88" s="517"/>
      <c r="R88" s="77"/>
      <c r="S88" s="77"/>
      <c r="T88" s="77"/>
      <c r="U88" s="77"/>
      <c r="V88" s="77"/>
      <c r="W88" s="77"/>
      <c r="X88" s="77"/>
      <c r="Y88" s="77"/>
      <c r="Z88" s="77"/>
      <c r="AA88" s="77"/>
      <c r="AB88" s="77"/>
      <c r="AC88" s="77"/>
      <c r="AD88" s="77"/>
      <c r="AE88" s="77"/>
    </row>
    <row r="89" spans="1:31" ht="22.5" customHeight="1">
      <c r="A89" s="3995"/>
      <c r="B89" s="3996"/>
      <c r="C89" s="3996"/>
      <c r="D89" s="3996"/>
      <c r="E89" s="3996"/>
      <c r="F89" s="3996"/>
      <c r="G89" s="3996"/>
      <c r="H89" s="3996"/>
      <c r="I89" s="3996"/>
      <c r="J89" s="3996"/>
      <c r="K89" s="3996"/>
      <c r="L89" s="3996"/>
      <c r="M89" s="3996"/>
      <c r="N89" s="3996"/>
      <c r="O89" s="3996"/>
      <c r="P89" s="3996"/>
      <c r="Q89" s="3997"/>
      <c r="R89" s="77"/>
      <c r="S89" s="77"/>
      <c r="T89" s="77"/>
      <c r="U89" s="69"/>
      <c r="V89" s="69"/>
      <c r="W89" s="69"/>
      <c r="X89" s="69"/>
      <c r="Y89" s="69"/>
      <c r="Z89" s="69"/>
      <c r="AA89" s="69"/>
      <c r="AB89" s="69"/>
      <c r="AC89" s="69"/>
      <c r="AD89" s="69"/>
      <c r="AE89" s="69"/>
    </row>
    <row r="90" spans="1:31" ht="11.25" customHeight="1">
      <c r="A90" s="77"/>
      <c r="B90" s="70" t="s">
        <v>1447</v>
      </c>
      <c r="C90" s="71"/>
      <c r="D90" s="2574"/>
      <c r="E90" s="2574"/>
      <c r="F90" s="2574"/>
      <c r="G90" s="2574"/>
      <c r="H90" s="2574"/>
      <c r="I90" s="2574"/>
      <c r="J90" s="2574"/>
      <c r="K90" s="2574"/>
      <c r="L90" s="2574"/>
      <c r="M90" s="2574"/>
      <c r="N90" s="2574"/>
      <c r="O90" s="2574"/>
      <c r="P90" s="2574"/>
      <c r="Q90" s="2574"/>
      <c r="R90" s="77"/>
      <c r="S90" s="77"/>
      <c r="T90" s="77"/>
      <c r="U90" s="77"/>
      <c r="V90" s="77"/>
      <c r="W90" s="77"/>
      <c r="X90" s="77"/>
      <c r="Y90" s="77"/>
      <c r="Z90" s="77"/>
      <c r="AA90" s="77"/>
      <c r="AB90" s="77"/>
      <c r="AC90" s="77"/>
      <c r="AD90" s="77"/>
      <c r="AE90" s="77"/>
    </row>
    <row r="91" spans="1:31" ht="22.5" customHeight="1">
      <c r="A91" s="3999"/>
      <c r="B91" s="4000"/>
      <c r="C91" s="4000"/>
      <c r="D91" s="4000"/>
      <c r="E91" s="4000"/>
      <c r="F91" s="4000"/>
      <c r="G91" s="4000"/>
      <c r="H91" s="4000"/>
      <c r="I91" s="4000"/>
      <c r="J91" s="4000"/>
      <c r="K91" s="4000"/>
      <c r="L91" s="4000"/>
      <c r="M91" s="4000"/>
      <c r="N91" s="4000"/>
      <c r="O91" s="4000"/>
      <c r="P91" s="4000"/>
      <c r="Q91" s="4001"/>
      <c r="R91" s="77"/>
      <c r="S91" s="77"/>
      <c r="T91" s="77"/>
      <c r="U91" s="77"/>
      <c r="V91" s="77"/>
      <c r="W91" s="77"/>
      <c r="X91" s="77"/>
      <c r="Y91" s="77"/>
      <c r="Z91" s="77"/>
      <c r="AA91" s="77"/>
      <c r="AB91" s="77"/>
      <c r="AC91" s="77"/>
      <c r="AD91" s="77"/>
      <c r="AE91" s="77"/>
    </row>
    <row r="92" spans="1:31" ht="14.1" customHeight="1">
      <c r="A92" s="2536" t="s">
        <v>79</v>
      </c>
      <c r="B92" s="2536" t="s">
        <v>1469</v>
      </c>
      <c r="C92" s="16"/>
      <c r="D92" s="2574"/>
      <c r="E92" s="2574"/>
      <c r="F92" s="2574"/>
      <c r="G92" s="2574"/>
      <c r="H92" s="2574"/>
      <c r="I92" s="2574"/>
      <c r="J92" s="2574"/>
      <c r="K92" s="2574"/>
      <c r="L92" s="2574"/>
      <c r="M92" s="2574"/>
      <c r="N92" s="643" t="s">
        <v>2453</v>
      </c>
      <c r="O92" s="66" t="s">
        <v>1444</v>
      </c>
      <c r="P92" s="4014"/>
      <c r="Q92" s="4003"/>
      <c r="R92" s="645" t="s">
        <v>2454</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197</v>
      </c>
      <c r="B94" s="13" t="s">
        <v>2455</v>
      </c>
      <c r="C94" s="77"/>
      <c r="D94" s="68"/>
      <c r="E94" s="68"/>
      <c r="F94" s="68"/>
      <c r="G94" s="68"/>
      <c r="H94" s="68"/>
      <c r="I94" s="43"/>
      <c r="J94" s="43"/>
      <c r="K94" s="28" t="s">
        <v>197</v>
      </c>
      <c r="L94" s="4132"/>
      <c r="M94" s="4132"/>
      <c r="N94" s="4132"/>
      <c r="O94" s="4132"/>
      <c r="P94" s="4133"/>
      <c r="Q94" s="1356"/>
      <c r="R94" s="77"/>
      <c r="S94" s="77"/>
      <c r="T94" s="77"/>
      <c r="U94" s="77"/>
      <c r="V94" s="77"/>
      <c r="W94" s="77"/>
      <c r="X94" s="77"/>
      <c r="Y94" s="77"/>
      <c r="Z94" s="77"/>
      <c r="AA94" s="77"/>
      <c r="AB94" s="77"/>
      <c r="AC94" s="77"/>
      <c r="AD94" s="77"/>
      <c r="AE94" s="77"/>
    </row>
    <row r="95" spans="1:31" ht="12" customHeight="1">
      <c r="A95" s="77"/>
      <c r="B95" s="25" t="s">
        <v>2456</v>
      </c>
      <c r="C95" s="77"/>
      <c r="D95" s="77"/>
      <c r="E95" s="77"/>
      <c r="F95" s="77"/>
      <c r="G95" s="77"/>
      <c r="H95" s="77"/>
      <c r="I95" s="77"/>
      <c r="J95" s="77"/>
      <c r="K95" s="77"/>
      <c r="L95" s="77"/>
      <c r="M95" s="77"/>
      <c r="N95" s="77"/>
      <c r="O95" s="28" t="s">
        <v>1524</v>
      </c>
      <c r="P95" s="202"/>
      <c r="Q95" s="307"/>
      <c r="R95" s="77"/>
      <c r="S95" s="77"/>
      <c r="T95" s="77"/>
      <c r="U95" s="77"/>
      <c r="V95" s="77"/>
      <c r="W95" s="77"/>
      <c r="X95" s="77"/>
      <c r="Y95" s="77"/>
      <c r="Z95" s="77"/>
      <c r="AA95" s="77"/>
      <c r="AB95" s="77"/>
      <c r="AC95" s="77"/>
      <c r="AD95" s="77"/>
      <c r="AE95" s="77"/>
    </row>
    <row r="96" spans="1:31" ht="12" customHeight="1">
      <c r="A96" s="77"/>
      <c r="B96" s="25" t="s">
        <v>2457</v>
      </c>
      <c r="C96" s="77"/>
      <c r="D96" s="77"/>
      <c r="E96" s="77"/>
      <c r="F96" s="77"/>
      <c r="G96" s="77"/>
      <c r="H96" s="77"/>
      <c r="I96" s="25" t="s">
        <v>2458</v>
      </c>
      <c r="J96" s="77"/>
      <c r="K96" s="1362"/>
      <c r="L96" s="1363"/>
      <c r="M96" s="77"/>
      <c r="N96" s="25" t="s">
        <v>2459</v>
      </c>
      <c r="O96" s="77"/>
      <c r="P96" s="1360"/>
      <c r="Q96" s="1361"/>
      <c r="R96" s="77"/>
      <c r="S96" s="77"/>
      <c r="T96" s="77"/>
      <c r="U96" s="77"/>
      <c r="V96" s="77"/>
      <c r="W96" s="77"/>
      <c r="X96" s="77"/>
      <c r="Y96" s="77"/>
      <c r="Z96" s="77"/>
      <c r="AA96" s="77"/>
      <c r="AB96" s="77"/>
      <c r="AC96" s="77"/>
      <c r="AD96" s="77"/>
      <c r="AE96" s="77"/>
    </row>
    <row r="97" spans="1:17" ht="12" customHeight="1">
      <c r="A97" s="22" t="s">
        <v>209</v>
      </c>
      <c r="B97" s="13" t="s">
        <v>1473</v>
      </c>
      <c r="C97" s="77"/>
      <c r="D97" s="68"/>
      <c r="E97" s="68"/>
      <c r="F97" s="68"/>
      <c r="G97" s="68"/>
      <c r="H97" s="68"/>
      <c r="I97" s="43"/>
      <c r="J97" s="43"/>
      <c r="K97" s="68"/>
      <c r="L97" s="2578"/>
      <c r="M97" s="77"/>
      <c r="N97" s="77"/>
      <c r="O97" s="28" t="s">
        <v>209</v>
      </c>
      <c r="P97" s="267"/>
      <c r="Q97" s="306"/>
    </row>
    <row r="98" spans="1:17" ht="12" customHeight="1">
      <c r="A98" s="22" t="s">
        <v>230</v>
      </c>
      <c r="B98" s="13" t="s">
        <v>2460</v>
      </c>
      <c r="C98" s="77"/>
      <c r="D98" s="68"/>
      <c r="E98" s="68"/>
      <c r="F98" s="68"/>
      <c r="G98" s="68"/>
      <c r="H98" s="68"/>
      <c r="I98" s="43"/>
      <c r="J98" s="43"/>
      <c r="K98" s="2578"/>
      <c r="L98" s="2601"/>
      <c r="M98" s="2792"/>
      <c r="N98" s="2792"/>
      <c r="O98" s="1359" t="s">
        <v>230</v>
      </c>
      <c r="P98" s="1358"/>
      <c r="Q98" s="1357"/>
    </row>
    <row r="99" spans="1:17" ht="12" customHeight="1">
      <c r="A99" s="22"/>
      <c r="B99" s="16" t="s">
        <v>1521</v>
      </c>
      <c r="C99" s="13" t="s">
        <v>2461</v>
      </c>
      <c r="D99" s="77"/>
      <c r="E99" s="68"/>
      <c r="F99" s="68"/>
      <c r="G99" s="68"/>
      <c r="H99" s="68"/>
      <c r="I99" s="43"/>
      <c r="J99" s="43"/>
      <c r="K99" s="28" t="s">
        <v>1521</v>
      </c>
      <c r="L99" s="4048"/>
      <c r="M99" s="4048"/>
      <c r="N99" s="4048"/>
      <c r="O99" s="4048"/>
      <c r="P99" s="4049"/>
      <c r="Q99" s="307"/>
    </row>
    <row r="100" spans="1:17" ht="12" customHeight="1">
      <c r="A100" s="72"/>
      <c r="B100" s="16" t="s">
        <v>1524</v>
      </c>
      <c r="C100" s="13" t="s">
        <v>2462</v>
      </c>
      <c r="D100" s="77"/>
      <c r="E100" s="43"/>
      <c r="F100" s="43"/>
      <c r="G100" s="43"/>
      <c r="H100" s="13"/>
      <c r="I100" s="43"/>
      <c r="J100" s="43"/>
      <c r="K100" s="68"/>
      <c r="L100" s="2793"/>
      <c r="M100" s="2793"/>
      <c r="N100" s="2794"/>
      <c r="O100" s="4728" t="s">
        <v>1524</v>
      </c>
      <c r="P100" s="605"/>
      <c r="Q100" s="2592"/>
    </row>
    <row r="101" spans="1:17" ht="12" customHeight="1">
      <c r="A101" s="72"/>
      <c r="B101" s="16" t="s">
        <v>1526</v>
      </c>
      <c r="C101" s="13" t="s">
        <v>2463</v>
      </c>
      <c r="D101" s="77"/>
      <c r="E101" s="43"/>
      <c r="F101" s="43"/>
      <c r="G101" s="43"/>
      <c r="H101" s="13"/>
      <c r="I101" s="43"/>
      <c r="J101" s="43"/>
      <c r="K101" s="68"/>
      <c r="L101" s="2578"/>
      <c r="M101" s="2578"/>
      <c r="N101" s="77"/>
      <c r="O101" s="28" t="s">
        <v>1526</v>
      </c>
      <c r="P101" s="118"/>
      <c r="Q101" s="308"/>
    </row>
    <row r="102" spans="1:17" s="77" customFormat="1" ht="12" customHeight="1">
      <c r="A102" s="22" t="s">
        <v>232</v>
      </c>
      <c r="B102" s="13" t="s">
        <v>2464</v>
      </c>
      <c r="D102" s="68"/>
      <c r="E102" s="68"/>
      <c r="F102" s="68"/>
      <c r="G102" s="68"/>
      <c r="H102" s="68"/>
      <c r="I102" s="43"/>
      <c r="J102" s="43"/>
      <c r="K102" s="68"/>
      <c r="L102" s="2578"/>
      <c r="M102" s="2578"/>
      <c r="N102" s="2578"/>
      <c r="O102" s="28" t="s">
        <v>232</v>
      </c>
    </row>
    <row r="103" spans="1:17" s="77" customFormat="1" ht="12" customHeight="1">
      <c r="A103" s="22"/>
      <c r="B103" s="16" t="s">
        <v>1521</v>
      </c>
      <c r="C103" s="13" t="s">
        <v>2465</v>
      </c>
      <c r="E103" s="68"/>
      <c r="F103" s="68"/>
      <c r="G103" s="68"/>
      <c r="H103" s="68"/>
      <c r="I103" s="43"/>
      <c r="J103" s="43"/>
      <c r="K103" s="68"/>
      <c r="L103" s="2578"/>
      <c r="M103" s="2578"/>
      <c r="O103" s="28" t="s">
        <v>1521</v>
      </c>
      <c r="P103" s="935"/>
      <c r="Q103" s="936"/>
    </row>
    <row r="104" spans="1:17" s="77" customFormat="1" ht="12" customHeight="1">
      <c r="A104" s="22"/>
      <c r="B104" s="16" t="s">
        <v>1524</v>
      </c>
      <c r="C104" s="13" t="s">
        <v>2466</v>
      </c>
      <c r="E104" s="68"/>
      <c r="F104" s="68"/>
      <c r="G104" s="68"/>
      <c r="H104" s="43"/>
      <c r="I104" s="43"/>
      <c r="J104" s="43"/>
      <c r="K104" s="68"/>
      <c r="L104" s="2578"/>
      <c r="M104" s="2578"/>
      <c r="O104" s="28" t="s">
        <v>1524</v>
      </c>
      <c r="P104" s="202"/>
      <c r="Q104" s="307"/>
    </row>
    <row r="105" spans="1:17" s="77" customFormat="1" ht="12" customHeight="1">
      <c r="A105" s="22"/>
      <c r="B105" s="16"/>
      <c r="C105" s="13" t="s">
        <v>2467</v>
      </c>
      <c r="E105" s="28" t="s">
        <v>2468</v>
      </c>
      <c r="F105" s="13" t="s">
        <v>2469</v>
      </c>
      <c r="G105" s="43"/>
      <c r="H105" s="13"/>
      <c r="I105" s="43"/>
      <c r="J105" s="43"/>
      <c r="K105" s="68"/>
      <c r="L105" s="2578"/>
      <c r="M105" s="2578"/>
      <c r="O105" s="28" t="s">
        <v>2468</v>
      </c>
      <c r="P105" s="1425"/>
      <c r="Q105" s="1426"/>
    </row>
    <row r="106" spans="1:17" s="77" customFormat="1" ht="12" customHeight="1">
      <c r="A106" s="22"/>
      <c r="B106" s="16"/>
      <c r="E106" s="28" t="s">
        <v>2470</v>
      </c>
      <c r="F106" s="13" t="s">
        <v>2471</v>
      </c>
      <c r="G106" s="43"/>
      <c r="H106" s="13"/>
      <c r="I106" s="43"/>
      <c r="J106" s="43"/>
      <c r="K106" s="68"/>
      <c r="L106" s="2578"/>
      <c r="M106" s="2578"/>
      <c r="O106" s="28" t="s">
        <v>2470</v>
      </c>
      <c r="P106" s="202"/>
      <c r="Q106" s="307"/>
    </row>
    <row r="107" spans="1:17" s="77" customFormat="1" ht="12" customHeight="1">
      <c r="A107" s="22"/>
      <c r="B107" s="16" t="s">
        <v>1526</v>
      </c>
      <c r="C107" s="13" t="s">
        <v>2472</v>
      </c>
      <c r="E107" s="68"/>
      <c r="F107" s="68"/>
      <c r="G107" s="68"/>
      <c r="H107" s="13"/>
      <c r="I107" s="43"/>
      <c r="J107" s="43"/>
      <c r="K107" s="68"/>
      <c r="L107" s="2578"/>
      <c r="M107" s="2578"/>
      <c r="O107" s="28" t="s">
        <v>1526</v>
      </c>
      <c r="P107" s="202"/>
      <c r="Q107" s="307"/>
    </row>
    <row r="108" spans="1:17" s="77" customFormat="1" ht="12" customHeight="1">
      <c r="A108" s="22"/>
      <c r="B108" s="28"/>
      <c r="C108" s="13" t="s">
        <v>2467</v>
      </c>
      <c r="E108" s="28" t="s">
        <v>2468</v>
      </c>
      <c r="F108" s="13" t="s">
        <v>2473</v>
      </c>
      <c r="G108" s="43"/>
      <c r="H108" s="13"/>
      <c r="I108" s="43"/>
      <c r="J108" s="43"/>
      <c r="K108" s="68"/>
      <c r="L108" s="2578"/>
      <c r="O108" s="28" t="s">
        <v>2468</v>
      </c>
      <c r="P108" s="1425"/>
      <c r="Q108" s="1426"/>
    </row>
    <row r="109" spans="1:17" s="77" customFormat="1" ht="12" customHeight="1">
      <c r="A109" s="22"/>
      <c r="B109" s="28"/>
      <c r="E109" s="28" t="s">
        <v>2470</v>
      </c>
      <c r="F109" s="13" t="s">
        <v>2474</v>
      </c>
      <c r="G109" s="43"/>
      <c r="H109" s="13"/>
      <c r="I109" s="43"/>
      <c r="J109" s="43"/>
      <c r="O109" s="28" t="s">
        <v>2470</v>
      </c>
      <c r="P109" s="118"/>
      <c r="Q109" s="308"/>
    </row>
    <row r="110" spans="1:17" ht="12" customHeight="1">
      <c r="A110" s="22" t="s">
        <v>239</v>
      </c>
      <c r="B110" s="16" t="s">
        <v>2475</v>
      </c>
      <c r="C110" s="77"/>
      <c r="D110" s="68"/>
      <c r="E110" s="68"/>
      <c r="F110" s="68"/>
      <c r="G110" s="68"/>
      <c r="H110" s="68"/>
      <c r="I110" s="43"/>
      <c r="J110" s="43"/>
      <c r="K110" s="68"/>
      <c r="L110" s="77"/>
      <c r="M110" s="2578"/>
      <c r="N110" s="2578"/>
      <c r="O110" s="2578"/>
      <c r="P110" s="2578"/>
      <c r="Q110" s="2578"/>
    </row>
    <row r="111" spans="1:17" ht="12" customHeight="1">
      <c r="A111" s="22"/>
      <c r="B111" s="16" t="s">
        <v>1521</v>
      </c>
      <c r="C111" s="13" t="s">
        <v>2472</v>
      </c>
      <c r="D111" s="68"/>
      <c r="E111" s="16"/>
      <c r="F111" s="935"/>
      <c r="G111" s="936"/>
      <c r="H111" s="28" t="s">
        <v>2476</v>
      </c>
      <c r="I111" s="13" t="s">
        <v>2477</v>
      </c>
      <c r="J111" s="935"/>
      <c r="K111" s="936"/>
      <c r="L111" s="28" t="s">
        <v>2478</v>
      </c>
      <c r="M111" s="73" t="s">
        <v>2479</v>
      </c>
      <c r="N111" s="77"/>
      <c r="O111" s="77"/>
      <c r="P111" s="935"/>
      <c r="Q111" s="936"/>
    </row>
    <row r="112" spans="1:17" ht="12.75" customHeight="1">
      <c r="A112" s="77"/>
      <c r="B112" s="16" t="s">
        <v>1524</v>
      </c>
      <c r="C112" s="13" t="s">
        <v>2480</v>
      </c>
      <c r="D112" s="77"/>
      <c r="E112" s="68"/>
      <c r="F112" s="202"/>
      <c r="G112" s="307"/>
      <c r="H112" s="28" t="s">
        <v>2481</v>
      </c>
      <c r="I112" s="13" t="s">
        <v>2482</v>
      </c>
      <c r="J112" s="202"/>
      <c r="K112" s="307"/>
      <c r="L112" s="28" t="s">
        <v>2483</v>
      </c>
      <c r="M112" s="25" t="s">
        <v>2484</v>
      </c>
      <c r="N112" s="77"/>
      <c r="O112" s="2578"/>
      <c r="P112" s="202"/>
      <c r="Q112" s="307"/>
    </row>
    <row r="113" spans="1:31" ht="12" customHeight="1">
      <c r="A113" s="13"/>
      <c r="B113" s="16" t="s">
        <v>1526</v>
      </c>
      <c r="C113" s="13" t="s">
        <v>2485</v>
      </c>
      <c r="D113" s="77"/>
      <c r="E113" s="68"/>
      <c r="F113" s="202"/>
      <c r="G113" s="307"/>
      <c r="H113" s="28" t="s">
        <v>2486</v>
      </c>
      <c r="I113" s="13" t="s">
        <v>2487</v>
      </c>
      <c r="J113" s="202"/>
      <c r="K113" s="307"/>
      <c r="L113" s="28" t="s">
        <v>2488</v>
      </c>
      <c r="M113" s="13" t="s">
        <v>2489</v>
      </c>
      <c r="N113" s="77"/>
      <c r="O113" s="77"/>
      <c r="P113" s="202"/>
      <c r="Q113" s="307"/>
      <c r="R113" s="77"/>
      <c r="S113" s="77"/>
      <c r="T113" s="77"/>
      <c r="U113" s="77"/>
      <c r="V113" s="77"/>
      <c r="W113" s="77"/>
      <c r="X113" s="77"/>
      <c r="Y113" s="77"/>
      <c r="Z113" s="77"/>
      <c r="AA113" s="77"/>
      <c r="AB113" s="77"/>
      <c r="AC113" s="77"/>
      <c r="AD113" s="77"/>
      <c r="AE113" s="77"/>
    </row>
    <row r="114" spans="1:31" ht="12" customHeight="1">
      <c r="A114" s="13"/>
      <c r="B114" s="16" t="s">
        <v>1528</v>
      </c>
      <c r="C114" s="25" t="s">
        <v>2490</v>
      </c>
      <c r="D114" s="77"/>
      <c r="E114" s="68"/>
      <c r="F114" s="118"/>
      <c r="G114" s="308"/>
      <c r="H114" s="28" t="s">
        <v>2491</v>
      </c>
      <c r="I114" s="25" t="s">
        <v>2492</v>
      </c>
      <c r="J114" s="118"/>
      <c r="K114" s="308"/>
      <c r="L114" s="28" t="s">
        <v>2493</v>
      </c>
      <c r="M114" s="25" t="s">
        <v>2494</v>
      </c>
      <c r="N114" s="77"/>
      <c r="O114" s="77"/>
      <c r="P114" s="118"/>
      <c r="Q114" s="308"/>
      <c r="R114" s="77"/>
      <c r="S114" s="77"/>
      <c r="T114" s="77"/>
      <c r="U114" s="77"/>
      <c r="V114" s="77"/>
      <c r="W114" s="77"/>
      <c r="X114" s="77"/>
      <c r="Y114" s="77"/>
      <c r="Z114" s="77"/>
      <c r="AA114" s="77"/>
      <c r="AB114" s="77"/>
      <c r="AC114" s="77"/>
      <c r="AD114" s="77"/>
      <c r="AE114" s="77"/>
    </row>
    <row r="115" spans="1:31" ht="12" customHeight="1">
      <c r="A115" s="13"/>
      <c r="B115" s="28" t="s">
        <v>2495</v>
      </c>
      <c r="C115" s="13" t="s">
        <v>2496</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030"/>
      <c r="D116" s="4030"/>
      <c r="E116" s="4030"/>
      <c r="F116" s="4030"/>
      <c r="G116" s="4030"/>
      <c r="H116" s="4030"/>
      <c r="I116" s="4030"/>
      <c r="J116" s="4030"/>
      <c r="K116" s="4030"/>
      <c r="L116" s="4030"/>
      <c r="M116" s="4030"/>
      <c r="N116" s="4030"/>
      <c r="O116" s="4030"/>
      <c r="P116" s="4030"/>
      <c r="Q116" s="4030"/>
      <c r="R116" s="77"/>
      <c r="S116" s="77"/>
      <c r="T116" s="77"/>
      <c r="U116" s="77"/>
      <c r="V116" s="77"/>
      <c r="W116" s="77"/>
      <c r="X116" s="77"/>
      <c r="Y116" s="77"/>
      <c r="Z116" s="77"/>
      <c r="AA116" s="77"/>
      <c r="AB116" s="77"/>
      <c r="AC116" s="77"/>
      <c r="AD116" s="77"/>
      <c r="AE116" s="77"/>
    </row>
    <row r="117" spans="1:31" ht="12" customHeight="1">
      <c r="A117" s="75" t="s">
        <v>241</v>
      </c>
      <c r="B117" s="13" t="s">
        <v>2497</v>
      </c>
      <c r="C117" s="77"/>
      <c r="D117" s="68"/>
      <c r="E117" s="68"/>
      <c r="F117" s="68"/>
      <c r="G117" s="68"/>
      <c r="H117" s="68"/>
      <c r="I117" s="43"/>
      <c r="J117" s="43"/>
      <c r="K117" s="68"/>
      <c r="L117" s="68"/>
      <c r="M117" s="2578"/>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1521</v>
      </c>
      <c r="C118" s="13" t="s">
        <v>2498</v>
      </c>
      <c r="D118" s="77"/>
      <c r="E118" s="68"/>
      <c r="F118" s="68"/>
      <c r="G118" s="68"/>
      <c r="H118" s="68"/>
      <c r="I118" s="77"/>
      <c r="J118" s="77"/>
      <c r="K118" s="77"/>
      <c r="L118" s="77"/>
      <c r="M118" s="77"/>
      <c r="N118" s="77"/>
      <c r="O118" s="28" t="s">
        <v>2499</v>
      </c>
      <c r="P118" s="935"/>
      <c r="Q118" s="936"/>
      <c r="R118" s="77"/>
      <c r="S118" s="77"/>
      <c r="T118" s="77"/>
      <c r="U118" s="77"/>
      <c r="V118" s="77"/>
      <c r="W118" s="77"/>
      <c r="X118" s="77"/>
      <c r="Y118" s="77"/>
      <c r="Z118" s="77"/>
      <c r="AA118" s="77"/>
      <c r="AB118" s="77"/>
      <c r="AC118" s="77"/>
      <c r="AD118" s="77"/>
      <c r="AE118" s="77"/>
    </row>
    <row r="119" spans="1:31" ht="12.75" customHeight="1">
      <c r="A119" s="2584"/>
      <c r="B119" s="16" t="s">
        <v>1524</v>
      </c>
      <c r="C119" s="13" t="s">
        <v>2500</v>
      </c>
      <c r="D119" s="77"/>
      <c r="E119" s="13"/>
      <c r="F119" s="13"/>
      <c r="G119" s="13"/>
      <c r="H119" s="13"/>
      <c r="I119" s="43"/>
      <c r="J119" s="43"/>
      <c r="K119" s="13"/>
      <c r="L119" s="13"/>
      <c r="M119" s="13"/>
      <c r="N119" s="77"/>
      <c r="O119" s="28" t="s">
        <v>1524</v>
      </c>
      <c r="P119" s="202"/>
      <c r="Q119" s="307"/>
      <c r="R119" s="77"/>
      <c r="S119" s="77"/>
      <c r="T119" s="77"/>
      <c r="U119" s="77"/>
      <c r="V119" s="77"/>
      <c r="W119" s="77"/>
      <c r="X119" s="77"/>
      <c r="Y119" s="77"/>
      <c r="Z119" s="77"/>
      <c r="AA119" s="77"/>
      <c r="AB119" s="77"/>
      <c r="AC119" s="77"/>
      <c r="AD119" s="77"/>
      <c r="AE119" s="77"/>
    </row>
    <row r="120" spans="1:31" ht="12.75" customHeight="1">
      <c r="A120" s="2584"/>
      <c r="B120" s="16" t="s">
        <v>1526</v>
      </c>
      <c r="C120" s="13" t="s">
        <v>2501</v>
      </c>
      <c r="D120" s="77"/>
      <c r="E120" s="13"/>
      <c r="F120" s="13"/>
      <c r="G120" s="13"/>
      <c r="H120" s="13"/>
      <c r="I120" s="43"/>
      <c r="J120" s="43"/>
      <c r="K120" s="13"/>
      <c r="L120" s="13"/>
      <c r="M120" s="13"/>
      <c r="N120" s="77"/>
      <c r="O120" s="28" t="s">
        <v>1526</v>
      </c>
      <c r="P120" s="202"/>
      <c r="Q120" s="307"/>
      <c r="R120" s="77"/>
      <c r="S120" s="77"/>
      <c r="T120" s="77"/>
      <c r="U120" s="77"/>
      <c r="V120" s="77"/>
      <c r="W120" s="77"/>
      <c r="X120" s="77"/>
      <c r="Y120" s="77"/>
      <c r="Z120" s="77"/>
      <c r="AA120" s="77"/>
      <c r="AB120" s="77"/>
      <c r="AC120" s="77"/>
      <c r="AD120" s="77"/>
      <c r="AE120" s="77"/>
    </row>
    <row r="121" spans="1:31" ht="12.75" customHeight="1">
      <c r="A121" s="2584"/>
      <c r="B121" s="16" t="s">
        <v>1528</v>
      </c>
      <c r="C121" s="13" t="s">
        <v>2502</v>
      </c>
      <c r="D121" s="77"/>
      <c r="E121" s="13"/>
      <c r="F121" s="13"/>
      <c r="G121" s="13"/>
      <c r="H121" s="13"/>
      <c r="I121" s="43"/>
      <c r="J121" s="43"/>
      <c r="K121" s="13"/>
      <c r="L121" s="13"/>
      <c r="M121" s="13"/>
      <c r="N121" s="77"/>
      <c r="O121" s="28" t="s">
        <v>1528</v>
      </c>
      <c r="P121" s="118"/>
      <c r="Q121" s="308"/>
      <c r="R121" s="77"/>
      <c r="S121" s="77"/>
      <c r="T121" s="77"/>
      <c r="U121" s="77"/>
      <c r="V121" s="77"/>
      <c r="W121" s="77"/>
      <c r="X121" s="77"/>
      <c r="Y121" s="77"/>
      <c r="Z121" s="77"/>
      <c r="AA121" s="77"/>
      <c r="AB121" s="77"/>
      <c r="AC121" s="77"/>
      <c r="AD121" s="77"/>
      <c r="AE121" s="77"/>
    </row>
    <row r="122" spans="1:31" ht="12" customHeight="1">
      <c r="A122" s="39" t="s">
        <v>2503</v>
      </c>
      <c r="B122" s="77"/>
      <c r="C122" s="13"/>
      <c r="D122" s="68"/>
      <c r="E122" s="68"/>
      <c r="F122" s="68"/>
      <c r="G122" s="68"/>
      <c r="H122" s="68"/>
      <c r="I122" s="43"/>
      <c r="J122" s="43"/>
      <c r="K122" s="68"/>
      <c r="L122" s="68"/>
      <c r="M122" s="2578"/>
      <c r="N122" s="2578"/>
      <c r="O122" s="2578"/>
      <c r="P122" s="2578"/>
      <c r="Q122" s="2578"/>
      <c r="R122" s="2578"/>
      <c r="S122" s="77"/>
      <c r="T122" s="77"/>
      <c r="U122" s="77"/>
      <c r="V122" s="77"/>
      <c r="W122" s="77"/>
      <c r="X122" s="77"/>
      <c r="Y122" s="77"/>
      <c r="Z122" s="77"/>
      <c r="AA122" s="77"/>
      <c r="AB122" s="77"/>
      <c r="AC122" s="77"/>
      <c r="AD122" s="77"/>
      <c r="AE122" s="77"/>
    </row>
    <row r="123" spans="1:31" s="1" customFormat="1" ht="24" customHeight="1">
      <c r="A123" s="75" t="s">
        <v>2437</v>
      </c>
      <c r="B123" s="3998" t="s">
        <v>2504</v>
      </c>
      <c r="C123" s="3998"/>
      <c r="D123" s="3998"/>
      <c r="E123" s="3998"/>
      <c r="F123" s="3998"/>
      <c r="G123" s="3998"/>
      <c r="H123" s="3998"/>
      <c r="I123" s="3998"/>
      <c r="J123" s="3998"/>
      <c r="K123" s="3998"/>
      <c r="L123" s="3998"/>
      <c r="M123" s="84" t="s">
        <v>2437</v>
      </c>
      <c r="N123" s="4010" t="s">
        <v>730</v>
      </c>
      <c r="O123" s="4011"/>
      <c r="P123" s="4012" t="s">
        <v>730</v>
      </c>
      <c r="Q123" s="4013"/>
      <c r="R123" s="43"/>
      <c r="S123" s="43"/>
      <c r="T123" s="43"/>
      <c r="U123" s="43"/>
      <c r="V123" s="43"/>
      <c r="W123" s="43"/>
      <c r="X123" s="43"/>
      <c r="Y123" s="43"/>
      <c r="Z123" s="43"/>
      <c r="AA123" s="43"/>
      <c r="AB123" s="43"/>
      <c r="AC123" s="43"/>
      <c r="AD123" s="43"/>
      <c r="AE123" s="43"/>
    </row>
    <row r="124" spans="1:31" ht="11.25" customHeight="1">
      <c r="A124" s="77"/>
      <c r="B124" s="74" t="s">
        <v>1450</v>
      </c>
      <c r="C124" s="77"/>
      <c r="D124" s="74"/>
      <c r="E124" s="74"/>
      <c r="F124" s="74"/>
      <c r="G124" s="74"/>
      <c r="H124" s="16"/>
      <c r="I124" s="2584"/>
      <c r="J124" s="2584"/>
      <c r="K124" s="2584"/>
      <c r="L124" s="517"/>
      <c r="M124" s="517"/>
      <c r="N124" s="517"/>
      <c r="O124" s="517"/>
      <c r="P124" s="517"/>
      <c r="Q124" s="517"/>
      <c r="R124" s="77"/>
      <c r="S124" s="77"/>
      <c r="T124" s="77"/>
      <c r="U124" s="77"/>
      <c r="V124" s="77"/>
      <c r="W124" s="77"/>
      <c r="X124" s="77"/>
      <c r="Y124" s="77"/>
      <c r="Z124" s="77"/>
      <c r="AA124" s="77"/>
      <c r="AB124" s="77"/>
      <c r="AC124" s="77"/>
      <c r="AD124" s="77"/>
      <c r="AE124" s="77"/>
    </row>
    <row r="125" spans="1:31" ht="45" customHeight="1">
      <c r="A125" s="3995"/>
      <c r="B125" s="3996"/>
      <c r="C125" s="3996"/>
      <c r="D125" s="3996"/>
      <c r="E125" s="3996"/>
      <c r="F125" s="3996"/>
      <c r="G125" s="3996"/>
      <c r="H125" s="3996"/>
      <c r="I125" s="3996"/>
      <c r="J125" s="3996"/>
      <c r="K125" s="3996"/>
      <c r="L125" s="3996"/>
      <c r="M125" s="3996"/>
      <c r="N125" s="3996"/>
      <c r="O125" s="3996"/>
      <c r="P125" s="3996"/>
      <c r="Q125" s="3997"/>
      <c r="R125" s="249" t="s">
        <v>2401</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1447</v>
      </c>
      <c r="C127" s="71"/>
      <c r="D127" s="2574"/>
      <c r="E127" s="2574"/>
      <c r="F127" s="2574"/>
      <c r="G127" s="2574"/>
      <c r="H127" s="2574"/>
      <c r="I127" s="2574"/>
      <c r="J127" s="2574"/>
      <c r="K127" s="2574"/>
      <c r="L127" s="2574"/>
      <c r="M127" s="2574"/>
      <c r="N127" s="2574"/>
      <c r="O127" s="2574"/>
      <c r="P127" s="2574"/>
      <c r="Q127" s="2574"/>
      <c r="R127" s="77"/>
      <c r="S127" s="77"/>
      <c r="T127" s="77"/>
      <c r="U127" s="77"/>
      <c r="V127" s="77"/>
      <c r="W127" s="77"/>
      <c r="X127" s="77"/>
      <c r="Y127" s="77"/>
      <c r="Z127" s="77"/>
      <c r="AA127" s="77"/>
      <c r="AB127" s="77"/>
      <c r="AC127" s="77"/>
      <c r="AD127" s="77"/>
      <c r="AE127" s="77"/>
    </row>
    <row r="128" spans="1:31" ht="45" customHeight="1">
      <c r="A128" s="3999"/>
      <c r="B128" s="4000"/>
      <c r="C128" s="4000"/>
      <c r="D128" s="4000"/>
      <c r="E128" s="4000"/>
      <c r="F128" s="4000"/>
      <c r="G128" s="4000"/>
      <c r="H128" s="4000"/>
      <c r="I128" s="4000"/>
      <c r="J128" s="4000"/>
      <c r="K128" s="4000"/>
      <c r="L128" s="4000"/>
      <c r="M128" s="4000"/>
      <c r="N128" s="4000"/>
      <c r="O128" s="4000"/>
      <c r="P128" s="4000"/>
      <c r="Q128" s="4001"/>
      <c r="R128" s="77"/>
      <c r="S128" s="77"/>
      <c r="T128" s="77"/>
      <c r="U128" s="77"/>
      <c r="V128" s="77"/>
      <c r="W128" s="77"/>
      <c r="X128" s="77"/>
      <c r="Y128" s="77"/>
      <c r="Z128" s="77"/>
      <c r="AA128" s="77"/>
      <c r="AB128" s="77"/>
      <c r="AC128" s="77"/>
      <c r="AD128" s="77"/>
      <c r="AE128" s="77"/>
    </row>
    <row r="129" spans="1:31" ht="3" customHeight="1">
      <c r="A129" s="517"/>
      <c r="B129" s="2584"/>
      <c r="C129" s="2574"/>
      <c r="D129" s="2574"/>
      <c r="E129" s="2574"/>
      <c r="F129" s="2574"/>
      <c r="G129" s="2574"/>
      <c r="H129" s="2574"/>
      <c r="I129" s="2574"/>
      <c r="J129" s="2574"/>
      <c r="K129" s="2574"/>
      <c r="L129" s="2574"/>
      <c r="M129" s="2574"/>
      <c r="N129" s="2574"/>
      <c r="O129" s="2574"/>
      <c r="P129" s="2574"/>
      <c r="Q129" s="517"/>
      <c r="R129" s="77"/>
      <c r="S129" s="77"/>
      <c r="T129" s="77"/>
      <c r="U129" s="77"/>
      <c r="V129" s="77"/>
      <c r="W129" s="77"/>
      <c r="X129" s="77"/>
      <c r="Y129" s="77"/>
      <c r="Z129" s="77"/>
      <c r="AA129" s="77"/>
      <c r="AB129" s="77"/>
      <c r="AC129" s="77"/>
      <c r="AD129" s="77"/>
      <c r="AE129" s="77"/>
    </row>
    <row r="130" spans="1:31" ht="14.1" customHeight="1">
      <c r="A130" s="2536" t="s">
        <v>1488</v>
      </c>
      <c r="B130" s="2536" t="s">
        <v>1482</v>
      </c>
      <c r="C130" s="2536"/>
      <c r="D130" s="2574"/>
      <c r="E130" s="2574"/>
      <c r="F130" s="2574"/>
      <c r="G130" s="2574"/>
      <c r="H130" s="2574"/>
      <c r="I130" s="2574"/>
      <c r="J130" s="2574"/>
      <c r="K130" s="2574"/>
      <c r="L130" s="77"/>
      <c r="M130" s="77"/>
      <c r="N130" s="643" t="s">
        <v>2453</v>
      </c>
      <c r="O130" s="66" t="s">
        <v>1444</v>
      </c>
      <c r="P130" s="4014"/>
      <c r="Q130" s="4003"/>
      <c r="R130" s="645" t="s">
        <v>2454</v>
      </c>
      <c r="S130" s="77"/>
      <c r="T130" s="77"/>
      <c r="U130" s="77"/>
      <c r="V130" s="77"/>
      <c r="W130" s="77"/>
      <c r="X130" s="77"/>
      <c r="Y130" s="77"/>
      <c r="Z130" s="77"/>
      <c r="AA130" s="77"/>
      <c r="AB130" s="77"/>
      <c r="AC130" s="77"/>
      <c r="AD130" s="77"/>
      <c r="AE130" s="77"/>
    </row>
    <row r="131" spans="1:31" ht="12" customHeight="1">
      <c r="A131" s="22" t="s">
        <v>197</v>
      </c>
      <c r="B131" s="16" t="s">
        <v>1521</v>
      </c>
      <c r="C131" s="13" t="s">
        <v>2505</v>
      </c>
      <c r="D131" s="13"/>
      <c r="E131" s="13"/>
      <c r="F131" s="13"/>
      <c r="G131" s="13"/>
      <c r="H131" s="77"/>
      <c r="I131" s="77"/>
      <c r="J131" s="77"/>
      <c r="K131" s="13" t="s">
        <v>2506</v>
      </c>
      <c r="L131" s="77"/>
      <c r="M131" s="4036"/>
      <c r="N131" s="4037"/>
      <c r="O131" s="28" t="s">
        <v>1521</v>
      </c>
      <c r="P131" s="267"/>
      <c r="Q131" s="306"/>
      <c r="R131" s="77"/>
      <c r="S131" s="77"/>
      <c r="T131" s="77"/>
      <c r="U131" s="77"/>
      <c r="V131" s="77"/>
      <c r="W131" s="77"/>
      <c r="X131" s="77"/>
      <c r="Y131" s="77"/>
      <c r="Z131" s="77"/>
      <c r="AA131" s="77"/>
      <c r="AB131" s="77"/>
      <c r="AC131" s="77"/>
      <c r="AD131" s="77"/>
      <c r="AE131" s="77"/>
    </row>
    <row r="132" spans="1:31" ht="12" customHeight="1">
      <c r="A132" s="22"/>
      <c r="B132" s="16" t="s">
        <v>1524</v>
      </c>
      <c r="C132" s="13" t="s">
        <v>2507</v>
      </c>
      <c r="D132" s="13"/>
      <c r="E132" s="13"/>
      <c r="F132" s="13"/>
      <c r="G132" s="13"/>
      <c r="H132" s="77"/>
      <c r="I132" s="77"/>
      <c r="J132" s="77"/>
      <c r="K132" s="13" t="s">
        <v>2506</v>
      </c>
      <c r="L132" s="77"/>
      <c r="M132" s="4036"/>
      <c r="N132" s="4037"/>
      <c r="O132" s="28" t="s">
        <v>1524</v>
      </c>
      <c r="P132" s="267"/>
      <c r="Q132" s="306"/>
      <c r="R132" s="77"/>
      <c r="S132" s="77"/>
      <c r="T132" s="77"/>
      <c r="U132" s="77"/>
      <c r="V132" s="77"/>
      <c r="W132" s="77"/>
      <c r="X132" s="77"/>
      <c r="Y132" s="77"/>
      <c r="Z132" s="77"/>
      <c r="AA132" s="77"/>
      <c r="AB132" s="77"/>
      <c r="AC132" s="77"/>
      <c r="AD132" s="77"/>
      <c r="AE132" s="77"/>
    </row>
    <row r="133" spans="1:31" ht="12" customHeight="1">
      <c r="A133" s="22" t="s">
        <v>209</v>
      </c>
      <c r="B133" s="73" t="s">
        <v>1483</v>
      </c>
      <c r="C133" s="77"/>
      <c r="D133" s="73"/>
      <c r="E133" s="73"/>
      <c r="F133" s="13" t="str">
        <f>IF(M133="Ground lease/Option","Ground lease/Option:","")</f>
        <v>Ground lease/Option:</v>
      </c>
      <c r="G133" s="77"/>
      <c r="H133" s="13" t="str">
        <f>IF(M133="Ground lease/Option","Annual Pymt:","")</f>
        <v>Annual Pymt:</v>
      </c>
      <c r="I133" s="905" t="e">
        <f>IF(M133="Ground lease/Option",#REF!,"")</f>
        <v>#REF!</v>
      </c>
      <c r="J133" s="28" t="str">
        <f>IF(M133="Ground lease/Option","Term:","")</f>
        <v>Term:</v>
      </c>
      <c r="K133" s="1188" t="e">
        <f>IF(M133="Ground lease/Option",#REF!,"")</f>
        <v>#REF!</v>
      </c>
      <c r="L133" s="28" t="s">
        <v>209</v>
      </c>
      <c r="M133" s="4083" t="s">
        <v>1484</v>
      </c>
      <c r="N133" s="4084"/>
      <c r="O133" s="77"/>
      <c r="P133" s="4085" t="s">
        <v>730</v>
      </c>
      <c r="Q133" s="4086"/>
      <c r="R133" s="77"/>
      <c r="S133" s="77"/>
      <c r="T133" s="77"/>
      <c r="U133" s="77"/>
      <c r="V133" s="77"/>
      <c r="W133" s="77"/>
      <c r="X133" s="77"/>
      <c r="Y133" s="77"/>
      <c r="Z133" s="77"/>
      <c r="AA133" s="77"/>
      <c r="AB133" s="77"/>
      <c r="AC133" s="77"/>
      <c r="AD133" s="77"/>
      <c r="AE133" s="77"/>
    </row>
    <row r="134" spans="1:31" ht="12" customHeight="1">
      <c r="A134" s="22" t="s">
        <v>230</v>
      </c>
      <c r="B134" s="73" t="s">
        <v>1485</v>
      </c>
      <c r="C134" s="77"/>
      <c r="D134" s="73"/>
      <c r="E134" s="73"/>
      <c r="F134" s="73"/>
      <c r="G134" s="73"/>
      <c r="H134" s="73"/>
      <c r="I134" s="77"/>
      <c r="J134" s="28" t="s">
        <v>230</v>
      </c>
      <c r="K134" s="4057"/>
      <c r="L134" s="4058"/>
      <c r="M134" s="4058"/>
      <c r="N134" s="4058"/>
      <c r="O134" s="4058"/>
      <c r="P134" s="4059"/>
      <c r="Q134" s="306"/>
      <c r="R134" s="77"/>
      <c r="S134" s="77"/>
      <c r="T134" s="77"/>
      <c r="U134" s="77"/>
      <c r="V134" s="77"/>
      <c r="W134" s="77"/>
      <c r="X134" s="77"/>
      <c r="Y134" s="77"/>
      <c r="Z134" s="77"/>
      <c r="AA134" s="77"/>
      <c r="AB134" s="77"/>
      <c r="AC134" s="77"/>
      <c r="AD134" s="77"/>
      <c r="AE134" s="77"/>
    </row>
    <row r="135" spans="1:31" ht="21.75" customHeight="1">
      <c r="A135" s="75" t="s">
        <v>232</v>
      </c>
      <c r="B135" s="3998" t="s">
        <v>2508</v>
      </c>
      <c r="C135" s="3998"/>
      <c r="D135" s="3998"/>
      <c r="E135" s="3998"/>
      <c r="F135" s="3998"/>
      <c r="G135" s="3998"/>
      <c r="H135" s="3998"/>
      <c r="I135" s="3998"/>
      <c r="J135" s="3998"/>
      <c r="K135" s="3998"/>
      <c r="L135" s="3998"/>
      <c r="M135" s="3998"/>
      <c r="N135" s="3998"/>
      <c r="O135" s="84" t="s">
        <v>232</v>
      </c>
      <c r="P135" s="2583"/>
      <c r="Q135" s="2581"/>
      <c r="R135" s="77"/>
      <c r="S135" s="77"/>
      <c r="T135" s="77"/>
      <c r="U135" s="77"/>
      <c r="V135" s="77"/>
      <c r="W135" s="77"/>
      <c r="X135" s="77"/>
      <c r="Y135" s="77"/>
      <c r="Z135" s="77"/>
      <c r="AA135" s="77"/>
      <c r="AB135" s="77"/>
      <c r="AC135" s="77"/>
      <c r="AD135" s="77"/>
      <c r="AE135" s="77"/>
    </row>
    <row r="136" spans="1:31" ht="12" customHeight="1">
      <c r="A136" s="77"/>
      <c r="B136" s="74" t="s">
        <v>1450</v>
      </c>
      <c r="C136" s="77"/>
      <c r="D136" s="74"/>
      <c r="E136" s="74"/>
      <c r="F136" s="74"/>
      <c r="G136" s="74"/>
      <c r="H136" s="16"/>
      <c r="I136" s="2584"/>
      <c r="J136" s="2584"/>
      <c r="K136" s="2584"/>
      <c r="L136" s="517"/>
      <c r="M136" s="517"/>
      <c r="N136" s="517"/>
      <c r="O136" s="517"/>
      <c r="P136" s="517"/>
      <c r="Q136" s="517"/>
      <c r="R136" s="77"/>
      <c r="S136" s="77"/>
      <c r="T136" s="77"/>
      <c r="U136" s="77"/>
      <c r="V136" s="77"/>
      <c r="W136" s="77"/>
      <c r="X136" s="77"/>
      <c r="Y136" s="77"/>
      <c r="Z136" s="77"/>
      <c r="AA136" s="77"/>
      <c r="AB136" s="77"/>
      <c r="AC136" s="77"/>
      <c r="AD136" s="77"/>
      <c r="AE136" s="77"/>
    </row>
    <row r="137" spans="1:31" ht="11.65" customHeight="1">
      <c r="A137" s="3995"/>
      <c r="B137" s="3996"/>
      <c r="C137" s="3996"/>
      <c r="D137" s="3996"/>
      <c r="E137" s="3996"/>
      <c r="F137" s="3996"/>
      <c r="G137" s="3996"/>
      <c r="H137" s="3996"/>
      <c r="I137" s="3996"/>
      <c r="J137" s="3996"/>
      <c r="K137" s="3996"/>
      <c r="L137" s="3996"/>
      <c r="M137" s="3996"/>
      <c r="N137" s="3996"/>
      <c r="O137" s="3996"/>
      <c r="P137" s="3996"/>
      <c r="Q137" s="3997"/>
      <c r="R137" s="77"/>
      <c r="S137" s="77"/>
      <c r="T137" s="77"/>
      <c r="U137" s="69"/>
      <c r="V137" s="69"/>
      <c r="W137" s="69"/>
      <c r="X137" s="69"/>
      <c r="Y137" s="69"/>
      <c r="Z137" s="69"/>
      <c r="AA137" s="69"/>
      <c r="AB137" s="69"/>
      <c r="AC137" s="69"/>
      <c r="AD137" s="69"/>
      <c r="AE137" s="69"/>
    </row>
    <row r="138" spans="1:31" ht="12" customHeight="1">
      <c r="A138" s="77"/>
      <c r="B138" s="70" t="s">
        <v>1447</v>
      </c>
      <c r="C138" s="71"/>
      <c r="D138" s="2574"/>
      <c r="E138" s="2574"/>
      <c r="F138" s="2574"/>
      <c r="G138" s="2574"/>
      <c r="H138" s="2574"/>
      <c r="I138" s="2574"/>
      <c r="J138" s="2574"/>
      <c r="K138" s="2574"/>
      <c r="L138" s="2574"/>
      <c r="M138" s="2574"/>
      <c r="N138" s="2574"/>
      <c r="O138" s="2574"/>
      <c r="P138" s="2574"/>
      <c r="Q138" s="2574"/>
      <c r="R138" s="77"/>
      <c r="S138" s="77"/>
      <c r="T138" s="77"/>
      <c r="U138" s="77"/>
      <c r="V138" s="77"/>
      <c r="W138" s="77"/>
      <c r="X138" s="77"/>
      <c r="Y138" s="77"/>
      <c r="Z138" s="77"/>
      <c r="AA138" s="77"/>
      <c r="AB138" s="77"/>
      <c r="AC138" s="77"/>
      <c r="AD138" s="77"/>
      <c r="AE138" s="77"/>
    </row>
    <row r="139" spans="1:31" ht="11.65" customHeight="1">
      <c r="A139" s="3999"/>
      <c r="B139" s="4000"/>
      <c r="C139" s="4000"/>
      <c r="D139" s="4000"/>
      <c r="E139" s="4000"/>
      <c r="F139" s="4000"/>
      <c r="G139" s="4000"/>
      <c r="H139" s="4000"/>
      <c r="I139" s="4000"/>
      <c r="J139" s="4000"/>
      <c r="K139" s="4000"/>
      <c r="L139" s="4000"/>
      <c r="M139" s="4000"/>
      <c r="N139" s="4000"/>
      <c r="O139" s="4000"/>
      <c r="P139" s="4000"/>
      <c r="Q139" s="4001"/>
      <c r="R139" s="77"/>
      <c r="S139" s="77"/>
      <c r="T139" s="77"/>
      <c r="U139" s="77"/>
      <c r="V139" s="77"/>
      <c r="W139" s="77"/>
      <c r="X139" s="77"/>
      <c r="Y139" s="77"/>
      <c r="Z139" s="77"/>
      <c r="AA139" s="77"/>
      <c r="AB139" s="77"/>
      <c r="AC139" s="77"/>
      <c r="AD139" s="77"/>
      <c r="AE139" s="77"/>
    </row>
    <row r="140" spans="1:31" ht="3" customHeight="1">
      <c r="A140" s="517"/>
      <c r="B140" s="2584"/>
      <c r="C140" s="2574"/>
      <c r="D140" s="2574"/>
      <c r="E140" s="2574"/>
      <c r="F140" s="2574"/>
      <c r="G140" s="2574"/>
      <c r="H140" s="2574"/>
      <c r="I140" s="2574"/>
      <c r="J140" s="2574"/>
      <c r="K140" s="2574"/>
      <c r="L140" s="2574"/>
      <c r="M140" s="2574"/>
      <c r="N140" s="77"/>
      <c r="O140" s="77"/>
      <c r="P140" s="77"/>
      <c r="Q140" s="517"/>
      <c r="R140" s="77"/>
      <c r="S140" s="77"/>
      <c r="T140" s="77"/>
      <c r="U140" s="77"/>
      <c r="V140" s="77"/>
      <c r="W140" s="77"/>
      <c r="X140" s="77"/>
      <c r="Y140" s="77"/>
      <c r="Z140" s="77"/>
      <c r="AA140" s="77"/>
      <c r="AB140" s="77"/>
      <c r="AC140" s="77"/>
      <c r="AD140" s="77"/>
      <c r="AE140" s="77"/>
    </row>
    <row r="141" spans="1:31" ht="14.1" customHeight="1">
      <c r="A141" s="2536" t="s">
        <v>1491</v>
      </c>
      <c r="B141" s="2536" t="s">
        <v>1489</v>
      </c>
      <c r="C141" s="2536"/>
      <c r="D141" s="2574"/>
      <c r="E141" s="2574"/>
      <c r="F141" s="2574"/>
      <c r="G141" s="2574"/>
      <c r="H141" s="2574"/>
      <c r="I141" s="2574"/>
      <c r="J141" s="2574"/>
      <c r="K141" s="2574"/>
      <c r="L141" s="2574"/>
      <c r="M141" s="2574"/>
      <c r="N141" s="77"/>
      <c r="O141" s="66" t="s">
        <v>1444</v>
      </c>
      <c r="P141" s="4014"/>
      <c r="Q141" s="4003"/>
      <c r="R141" s="77"/>
      <c r="S141" s="77"/>
      <c r="T141" s="77"/>
      <c r="U141" s="77"/>
      <c r="V141" s="77"/>
      <c r="W141" s="77"/>
      <c r="X141" s="77"/>
      <c r="Y141" s="77"/>
      <c r="Z141" s="77"/>
      <c r="AA141" s="77"/>
      <c r="AB141" s="77"/>
      <c r="AC141" s="77"/>
      <c r="AD141" s="77"/>
      <c r="AE141" s="77"/>
    </row>
    <row r="142" spans="1:31" ht="21.75" customHeight="1">
      <c r="A142" s="75" t="s">
        <v>197</v>
      </c>
      <c r="B142" s="3998" t="s">
        <v>2509</v>
      </c>
      <c r="C142" s="3998"/>
      <c r="D142" s="3998"/>
      <c r="E142" s="3998"/>
      <c r="F142" s="3998"/>
      <c r="G142" s="3998"/>
      <c r="H142" s="3998"/>
      <c r="I142" s="3998"/>
      <c r="J142" s="3998"/>
      <c r="K142" s="3998"/>
      <c r="L142" s="3998"/>
      <c r="M142" s="3998"/>
      <c r="N142" s="3998"/>
      <c r="O142" s="84" t="s">
        <v>197</v>
      </c>
      <c r="P142" s="1374"/>
      <c r="Q142" s="1375"/>
      <c r="R142" s="77"/>
      <c r="S142" s="77"/>
      <c r="T142" s="77"/>
      <c r="U142" s="77"/>
      <c r="V142" s="77"/>
      <c r="W142" s="77"/>
      <c r="X142" s="77"/>
      <c r="Y142" s="77"/>
      <c r="Z142" s="77"/>
      <c r="AA142" s="77"/>
      <c r="AB142" s="77"/>
      <c r="AC142" s="77"/>
      <c r="AD142" s="77"/>
      <c r="AE142" s="77"/>
    </row>
    <row r="143" spans="1:31" ht="22.35" customHeight="1">
      <c r="A143" s="75" t="s">
        <v>209</v>
      </c>
      <c r="B143" s="3998" t="s">
        <v>2510</v>
      </c>
      <c r="C143" s="3998"/>
      <c r="D143" s="3998"/>
      <c r="E143" s="3998"/>
      <c r="F143" s="3998"/>
      <c r="G143" s="3998"/>
      <c r="H143" s="3998"/>
      <c r="I143" s="3998"/>
      <c r="J143" s="3998"/>
      <c r="K143" s="3998"/>
      <c r="L143" s="3998"/>
      <c r="M143" s="3998"/>
      <c r="N143" s="3998"/>
      <c r="O143" s="84" t="s">
        <v>209</v>
      </c>
      <c r="P143" s="2582"/>
      <c r="Q143" s="2580"/>
      <c r="R143" s="77"/>
      <c r="S143" s="77"/>
      <c r="T143" s="77"/>
      <c r="U143" s="77"/>
      <c r="V143" s="77"/>
      <c r="W143" s="77"/>
      <c r="X143" s="77"/>
      <c r="Y143" s="77"/>
      <c r="Z143" s="77"/>
      <c r="AA143" s="77"/>
      <c r="AB143" s="77"/>
      <c r="AC143" s="77"/>
      <c r="AD143" s="77"/>
      <c r="AE143" s="77"/>
    </row>
    <row r="144" spans="1:31" ht="22.35" customHeight="1">
      <c r="A144" s="75" t="s">
        <v>230</v>
      </c>
      <c r="B144" s="3998" t="s">
        <v>2511</v>
      </c>
      <c r="C144" s="3998"/>
      <c r="D144" s="3998"/>
      <c r="E144" s="3998"/>
      <c r="F144" s="3998"/>
      <c r="G144" s="3998"/>
      <c r="H144" s="3998"/>
      <c r="I144" s="3998"/>
      <c r="J144" s="3998"/>
      <c r="K144" s="3998"/>
      <c r="L144" s="3998"/>
      <c r="M144" s="3998"/>
      <c r="N144" s="3998"/>
      <c r="O144" s="84" t="s">
        <v>230</v>
      </c>
      <c r="P144" s="2582"/>
      <c r="Q144" s="2580"/>
      <c r="R144" s="77"/>
      <c r="S144" s="77"/>
      <c r="T144" s="77"/>
      <c r="U144" s="77"/>
      <c r="V144" s="77"/>
      <c r="W144" s="77"/>
      <c r="X144" s="77"/>
      <c r="Y144" s="77"/>
      <c r="Z144" s="77"/>
      <c r="AA144" s="77"/>
      <c r="AB144" s="77"/>
      <c r="AC144" s="77"/>
      <c r="AD144" s="77"/>
      <c r="AE144" s="77"/>
    </row>
    <row r="145" spans="1:44" ht="21.75" customHeight="1">
      <c r="A145" s="75" t="s">
        <v>232</v>
      </c>
      <c r="B145" s="3998" t="s">
        <v>2512</v>
      </c>
      <c r="C145" s="3998"/>
      <c r="D145" s="3998"/>
      <c r="E145" s="3998"/>
      <c r="F145" s="3998"/>
      <c r="G145" s="3998"/>
      <c r="H145" s="3998"/>
      <c r="I145" s="3998"/>
      <c r="J145" s="3998"/>
      <c r="K145" s="3998"/>
      <c r="L145" s="3998"/>
      <c r="M145" s="3998"/>
      <c r="N145" s="3998"/>
      <c r="O145" s="84" t="s">
        <v>232</v>
      </c>
      <c r="P145" s="2583"/>
      <c r="Q145" s="2581"/>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1450</v>
      </c>
      <c r="C146" s="77"/>
      <c r="D146" s="74"/>
      <c r="E146" s="74"/>
      <c r="F146" s="74"/>
      <c r="G146" s="74"/>
      <c r="H146" s="16"/>
      <c r="I146" s="2584"/>
      <c r="J146" s="2584"/>
      <c r="K146" s="2584"/>
      <c r="L146" s="517"/>
      <c r="M146" s="517"/>
      <c r="N146" s="517"/>
      <c r="O146" s="517"/>
      <c r="P146" s="517"/>
      <c r="Q146" s="51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65" customHeight="1">
      <c r="A147" s="3995"/>
      <c r="B147" s="3996"/>
      <c r="C147" s="3996"/>
      <c r="D147" s="3996"/>
      <c r="E147" s="3996"/>
      <c r="F147" s="3996"/>
      <c r="G147" s="3996"/>
      <c r="H147" s="3996"/>
      <c r="I147" s="3996"/>
      <c r="J147" s="3996"/>
      <c r="K147" s="3996"/>
      <c r="L147" s="3996"/>
      <c r="M147" s="3996"/>
      <c r="N147" s="3996"/>
      <c r="O147" s="3996"/>
      <c r="P147" s="3996"/>
      <c r="Q147" s="3997"/>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1447</v>
      </c>
      <c r="C148" s="71"/>
      <c r="D148" s="2574"/>
      <c r="E148" s="2574"/>
      <c r="F148" s="2574"/>
      <c r="G148" s="2574"/>
      <c r="H148" s="2574"/>
      <c r="I148" s="2574"/>
      <c r="J148" s="2574"/>
      <c r="K148" s="2574"/>
      <c r="L148" s="2574"/>
      <c r="M148" s="2574"/>
      <c r="N148" s="2574"/>
      <c r="O148" s="2574"/>
      <c r="P148" s="2574"/>
      <c r="Q148" s="257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65" customHeight="1">
      <c r="A149" s="3999"/>
      <c r="B149" s="4000"/>
      <c r="C149" s="4000"/>
      <c r="D149" s="4000"/>
      <c r="E149" s="4000"/>
      <c r="F149" s="4000"/>
      <c r="G149" s="4000"/>
      <c r="H149" s="4000"/>
      <c r="I149" s="4000"/>
      <c r="J149" s="4000"/>
      <c r="K149" s="4000"/>
      <c r="L149" s="4000"/>
      <c r="M149" s="4000"/>
      <c r="N149" s="4000"/>
      <c r="O149" s="4000"/>
      <c r="P149" s="4000"/>
      <c r="Q149" s="4001"/>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584"/>
      <c r="C150" s="2574"/>
      <c r="D150" s="2574"/>
      <c r="E150" s="2574"/>
      <c r="F150" s="2574"/>
      <c r="G150" s="2574"/>
      <c r="H150" s="2574"/>
      <c r="I150" s="2574"/>
      <c r="J150" s="2574"/>
      <c r="K150" s="2574"/>
      <c r="L150" s="2574"/>
      <c r="M150" s="2574"/>
      <c r="N150" s="2574"/>
      <c r="O150" s="2574"/>
      <c r="P150" s="2574"/>
      <c r="Q150" s="51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521" t="s">
        <v>1494</v>
      </c>
      <c r="B151" s="3442" t="s">
        <v>1492</v>
      </c>
      <c r="C151" s="3442"/>
      <c r="D151" s="3442"/>
      <c r="E151" s="146"/>
      <c r="F151" s="77"/>
      <c r="G151" s="77"/>
      <c r="H151" s="77"/>
      <c r="I151" s="77"/>
      <c r="J151" s="77"/>
      <c r="K151" s="77"/>
      <c r="L151" s="77"/>
      <c r="M151" s="77"/>
      <c r="N151" s="643" t="s">
        <v>2453</v>
      </c>
      <c r="O151" s="66" t="s">
        <v>1444</v>
      </c>
      <c r="P151" s="4014"/>
      <c r="Q151" s="4003"/>
      <c r="R151" s="645" t="s">
        <v>2454</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65" customHeight="1">
      <c r="B152" s="25" t="s">
        <v>2513</v>
      </c>
      <c r="N152" s="58"/>
      <c r="O152" s="58"/>
      <c r="P152" s="58"/>
      <c r="Q152" s="58"/>
      <c r="S152" s="1041"/>
      <c r="T152" s="1041"/>
      <c r="U152" s="1041"/>
      <c r="V152" s="1041"/>
      <c r="W152" s="1041"/>
      <c r="X152" s="1041"/>
      <c r="Y152" s="1041"/>
      <c r="Z152" s="1041"/>
      <c r="AA152" s="1041"/>
      <c r="AB152" s="1041"/>
      <c r="AC152" s="1041"/>
      <c r="AD152" s="1041"/>
      <c r="AE152" s="1041"/>
      <c r="AF152" s="1041"/>
      <c r="AG152" s="1041"/>
      <c r="AH152" s="1041"/>
      <c r="AI152" s="1041"/>
      <c r="AJ152" s="1041"/>
      <c r="AK152" s="1041"/>
      <c r="AL152" s="1041"/>
      <c r="AM152" s="1041"/>
      <c r="AN152" s="1041"/>
      <c r="AO152" s="1041"/>
      <c r="AP152" s="1041"/>
      <c r="AQ152" s="1041"/>
      <c r="AR152" s="1041"/>
    </row>
    <row r="153" spans="1:44" ht="12" customHeight="1">
      <c r="A153" s="75" t="s">
        <v>197</v>
      </c>
      <c r="B153" s="266" t="s">
        <v>2514</v>
      </c>
      <c r="C153" s="77"/>
      <c r="D153" s="266"/>
      <c r="E153" s="266"/>
      <c r="F153" s="266"/>
      <c r="G153" s="266"/>
      <c r="H153" s="266"/>
      <c r="I153" s="266"/>
      <c r="J153" s="266"/>
      <c r="K153" s="266"/>
      <c r="L153" s="266"/>
      <c r="M153" s="266"/>
      <c r="N153" s="77"/>
      <c r="O153" s="84" t="s">
        <v>197</v>
      </c>
      <c r="P153" s="935"/>
      <c r="Q153" s="936"/>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209</v>
      </c>
      <c r="B154" s="266" t="s">
        <v>2515</v>
      </c>
      <c r="C154" s="77"/>
      <c r="D154" s="266"/>
      <c r="E154" s="266"/>
      <c r="F154" s="266"/>
      <c r="G154" s="266"/>
      <c r="H154" s="266"/>
      <c r="I154" s="266"/>
      <c r="J154" s="266"/>
      <c r="K154" s="266"/>
      <c r="L154" s="266"/>
      <c r="M154" s="266"/>
      <c r="N154" s="77"/>
      <c r="O154" s="84" t="s">
        <v>209</v>
      </c>
      <c r="P154" s="202"/>
      <c r="Q154" s="30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230</v>
      </c>
      <c r="B155" s="266" t="s">
        <v>2516</v>
      </c>
      <c r="C155" s="77"/>
      <c r="D155" s="266"/>
      <c r="E155" s="266"/>
      <c r="F155" s="266"/>
      <c r="G155" s="266"/>
      <c r="H155" s="266"/>
      <c r="I155" s="266"/>
      <c r="J155" s="73" t="s">
        <v>2517</v>
      </c>
      <c r="K155" s="77"/>
      <c r="L155" s="266"/>
      <c r="M155" s="266"/>
      <c r="N155" s="77"/>
      <c r="O155" s="84" t="s">
        <v>230</v>
      </c>
      <c r="P155" s="202"/>
      <c r="Q155" s="30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1521</v>
      </c>
      <c r="C156" s="16" t="s">
        <v>2518</v>
      </c>
      <c r="D156" s="77"/>
      <c r="E156" s="77"/>
      <c r="F156" s="77"/>
      <c r="G156" s="266"/>
      <c r="H156" s="266"/>
      <c r="I156" s="77"/>
      <c r="J156" s="266"/>
      <c r="K156" s="266"/>
      <c r="L156" s="266"/>
      <c r="M156" s="266"/>
      <c r="N156" s="77"/>
      <c r="O156" s="246" t="s">
        <v>1521</v>
      </c>
      <c r="P156" s="202"/>
      <c r="Q156" s="30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1524</v>
      </c>
      <c r="C157" s="16" t="s">
        <v>2519</v>
      </c>
      <c r="D157" s="77"/>
      <c r="E157" s="77"/>
      <c r="F157" s="77"/>
      <c r="G157" s="266"/>
      <c r="H157" s="266"/>
      <c r="I157" s="266"/>
      <c r="J157" s="266"/>
      <c r="K157" s="266"/>
      <c r="L157" s="266"/>
      <c r="M157" s="266"/>
      <c r="N157" s="77"/>
      <c r="O157" s="246" t="s">
        <v>1524</v>
      </c>
      <c r="P157" s="202"/>
      <c r="Q157" s="30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6" t="s">
        <v>1526</v>
      </c>
      <c r="C158" s="3998" t="s">
        <v>2520</v>
      </c>
      <c r="D158" s="3998"/>
      <c r="E158" s="3998"/>
      <c r="F158" s="3998"/>
      <c r="G158" s="3998"/>
      <c r="H158" s="3998"/>
      <c r="I158" s="3998"/>
      <c r="J158" s="3998"/>
      <c r="K158" s="3998"/>
      <c r="L158" s="3998"/>
      <c r="M158" s="3998"/>
      <c r="N158" s="3998"/>
      <c r="O158" s="84" t="s">
        <v>1526</v>
      </c>
      <c r="P158" s="2582"/>
      <c r="Q158" s="2580"/>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1528</v>
      </c>
      <c r="C159" s="16" t="s">
        <v>2521</v>
      </c>
      <c r="D159" s="77"/>
      <c r="E159" s="77"/>
      <c r="F159" s="77"/>
      <c r="G159" s="266"/>
      <c r="H159" s="266"/>
      <c r="I159" s="266"/>
      <c r="J159" s="266"/>
      <c r="K159" s="266"/>
      <c r="L159" s="266"/>
      <c r="M159" s="266"/>
      <c r="N159" s="77"/>
      <c r="O159" s="246" t="s">
        <v>1528</v>
      </c>
      <c r="P159" s="202"/>
      <c r="Q159" s="30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6" t="s">
        <v>2316</v>
      </c>
      <c r="C160" s="3998" t="s">
        <v>2522</v>
      </c>
      <c r="D160" s="3998"/>
      <c r="E160" s="3998"/>
      <c r="F160" s="3998"/>
      <c r="G160" s="3998"/>
      <c r="H160" s="3998"/>
      <c r="I160" s="3998"/>
      <c r="J160" s="3998"/>
      <c r="K160" s="3998"/>
      <c r="L160" s="3998"/>
      <c r="M160" s="3998"/>
      <c r="N160" s="3998"/>
      <c r="O160" s="84" t="s">
        <v>2316</v>
      </c>
      <c r="P160" s="2582"/>
      <c r="Q160" s="2580"/>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6" t="s">
        <v>2318</v>
      </c>
      <c r="C161" s="3998" t="s">
        <v>2523</v>
      </c>
      <c r="D161" s="3998"/>
      <c r="E161" s="3998"/>
      <c r="F161" s="3998"/>
      <c r="G161" s="3998"/>
      <c r="H161" s="3998"/>
      <c r="I161" s="3998"/>
      <c r="J161" s="3998"/>
      <c r="K161" s="3998"/>
      <c r="L161" s="3998"/>
      <c r="M161" s="3998"/>
      <c r="N161" s="3998"/>
      <c r="O161" s="84" t="s">
        <v>2318</v>
      </c>
      <c r="P161" s="2582"/>
      <c r="Q161" s="2580"/>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232</v>
      </c>
      <c r="B162" s="3998" t="s">
        <v>2524</v>
      </c>
      <c r="C162" s="3998"/>
      <c r="D162" s="3998"/>
      <c r="E162" s="3998"/>
      <c r="F162" s="3998"/>
      <c r="G162" s="3998"/>
      <c r="H162" s="3998"/>
      <c r="I162" s="3998"/>
      <c r="J162" s="3998"/>
      <c r="K162" s="3998"/>
      <c r="L162" s="3998"/>
      <c r="M162" s="3998"/>
      <c r="N162" s="3998"/>
      <c r="O162" s="84" t="s">
        <v>232</v>
      </c>
      <c r="P162" s="2582"/>
      <c r="Q162" s="2580"/>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239</v>
      </c>
      <c r="B163" s="266" t="s">
        <v>2525</v>
      </c>
      <c r="C163" s="77"/>
      <c r="D163" s="266"/>
      <c r="E163" s="266"/>
      <c r="F163" s="266"/>
      <c r="G163" s="266"/>
      <c r="H163" s="266"/>
      <c r="I163" s="266"/>
      <c r="J163" s="266"/>
      <c r="K163" s="266"/>
      <c r="L163" s="266"/>
      <c r="M163" s="266"/>
      <c r="N163" s="77"/>
      <c r="O163" s="84" t="s">
        <v>239</v>
      </c>
      <c r="P163" s="118"/>
      <c r="Q163" s="308"/>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1450</v>
      </c>
      <c r="C164" s="77"/>
      <c r="D164" s="74"/>
      <c r="E164" s="74"/>
      <c r="F164" s="74"/>
      <c r="G164" s="74"/>
      <c r="H164" s="16"/>
      <c r="I164" s="2584"/>
      <c r="J164" s="2584"/>
      <c r="K164" s="2584"/>
      <c r="L164" s="517"/>
      <c r="M164" s="517"/>
      <c r="N164" s="517"/>
      <c r="O164" s="517"/>
      <c r="P164" s="517"/>
      <c r="Q164" s="51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65" customHeight="1">
      <c r="A165" s="3995"/>
      <c r="B165" s="3996"/>
      <c r="C165" s="3996"/>
      <c r="D165" s="3996"/>
      <c r="E165" s="3996"/>
      <c r="F165" s="3996"/>
      <c r="G165" s="3996"/>
      <c r="H165" s="3996"/>
      <c r="I165" s="3996"/>
      <c r="J165" s="3996"/>
      <c r="K165" s="3996"/>
      <c r="L165" s="3996"/>
      <c r="M165" s="3996"/>
      <c r="N165" s="3996"/>
      <c r="O165" s="3996"/>
      <c r="P165" s="3996"/>
      <c r="Q165" s="3997"/>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1447</v>
      </c>
      <c r="C166" s="71"/>
      <c r="D166" s="2574"/>
      <c r="E166" s="2574"/>
      <c r="F166" s="2574"/>
      <c r="G166" s="2574"/>
      <c r="H166" s="2574"/>
      <c r="I166" s="2574"/>
      <c r="J166" s="2574"/>
      <c r="K166" s="2574"/>
      <c r="L166" s="2574"/>
      <c r="M166" s="2574"/>
      <c r="N166" s="2574"/>
      <c r="O166" s="2574"/>
      <c r="P166" s="2574"/>
      <c r="Q166" s="257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65" customHeight="1">
      <c r="A167" s="3999"/>
      <c r="B167" s="4000"/>
      <c r="C167" s="4000"/>
      <c r="D167" s="4000"/>
      <c r="E167" s="4000"/>
      <c r="F167" s="4000"/>
      <c r="G167" s="4000"/>
      <c r="H167" s="4000"/>
      <c r="I167" s="4000"/>
      <c r="J167" s="4000"/>
      <c r="K167" s="4000"/>
      <c r="L167" s="4000"/>
      <c r="M167" s="4000"/>
      <c r="N167" s="4000"/>
      <c r="O167" s="4000"/>
      <c r="P167" s="4000"/>
      <c r="Q167" s="4001"/>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7"/>
      <c r="B168" s="2584"/>
      <c r="C168" s="2574"/>
      <c r="D168" s="2574"/>
      <c r="E168" s="2574"/>
      <c r="F168" s="2574"/>
      <c r="G168" s="2574"/>
      <c r="H168" s="2574"/>
      <c r="I168" s="2574"/>
      <c r="J168" s="2574"/>
      <c r="K168" s="2574"/>
      <c r="L168" s="2574"/>
      <c r="M168" s="2574"/>
      <c r="N168" s="2574"/>
      <c r="O168" s="2574"/>
      <c r="P168" s="2574"/>
      <c r="Q168" s="51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536" t="s">
        <v>1501</v>
      </c>
      <c r="B169" s="2536" t="s">
        <v>1495</v>
      </c>
      <c r="C169" s="2536"/>
      <c r="D169" s="2574"/>
      <c r="E169" s="2537"/>
      <c r="F169" s="146"/>
      <c r="G169" s="2574"/>
      <c r="H169" s="77"/>
      <c r="I169" s="77"/>
      <c r="J169" s="337"/>
      <c r="K169" s="337"/>
      <c r="L169" s="337"/>
      <c r="M169" s="337"/>
      <c r="N169" s="643" t="s">
        <v>2453</v>
      </c>
      <c r="O169" s="66" t="s">
        <v>1444</v>
      </c>
      <c r="P169" s="4014"/>
      <c r="Q169" s="4003"/>
      <c r="R169" s="645" t="s">
        <v>2454</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2513</v>
      </c>
      <c r="N170" s="58"/>
      <c r="O170" s="58"/>
      <c r="P170" s="58"/>
      <c r="Q170" s="58"/>
      <c r="S170" s="1041"/>
      <c r="T170" s="1041"/>
      <c r="U170" s="1041"/>
      <c r="V170" s="1041"/>
      <c r="W170" s="1041"/>
      <c r="X170" s="1041"/>
      <c r="Y170" s="1041"/>
      <c r="Z170" s="1041"/>
      <c r="AA170" s="1041"/>
      <c r="AB170" s="1041"/>
      <c r="AC170" s="1041"/>
      <c r="AD170" s="1041"/>
      <c r="AE170" s="1041"/>
      <c r="AF170" s="1041"/>
      <c r="AG170" s="1041"/>
      <c r="AH170" s="1041"/>
      <c r="AI170" s="1041"/>
      <c r="AJ170" s="1041"/>
      <c r="AK170" s="1041"/>
      <c r="AL170" s="1041"/>
      <c r="AM170" s="1041"/>
      <c r="AN170" s="1041"/>
      <c r="AO170" s="1041"/>
      <c r="AP170" s="1041"/>
      <c r="AQ170" s="1041"/>
      <c r="AR170" s="1041"/>
    </row>
    <row r="171" spans="1:44" ht="12.75" customHeight="1">
      <c r="A171" s="72"/>
      <c r="B171" s="73" t="s">
        <v>2526</v>
      </c>
      <c r="C171" s="77"/>
      <c r="D171" s="73"/>
      <c r="E171" s="73"/>
      <c r="F171" s="73"/>
      <c r="G171" s="73"/>
      <c r="H171" s="28" t="s">
        <v>1521</v>
      </c>
      <c r="I171" s="13" t="s">
        <v>2527</v>
      </c>
      <c r="J171" s="4007" t="s">
        <v>2528</v>
      </c>
      <c r="K171" s="4008"/>
      <c r="L171" s="4008"/>
      <c r="M171" s="4008"/>
      <c r="N171" s="4009"/>
      <c r="O171" s="28" t="s">
        <v>1521</v>
      </c>
      <c r="P171" s="935"/>
      <c r="Q171" s="936"/>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1450</v>
      </c>
      <c r="C172" s="49"/>
      <c r="D172" s="49"/>
      <c r="E172" s="49"/>
      <c r="F172" s="49"/>
      <c r="G172" s="77"/>
      <c r="H172" s="28" t="s">
        <v>1524</v>
      </c>
      <c r="I172" s="13" t="s">
        <v>797</v>
      </c>
      <c r="J172" s="4004" t="s">
        <v>2528</v>
      </c>
      <c r="K172" s="4005"/>
      <c r="L172" s="4005"/>
      <c r="M172" s="4005"/>
      <c r="N172" s="4006"/>
      <c r="O172" s="28" t="s">
        <v>1524</v>
      </c>
      <c r="P172" s="118"/>
      <c r="Q172" s="308"/>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995"/>
      <c r="B173" s="3996"/>
      <c r="C173" s="3996"/>
      <c r="D173" s="3996"/>
      <c r="E173" s="3996"/>
      <c r="F173" s="3996"/>
      <c r="G173" s="3996"/>
      <c r="H173" s="3996"/>
      <c r="I173" s="3996"/>
      <c r="J173" s="3996"/>
      <c r="K173" s="3996"/>
      <c r="L173" s="3996"/>
      <c r="M173" s="3996"/>
      <c r="N173" s="3996"/>
      <c r="O173" s="3996"/>
      <c r="P173" s="3996"/>
      <c r="Q173" s="3997"/>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1447</v>
      </c>
      <c r="C174" s="71"/>
      <c r="D174" s="2574"/>
      <c r="E174" s="2574"/>
      <c r="F174" s="2574"/>
      <c r="G174" s="2574"/>
      <c r="H174" s="2574"/>
      <c r="I174" s="2574"/>
      <c r="J174" s="2574"/>
      <c r="K174" s="2574"/>
      <c r="L174" s="2574"/>
      <c r="M174" s="2574"/>
      <c r="N174" s="2574"/>
      <c r="O174" s="2574"/>
      <c r="P174" s="2574"/>
      <c r="Q174" s="257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999"/>
      <c r="B175" s="4000"/>
      <c r="C175" s="4000"/>
      <c r="D175" s="4000"/>
      <c r="E175" s="4000"/>
      <c r="F175" s="4000"/>
      <c r="G175" s="4000"/>
      <c r="H175" s="4000"/>
      <c r="I175" s="4000"/>
      <c r="J175" s="4000"/>
      <c r="K175" s="4000"/>
      <c r="L175" s="4000"/>
      <c r="M175" s="4000"/>
      <c r="N175" s="4000"/>
      <c r="O175" s="4000"/>
      <c r="P175" s="4000"/>
      <c r="Q175" s="4001"/>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584"/>
      <c r="C176" s="2574"/>
      <c r="D176" s="2574"/>
      <c r="E176" s="2574"/>
      <c r="F176" s="2574"/>
      <c r="G176" s="2574"/>
      <c r="H176" s="2574"/>
      <c r="I176" s="2574"/>
      <c r="J176" s="2574"/>
      <c r="K176" s="2574"/>
      <c r="L176" s="2574"/>
      <c r="M176" s="2574"/>
      <c r="N176" s="77"/>
      <c r="O176" s="77"/>
      <c r="P176" s="77"/>
      <c r="Q176" s="51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536" t="s">
        <v>1508</v>
      </c>
      <c r="B177" s="3" t="s">
        <v>2529</v>
      </c>
      <c r="C177" s="3"/>
      <c r="D177" s="38"/>
      <c r="E177" s="38"/>
      <c r="F177" s="38"/>
      <c r="G177" s="2574"/>
      <c r="H177" s="2574"/>
      <c r="I177" s="1137"/>
      <c r="J177" s="2574"/>
      <c r="K177" s="2574"/>
      <c r="L177" s="2574"/>
      <c r="M177" s="2574"/>
      <c r="N177" s="643" t="s">
        <v>2453</v>
      </c>
      <c r="O177" s="66" t="s">
        <v>1444</v>
      </c>
      <c r="P177" s="4014"/>
      <c r="Q177" s="4003"/>
      <c r="R177" s="645" t="s">
        <v>2454</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2513</v>
      </c>
      <c r="N178" s="58"/>
      <c r="O178" s="58"/>
      <c r="P178" s="58"/>
      <c r="Q178" s="58"/>
      <c r="S178" s="1041"/>
      <c r="T178" s="1041"/>
      <c r="U178" s="1041"/>
      <c r="V178" s="1041"/>
      <c r="W178" s="1041"/>
      <c r="X178" s="1041"/>
      <c r="Y178" s="1041"/>
      <c r="Z178" s="1041"/>
      <c r="AA178" s="1041"/>
      <c r="AB178" s="1041"/>
      <c r="AC178" s="1041"/>
      <c r="AD178" s="1041"/>
      <c r="AE178" s="1041"/>
      <c r="AF178" s="1041"/>
      <c r="AG178" s="1041"/>
      <c r="AH178" s="1041"/>
      <c r="AI178" s="1041"/>
      <c r="AJ178" s="1041"/>
      <c r="AK178" s="1041"/>
      <c r="AL178" s="1041"/>
      <c r="AM178" s="1041"/>
      <c r="AN178" s="1041"/>
      <c r="AO178" s="1041"/>
      <c r="AP178" s="1041"/>
      <c r="AQ178" s="1041"/>
      <c r="AR178" s="1041"/>
    </row>
    <row r="179" spans="1:44" ht="12.75" customHeight="1">
      <c r="A179" s="75" t="s">
        <v>197</v>
      </c>
      <c r="B179" s="3998" t="s">
        <v>2530</v>
      </c>
      <c r="C179" s="3998"/>
      <c r="D179" s="3998"/>
      <c r="E179" s="3998"/>
      <c r="F179" s="3998"/>
      <c r="G179" s="3998"/>
      <c r="H179" s="28" t="s">
        <v>1521</v>
      </c>
      <c r="I179" s="13" t="s">
        <v>2531</v>
      </c>
      <c r="J179" s="4007" t="s">
        <v>2528</v>
      </c>
      <c r="K179" s="4008"/>
      <c r="L179" s="4008"/>
      <c r="M179" s="4008"/>
      <c r="N179" s="4009"/>
      <c r="O179" s="84" t="s">
        <v>2532</v>
      </c>
      <c r="P179" s="935"/>
      <c r="Q179" s="936"/>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998"/>
      <c r="C180" s="3998"/>
      <c r="D180" s="3998"/>
      <c r="E180" s="3998"/>
      <c r="F180" s="3998"/>
      <c r="G180" s="3998"/>
      <c r="H180" s="28" t="s">
        <v>1524</v>
      </c>
      <c r="I180" s="13" t="s">
        <v>2533</v>
      </c>
      <c r="J180" s="4004" t="s">
        <v>2528</v>
      </c>
      <c r="K180" s="4005"/>
      <c r="L180" s="4005"/>
      <c r="M180" s="4005"/>
      <c r="N180" s="4006"/>
      <c r="O180" s="84" t="s">
        <v>1524</v>
      </c>
      <c r="P180" s="1326"/>
      <c r="Q180" s="2591"/>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209</v>
      </c>
      <c r="B181" s="16" t="s">
        <v>1521</v>
      </c>
      <c r="C181" s="13" t="s">
        <v>2534</v>
      </c>
      <c r="D181" s="77"/>
      <c r="E181" s="13"/>
      <c r="F181" s="13"/>
      <c r="G181" s="13"/>
      <c r="H181" s="13"/>
      <c r="I181" s="13"/>
      <c r="J181" s="13"/>
      <c r="K181" s="43"/>
      <c r="L181" s="13"/>
      <c r="M181" s="13"/>
      <c r="N181" s="77"/>
      <c r="O181" s="84" t="s">
        <v>2535</v>
      </c>
      <c r="P181" s="935"/>
      <c r="Q181" s="936"/>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1524</v>
      </c>
      <c r="C182" s="13" t="s">
        <v>2536</v>
      </c>
      <c r="D182" s="13"/>
      <c r="E182" s="13"/>
      <c r="F182" s="13"/>
      <c r="G182" s="13"/>
      <c r="H182" s="13"/>
      <c r="I182" s="13"/>
      <c r="J182" s="13"/>
      <c r="K182" s="43"/>
      <c r="L182" s="13"/>
      <c r="M182" s="13"/>
      <c r="N182" s="77"/>
      <c r="O182" s="84" t="s">
        <v>1524</v>
      </c>
      <c r="P182" s="118"/>
      <c r="Q182" s="308"/>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230</v>
      </c>
      <c r="B183" s="13" t="s">
        <v>2537</v>
      </c>
      <c r="C183" s="77"/>
      <c r="D183" s="13"/>
      <c r="E183" s="13"/>
      <c r="F183" s="13"/>
      <c r="G183" s="13"/>
      <c r="H183" s="13"/>
      <c r="I183" s="13"/>
      <c r="J183" s="13"/>
      <c r="K183" s="43"/>
      <c r="L183" s="13"/>
      <c r="M183" s="13"/>
      <c r="N183" s="77"/>
      <c r="O183" s="28" t="s">
        <v>230</v>
      </c>
      <c r="P183" s="1032"/>
      <c r="Q183" s="1031"/>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1450</v>
      </c>
      <c r="C184" s="77"/>
      <c r="D184" s="74"/>
      <c r="E184" s="74"/>
      <c r="F184" s="74"/>
      <c r="G184" s="74"/>
      <c r="H184" s="16"/>
      <c r="I184" s="2584"/>
      <c r="J184" s="2584"/>
      <c r="K184" s="2584"/>
      <c r="L184" s="517"/>
      <c r="M184" s="517"/>
      <c r="N184" s="517"/>
      <c r="O184" s="517"/>
      <c r="P184" s="517"/>
      <c r="Q184" s="51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995"/>
      <c r="B185" s="3996"/>
      <c r="C185" s="3996"/>
      <c r="D185" s="3996"/>
      <c r="E185" s="3996"/>
      <c r="F185" s="3996"/>
      <c r="G185" s="3996"/>
      <c r="H185" s="3996"/>
      <c r="I185" s="3996"/>
      <c r="J185" s="3996"/>
      <c r="K185" s="3996"/>
      <c r="L185" s="3996"/>
      <c r="M185" s="3996"/>
      <c r="N185" s="3996"/>
      <c r="O185" s="3996"/>
      <c r="P185" s="3996"/>
      <c r="Q185" s="3997"/>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1447</v>
      </c>
      <c r="C186" s="71"/>
      <c r="D186" s="2574"/>
      <c r="E186" s="2574"/>
      <c r="F186" s="2574"/>
      <c r="G186" s="2574"/>
      <c r="H186" s="2574"/>
      <c r="I186" s="2574"/>
      <c r="J186" s="2574"/>
      <c r="K186" s="2574"/>
      <c r="L186" s="2574"/>
      <c r="M186" s="2574"/>
      <c r="N186" s="2574"/>
      <c r="O186" s="2574"/>
      <c r="P186" s="2574"/>
      <c r="Q186" s="257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999"/>
      <c r="B187" s="4000"/>
      <c r="C187" s="4000"/>
      <c r="D187" s="4000"/>
      <c r="E187" s="4000"/>
      <c r="F187" s="4000"/>
      <c r="G187" s="4000"/>
      <c r="H187" s="4000"/>
      <c r="I187" s="4000"/>
      <c r="J187" s="4000"/>
      <c r="K187" s="4000"/>
      <c r="L187" s="4000"/>
      <c r="M187" s="4000"/>
      <c r="N187" s="4000"/>
      <c r="O187" s="4000"/>
      <c r="P187" s="4000"/>
      <c r="Q187" s="4001"/>
      <c r="R187" s="77"/>
      <c r="S187" s="1045"/>
      <c r="T187" s="1045"/>
      <c r="U187" s="1045"/>
      <c r="V187" s="1045"/>
      <c r="W187" s="1045"/>
      <c r="X187" s="1045"/>
      <c r="Y187" s="1045"/>
      <c r="Z187" s="1045"/>
      <c r="AA187" s="1045"/>
      <c r="AB187" s="1045"/>
      <c r="AC187" s="1045"/>
      <c r="AD187" s="1045"/>
      <c r="AE187" s="1045"/>
      <c r="AF187" s="1045"/>
      <c r="AG187" s="1045"/>
      <c r="AH187" s="1045"/>
      <c r="AI187" s="1045"/>
      <c r="AJ187" s="1045"/>
      <c r="AK187" s="1045"/>
      <c r="AL187" s="1045"/>
      <c r="AM187" s="1045"/>
      <c r="AN187" s="1045"/>
      <c r="AO187" s="1045"/>
      <c r="AP187" s="1045"/>
      <c r="AQ187" s="1045"/>
      <c r="AR187" s="1045"/>
    </row>
    <row r="188" spans="1:44" ht="3" customHeight="1">
      <c r="A188" s="517"/>
      <c r="B188" s="2584"/>
      <c r="C188" s="2574"/>
      <c r="D188" s="2574"/>
      <c r="E188" s="2574"/>
      <c r="F188" s="2574"/>
      <c r="G188" s="2574"/>
      <c r="H188" s="2574"/>
      <c r="I188" s="2574"/>
      <c r="J188" s="2574"/>
      <c r="K188" s="2574"/>
      <c r="L188" s="2574"/>
      <c r="M188" s="2574"/>
      <c r="N188" s="77"/>
      <c r="O188" s="77"/>
      <c r="P188" s="77"/>
      <c r="Q188" s="517"/>
      <c r="R188" s="77"/>
      <c r="S188" s="1045"/>
      <c r="T188" s="1045"/>
      <c r="U188" s="1045"/>
      <c r="V188" s="1045"/>
      <c r="W188" s="1045"/>
      <c r="X188" s="1045"/>
      <c r="Y188" s="1045"/>
      <c r="Z188" s="1045"/>
      <c r="AA188" s="1045"/>
      <c r="AB188" s="1045"/>
      <c r="AC188" s="1045"/>
      <c r="AD188" s="1045"/>
      <c r="AE188" s="1045"/>
      <c r="AF188" s="1045"/>
      <c r="AG188" s="1045"/>
      <c r="AH188" s="1045"/>
      <c r="AI188" s="1045"/>
      <c r="AJ188" s="1045"/>
      <c r="AK188" s="1045"/>
      <c r="AL188" s="1045"/>
      <c r="AM188" s="1045"/>
      <c r="AN188" s="1045"/>
      <c r="AO188" s="1045"/>
      <c r="AP188" s="1045"/>
      <c r="AQ188" s="1045"/>
      <c r="AR188" s="1045"/>
    </row>
    <row r="189" spans="1:44" ht="14.1" customHeight="1">
      <c r="A189" s="2536" t="s">
        <v>1530</v>
      </c>
      <c r="B189" s="2536" t="s">
        <v>1509</v>
      </c>
      <c r="C189" s="56"/>
      <c r="D189" s="2574"/>
      <c r="E189" s="2574"/>
      <c r="F189" s="2574"/>
      <c r="G189" s="2574"/>
      <c r="H189" s="2574"/>
      <c r="I189" s="2574"/>
      <c r="J189" s="2574"/>
      <c r="K189" s="2574"/>
      <c r="L189" s="2574"/>
      <c r="M189" s="2574"/>
      <c r="N189" s="77"/>
      <c r="O189" s="66" t="s">
        <v>1444</v>
      </c>
      <c r="P189" s="4014"/>
      <c r="Q189" s="4003"/>
      <c r="R189" s="77"/>
      <c r="S189" s="1045"/>
      <c r="T189" s="1045"/>
      <c r="U189" s="1045"/>
      <c r="V189" s="1045"/>
      <c r="W189" s="1045"/>
      <c r="X189" s="1045"/>
      <c r="Y189" s="1045"/>
      <c r="Z189" s="1045"/>
      <c r="AA189" s="1045"/>
      <c r="AB189" s="1045"/>
      <c r="AC189" s="1045"/>
      <c r="AD189" s="1045"/>
      <c r="AE189" s="1045"/>
      <c r="AF189" s="1045"/>
      <c r="AG189" s="1045"/>
      <c r="AH189" s="1045"/>
      <c r="AI189" s="1045"/>
      <c r="AJ189" s="1045"/>
      <c r="AK189" s="1045"/>
      <c r="AL189" s="1045"/>
      <c r="AM189" s="1045"/>
      <c r="AN189" s="1045"/>
      <c r="AO189" s="1045"/>
      <c r="AP189" s="1045"/>
      <c r="AQ189" s="1045"/>
      <c r="AR189" s="1045"/>
    </row>
    <row r="190" spans="1:44" customFormat="1" ht="12.75" customHeight="1">
      <c r="B190" s="25" t="s">
        <v>2538</v>
      </c>
      <c r="N190" s="58"/>
      <c r="P190" s="267"/>
      <c r="Q190" s="306"/>
      <c r="S190" s="1041"/>
      <c r="T190" s="1041"/>
      <c r="U190" s="1041"/>
      <c r="V190" s="1041"/>
      <c r="W190" s="1041"/>
      <c r="X190" s="1041"/>
      <c r="Y190" s="1041"/>
      <c r="Z190" s="1041"/>
      <c r="AA190" s="1041"/>
      <c r="AB190" s="1041"/>
      <c r="AC190" s="1041"/>
      <c r="AD190" s="1041"/>
      <c r="AE190" s="1041"/>
      <c r="AF190" s="1041"/>
      <c r="AG190" s="1041"/>
      <c r="AH190" s="1041"/>
      <c r="AI190" s="1041"/>
      <c r="AJ190" s="1041"/>
      <c r="AK190" s="1041"/>
      <c r="AL190" s="1041"/>
      <c r="AM190" s="1041"/>
      <c r="AN190" s="1041"/>
      <c r="AO190" s="1041"/>
      <c r="AP190" s="1041"/>
      <c r="AQ190" s="1041"/>
      <c r="AR190" s="1041"/>
    </row>
    <row r="191" spans="1:44" ht="12.75" customHeight="1">
      <c r="A191" s="22" t="s">
        <v>197</v>
      </c>
      <c r="B191" s="13" t="s">
        <v>2539</v>
      </c>
      <c r="C191" s="77"/>
      <c r="D191" s="43"/>
      <c r="E191" s="43"/>
      <c r="F191" s="43"/>
      <c r="G191" s="43"/>
      <c r="H191" s="43"/>
      <c r="I191" s="43"/>
      <c r="J191" s="43"/>
      <c r="K191" s="43"/>
      <c r="L191" s="43"/>
      <c r="M191" s="43"/>
      <c r="N191" s="77"/>
      <c r="O191" s="28" t="s">
        <v>197</v>
      </c>
      <c r="P191" s="267"/>
      <c r="Q191" s="936"/>
      <c r="R191" s="77"/>
      <c r="S191" s="1045"/>
      <c r="T191" s="1045"/>
      <c r="U191" s="1045"/>
      <c r="V191" s="1045"/>
      <c r="W191" s="1045"/>
      <c r="X191" s="1045"/>
      <c r="Y191" s="1045"/>
      <c r="Z191" s="1045"/>
      <c r="AA191" s="1045"/>
      <c r="AB191" s="1045"/>
      <c r="AC191" s="1045"/>
      <c r="AD191" s="1045"/>
      <c r="AE191" s="1045"/>
      <c r="AF191" s="1045"/>
      <c r="AG191" s="1045"/>
      <c r="AH191" s="1045"/>
      <c r="AI191" s="1045"/>
      <c r="AJ191" s="1045"/>
      <c r="AK191" s="1045"/>
      <c r="AL191" s="1045"/>
      <c r="AM191" s="1045"/>
      <c r="AN191" s="1045"/>
      <c r="AO191" s="1045"/>
      <c r="AP191" s="1045"/>
      <c r="AQ191" s="1045"/>
      <c r="AR191" s="1045"/>
    </row>
    <row r="192" spans="1:44" ht="12.75" customHeight="1">
      <c r="A192" s="22"/>
      <c r="B192" s="16" t="s">
        <v>1521</v>
      </c>
      <c r="C192" s="13" t="s">
        <v>1512</v>
      </c>
      <c r="D192" s="77"/>
      <c r="E192" s="13"/>
      <c r="F192" s="13"/>
      <c r="G192" s="13"/>
      <c r="H192" s="13"/>
      <c r="I192" s="43"/>
      <c r="J192" s="28" t="s">
        <v>2532</v>
      </c>
      <c r="K192" s="4007" t="s">
        <v>730</v>
      </c>
      <c r="L192" s="4009"/>
      <c r="M192" s="77"/>
      <c r="N192" s="77"/>
      <c r="O192" s="77"/>
      <c r="P192" s="77"/>
      <c r="Q192" s="307"/>
      <c r="R192" s="77"/>
      <c r="S192" s="1045"/>
      <c r="T192" s="1045"/>
      <c r="U192" s="1045"/>
      <c r="V192" s="1045"/>
      <c r="W192" s="1045"/>
      <c r="X192" s="1045"/>
      <c r="Y192" s="1045"/>
      <c r="Z192" s="1045"/>
      <c r="AA192" s="1045"/>
      <c r="AB192" s="1045"/>
      <c r="AC192" s="1045"/>
      <c r="AD192" s="1045"/>
      <c r="AE192" s="1045"/>
      <c r="AF192" s="1045"/>
      <c r="AG192" s="1045"/>
      <c r="AH192" s="1045"/>
      <c r="AI192" s="1045"/>
      <c r="AJ192" s="1045"/>
      <c r="AK192" s="1045"/>
      <c r="AL192" s="1045"/>
      <c r="AM192" s="1045"/>
      <c r="AN192" s="1045"/>
      <c r="AO192" s="1045"/>
      <c r="AP192" s="1045"/>
      <c r="AQ192" s="1045"/>
      <c r="AR192" s="1045"/>
    </row>
    <row r="193" spans="1:44" ht="12.75" customHeight="1">
      <c r="A193" s="22"/>
      <c r="B193" s="16" t="s">
        <v>1524</v>
      </c>
      <c r="C193" s="16" t="s">
        <v>1514</v>
      </c>
      <c r="D193" s="77"/>
      <c r="E193" s="16"/>
      <c r="F193" s="16"/>
      <c r="G193" s="16"/>
      <c r="H193" s="16"/>
      <c r="I193" s="43"/>
      <c r="J193" s="28" t="s">
        <v>2540</v>
      </c>
      <c r="K193" s="4041" t="s">
        <v>730</v>
      </c>
      <c r="L193" s="4042"/>
      <c r="M193" s="77"/>
      <c r="N193" s="77"/>
      <c r="O193" s="77"/>
      <c r="P193" s="77"/>
      <c r="Q193" s="4021"/>
      <c r="R193" s="77"/>
      <c r="S193" s="1045"/>
      <c r="T193" s="1045"/>
      <c r="U193" s="1045"/>
      <c r="V193" s="1045"/>
      <c r="W193" s="1045"/>
      <c r="X193" s="1045"/>
      <c r="Y193" s="1045"/>
      <c r="Z193" s="1045"/>
      <c r="AA193" s="1045"/>
      <c r="AB193" s="1045"/>
      <c r="AC193" s="1045"/>
      <c r="AD193" s="1045"/>
      <c r="AE193" s="1045"/>
      <c r="AF193" s="1045"/>
      <c r="AG193" s="1045"/>
      <c r="AH193" s="1045"/>
      <c r="AI193" s="1045"/>
      <c r="AJ193" s="1045"/>
      <c r="AK193" s="1045"/>
      <c r="AL193" s="1045"/>
      <c r="AM193" s="1045"/>
      <c r="AN193" s="1045"/>
      <c r="AO193" s="1045"/>
      <c r="AP193" s="1045"/>
      <c r="AQ193" s="1045"/>
      <c r="AR193" s="1045"/>
    </row>
    <row r="194" spans="1:44" ht="12.75" customHeight="1">
      <c r="A194" s="22"/>
      <c r="B194" s="16"/>
      <c r="C194" s="4018" t="s">
        <v>1516</v>
      </c>
      <c r="D194" s="4019"/>
      <c r="E194" s="4019"/>
      <c r="F194" s="4019"/>
      <c r="G194" s="4019"/>
      <c r="H194" s="4019"/>
      <c r="I194" s="4019"/>
      <c r="J194" s="4019"/>
      <c r="K194" s="4019"/>
      <c r="L194" s="4019"/>
      <c r="M194" s="4019"/>
      <c r="N194" s="4019"/>
      <c r="O194" s="4020"/>
      <c r="P194" s="77"/>
      <c r="Q194" s="4022"/>
      <c r="R194" s="77"/>
      <c r="S194" s="1045"/>
      <c r="T194" s="1045"/>
      <c r="U194" s="1045"/>
      <c r="V194" s="1045"/>
      <c r="W194" s="1045"/>
      <c r="X194" s="1045"/>
      <c r="Y194" s="1045"/>
      <c r="Z194" s="1045"/>
      <c r="AA194" s="1045"/>
      <c r="AB194" s="1045"/>
      <c r="AC194" s="1045"/>
      <c r="AD194" s="1045"/>
      <c r="AE194" s="1045"/>
      <c r="AF194" s="1045"/>
      <c r="AG194" s="1045"/>
      <c r="AH194" s="1045"/>
      <c r="AI194" s="1045"/>
      <c r="AJ194" s="1045"/>
      <c r="AK194" s="1045"/>
      <c r="AL194" s="1045"/>
      <c r="AM194" s="1045"/>
      <c r="AN194" s="1045"/>
      <c r="AO194" s="1045"/>
      <c r="AP194" s="1045"/>
      <c r="AQ194" s="1045"/>
      <c r="AR194" s="1045"/>
    </row>
    <row r="195" spans="1:44" ht="12.75" customHeight="1">
      <c r="A195" s="22"/>
      <c r="B195" s="16" t="s">
        <v>1526</v>
      </c>
      <c r="C195" s="16" t="s">
        <v>1517</v>
      </c>
      <c r="D195" s="77"/>
      <c r="E195" s="16"/>
      <c r="F195" s="16"/>
      <c r="G195" s="16"/>
      <c r="H195" s="16"/>
      <c r="I195" s="43"/>
      <c r="J195" s="28" t="s">
        <v>2541</v>
      </c>
      <c r="K195" s="4038" t="s">
        <v>730</v>
      </c>
      <c r="L195" s="4039"/>
      <c r="M195" s="4039"/>
      <c r="N195" s="4040"/>
      <c r="O195" s="236"/>
      <c r="P195" s="2689"/>
      <c r="Q195" s="1031"/>
      <c r="R195" s="43"/>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045"/>
      <c r="AM195" s="1045"/>
      <c r="AN195" s="1045"/>
      <c r="AO195" s="1045"/>
      <c r="AP195" s="1045"/>
      <c r="AQ195" s="1045"/>
      <c r="AR195" s="1045"/>
    </row>
    <row r="196" spans="1:44" ht="12.75" customHeight="1">
      <c r="A196" s="22" t="s">
        <v>209</v>
      </c>
      <c r="B196" s="13" t="s">
        <v>2542</v>
      </c>
      <c r="C196" s="77"/>
      <c r="D196" s="13"/>
      <c r="E196" s="13"/>
      <c r="F196" s="13"/>
      <c r="G196" s="13"/>
      <c r="H196" s="13"/>
      <c r="I196" s="13"/>
      <c r="J196" s="13"/>
      <c r="K196" s="43"/>
      <c r="L196" s="43"/>
      <c r="M196" s="43"/>
      <c r="N196" s="43"/>
      <c r="O196" s="28" t="s">
        <v>209</v>
      </c>
      <c r="P196" s="267"/>
      <c r="Q196" s="306"/>
      <c r="R196" s="77"/>
      <c r="S196" s="1045"/>
      <c r="T196" s="1045"/>
      <c r="U196" s="1045"/>
      <c r="V196" s="1045"/>
      <c r="W196" s="1045"/>
      <c r="X196" s="1045"/>
      <c r="Y196" s="1045"/>
      <c r="Z196" s="1045"/>
      <c r="AA196" s="1045"/>
      <c r="AB196" s="1045"/>
      <c r="AC196" s="1045"/>
      <c r="AD196" s="1045"/>
      <c r="AE196" s="1045"/>
      <c r="AF196" s="1045"/>
      <c r="AG196" s="1045"/>
      <c r="AH196" s="1045"/>
      <c r="AI196" s="1045"/>
      <c r="AJ196" s="1045"/>
      <c r="AK196" s="1045"/>
      <c r="AL196" s="1045"/>
      <c r="AM196" s="1045"/>
      <c r="AN196" s="1045"/>
      <c r="AO196" s="1045"/>
      <c r="AP196" s="1045"/>
      <c r="AQ196" s="1045"/>
      <c r="AR196" s="1045"/>
    </row>
    <row r="197" spans="1:44" ht="12.75" customHeight="1">
      <c r="A197" s="22"/>
      <c r="B197" s="13" t="s">
        <v>2543</v>
      </c>
      <c r="C197" s="77"/>
      <c r="D197" s="13"/>
      <c r="E197" s="13"/>
      <c r="F197" s="13"/>
      <c r="G197" s="13"/>
      <c r="H197" s="13"/>
      <c r="I197" s="13"/>
      <c r="J197" s="13"/>
      <c r="K197" s="43"/>
      <c r="L197" s="43"/>
      <c r="M197" s="43"/>
      <c r="N197" s="28" t="s">
        <v>650</v>
      </c>
      <c r="O197" s="902" t="e">
        <f>#REF!</f>
        <v>#REF!</v>
      </c>
      <c r="P197" s="4023" t="s">
        <v>2544</v>
      </c>
      <c r="Q197" s="4023"/>
      <c r="R197" s="77"/>
      <c r="S197" s="1045"/>
      <c r="T197" s="1045"/>
      <c r="U197" s="1045"/>
      <c r="V197" s="1045"/>
      <c r="W197" s="1045"/>
      <c r="X197" s="1045"/>
      <c r="Y197" s="1045"/>
      <c r="Z197" s="1045"/>
      <c r="AA197" s="1045"/>
      <c r="AB197" s="1045"/>
      <c r="AC197" s="1045"/>
      <c r="AD197" s="1045"/>
      <c r="AE197" s="1045"/>
      <c r="AF197" s="1045"/>
      <c r="AG197" s="1045"/>
      <c r="AH197" s="1045"/>
      <c r="AI197" s="1045"/>
      <c r="AJ197" s="1045"/>
      <c r="AK197" s="1045"/>
      <c r="AL197" s="1045"/>
      <c r="AM197" s="1045"/>
      <c r="AN197" s="1045"/>
      <c r="AO197" s="1045"/>
      <c r="AP197" s="1045"/>
      <c r="AQ197" s="1045"/>
      <c r="AR197" s="1045"/>
    </row>
    <row r="198" spans="1:44" ht="12.75" customHeight="1">
      <c r="A198" s="22"/>
      <c r="B198" s="16" t="s">
        <v>1521</v>
      </c>
      <c r="C198" s="13" t="s">
        <v>2545</v>
      </c>
      <c r="D198" s="13"/>
      <c r="E198" s="13"/>
      <c r="F198" s="13"/>
      <c r="G198" s="77"/>
      <c r="H198" s="28" t="s">
        <v>2546</v>
      </c>
      <c r="I198" s="13" t="s">
        <v>2547</v>
      </c>
      <c r="J198" s="77"/>
      <c r="K198" s="77"/>
      <c r="L198" s="77"/>
      <c r="M198" s="43"/>
      <c r="N198" s="43"/>
      <c r="O198" s="143"/>
      <c r="P198" s="659" t="s">
        <v>2548</v>
      </c>
      <c r="Q198" s="895" t="s">
        <v>2549</v>
      </c>
      <c r="R198" s="77"/>
      <c r="S198" s="1045"/>
      <c r="T198" s="1045"/>
      <c r="U198" s="1045"/>
      <c r="V198" s="1045"/>
      <c r="W198" s="1045"/>
      <c r="X198" s="1045"/>
      <c r="Y198" s="1045"/>
      <c r="Z198" s="1045"/>
      <c r="AA198" s="1045"/>
      <c r="AB198" s="1045"/>
      <c r="AC198" s="1045"/>
      <c r="AD198" s="1045"/>
      <c r="AE198" s="1045"/>
      <c r="AF198" s="1045"/>
      <c r="AG198" s="1045"/>
      <c r="AH198" s="1045"/>
      <c r="AI198" s="1045"/>
      <c r="AJ198" s="1045"/>
      <c r="AK198" s="1045"/>
      <c r="AL198" s="1045"/>
      <c r="AM198" s="1045"/>
      <c r="AN198" s="1045"/>
      <c r="AO198" s="1045"/>
      <c r="AP198" s="1045"/>
      <c r="AQ198" s="1045"/>
      <c r="AR198" s="1045"/>
    </row>
    <row r="199" spans="1:44" s="19" customFormat="1" ht="12.75" customHeight="1">
      <c r="A199" s="24"/>
      <c r="B199" s="28" t="s">
        <v>214</v>
      </c>
      <c r="C199" s="4024" t="s">
        <v>1527</v>
      </c>
      <c r="D199" s="4025"/>
      <c r="E199" s="4025"/>
      <c r="F199" s="4025"/>
      <c r="G199" s="4026"/>
      <c r="H199" s="28" t="s">
        <v>214</v>
      </c>
      <c r="I199" s="2927" t="s">
        <v>2550</v>
      </c>
      <c r="J199" s="2928"/>
      <c r="K199" s="2928"/>
      <c r="L199" s="2928"/>
      <c r="M199" s="2928"/>
      <c r="N199" s="2928"/>
      <c r="O199" s="2930"/>
      <c r="P199" s="936"/>
      <c r="Q199" s="2795"/>
      <c r="S199" s="1042"/>
      <c r="T199" s="1042"/>
      <c r="U199" s="1042"/>
      <c r="V199" s="1042"/>
      <c r="W199" s="1042"/>
      <c r="X199" s="1042"/>
      <c r="Y199" s="1042"/>
      <c r="Z199" s="1042"/>
      <c r="AA199" s="1042"/>
      <c r="AB199" s="1042"/>
      <c r="AC199" s="1042"/>
      <c r="AD199" s="1042"/>
      <c r="AE199" s="1042"/>
      <c r="AF199" s="1042"/>
      <c r="AG199" s="1042"/>
      <c r="AH199" s="1042"/>
      <c r="AI199" s="1042"/>
      <c r="AJ199" s="1042"/>
      <c r="AK199" s="1042"/>
      <c r="AL199" s="1042"/>
      <c r="AM199" s="1042"/>
      <c r="AN199" s="1042"/>
      <c r="AO199" s="1042"/>
      <c r="AP199" s="1042"/>
      <c r="AQ199" s="1042"/>
      <c r="AR199" s="1042"/>
    </row>
    <row r="200" spans="1:44" s="19" customFormat="1" ht="12.75" customHeight="1">
      <c r="A200" s="24"/>
      <c r="B200" s="28" t="s">
        <v>217</v>
      </c>
      <c r="C200" s="4015" t="s">
        <v>1527</v>
      </c>
      <c r="D200" s="4016"/>
      <c r="E200" s="4016"/>
      <c r="F200" s="4016"/>
      <c r="G200" s="4017"/>
      <c r="H200" s="28" t="s">
        <v>217</v>
      </c>
      <c r="I200" s="2934"/>
      <c r="J200" s="2935"/>
      <c r="K200" s="2935"/>
      <c r="L200" s="2935"/>
      <c r="M200" s="2935"/>
      <c r="N200" s="2935"/>
      <c r="O200" s="2937"/>
      <c r="P200" s="307"/>
      <c r="Q200" s="885"/>
      <c r="S200" s="1042"/>
      <c r="T200" s="1042"/>
      <c r="U200" s="1042"/>
      <c r="V200" s="1042"/>
      <c r="W200" s="1042"/>
      <c r="X200" s="1042"/>
      <c r="Y200" s="1042"/>
      <c r="Z200" s="1042"/>
      <c r="AA200" s="1042"/>
      <c r="AB200" s="1042"/>
      <c r="AC200" s="1042"/>
      <c r="AD200" s="1042"/>
      <c r="AE200" s="1042"/>
      <c r="AF200" s="1042"/>
      <c r="AG200" s="1042"/>
      <c r="AH200" s="1042"/>
      <c r="AI200" s="1042"/>
      <c r="AJ200" s="1042"/>
      <c r="AK200" s="1042"/>
      <c r="AL200" s="1042"/>
      <c r="AM200" s="1042"/>
      <c r="AN200" s="1042"/>
      <c r="AO200" s="1042"/>
      <c r="AP200" s="1042"/>
      <c r="AQ200" s="1042"/>
      <c r="AR200" s="1042"/>
    </row>
    <row r="201" spans="1:44" s="19" customFormat="1" ht="12.75" customHeight="1">
      <c r="A201" s="24"/>
      <c r="B201" s="28" t="s">
        <v>219</v>
      </c>
      <c r="C201" s="4015" t="s">
        <v>1527</v>
      </c>
      <c r="D201" s="4016"/>
      <c r="E201" s="4016"/>
      <c r="F201" s="4016"/>
      <c r="G201" s="4017"/>
      <c r="H201" s="28" t="s">
        <v>219</v>
      </c>
      <c r="I201" s="2934" t="s">
        <v>2550</v>
      </c>
      <c r="J201" s="2935"/>
      <c r="K201" s="2935"/>
      <c r="L201" s="2935"/>
      <c r="M201" s="2935"/>
      <c r="N201" s="2935"/>
      <c r="O201" s="2937"/>
      <c r="P201" s="307"/>
      <c r="Q201" s="885"/>
      <c r="S201" s="1042"/>
      <c r="T201" s="1042"/>
      <c r="U201" s="1042"/>
      <c r="V201" s="1042"/>
      <c r="W201" s="1042"/>
      <c r="X201" s="1042"/>
      <c r="Y201" s="1042"/>
      <c r="Z201" s="1042"/>
      <c r="AA201" s="1042"/>
      <c r="AB201" s="1042"/>
      <c r="AC201" s="1042"/>
      <c r="AD201" s="1042"/>
      <c r="AE201" s="1042"/>
      <c r="AF201" s="1042"/>
      <c r="AG201" s="1042"/>
      <c r="AH201" s="1042"/>
      <c r="AI201" s="1042"/>
      <c r="AJ201" s="1042"/>
      <c r="AK201" s="1042"/>
      <c r="AL201" s="1042"/>
      <c r="AM201" s="1042"/>
      <c r="AN201" s="1042"/>
      <c r="AO201" s="1042"/>
      <c r="AP201" s="1042"/>
      <c r="AQ201" s="1042"/>
      <c r="AR201" s="1042"/>
    </row>
    <row r="202" spans="1:44" s="19" customFormat="1" ht="12.75" customHeight="1">
      <c r="A202" s="24"/>
      <c r="B202" s="28" t="s">
        <v>2068</v>
      </c>
      <c r="C202" s="4043" t="s">
        <v>1527</v>
      </c>
      <c r="D202" s="4044"/>
      <c r="E202" s="4044"/>
      <c r="F202" s="4044"/>
      <c r="G202" s="4045"/>
      <c r="H202" s="28" t="s">
        <v>2068</v>
      </c>
      <c r="I202" s="2971"/>
      <c r="J202" s="2972"/>
      <c r="K202" s="2972"/>
      <c r="L202" s="2972"/>
      <c r="M202" s="2972"/>
      <c r="N202" s="2972"/>
      <c r="O202" s="2974"/>
      <c r="P202" s="308"/>
      <c r="Q202" s="309"/>
      <c r="S202" s="1042"/>
      <c r="T202" s="1042"/>
      <c r="U202" s="1042"/>
      <c r="V202" s="1042"/>
      <c r="W202" s="1042"/>
      <c r="X202" s="1042"/>
      <c r="Y202" s="1042"/>
      <c r="Z202" s="1042"/>
      <c r="AA202" s="1042"/>
      <c r="AB202" s="1042"/>
      <c r="AC202" s="1042"/>
      <c r="AD202" s="1042"/>
      <c r="AE202" s="1042"/>
      <c r="AF202" s="1042"/>
      <c r="AG202" s="1042"/>
      <c r="AH202" s="1042"/>
      <c r="AI202" s="1042"/>
      <c r="AJ202" s="1042"/>
      <c r="AK202" s="1042"/>
      <c r="AL202" s="1042"/>
      <c r="AM202" s="1042"/>
      <c r="AN202" s="1042"/>
      <c r="AO202" s="1042"/>
      <c r="AP202" s="1042"/>
      <c r="AQ202" s="1042"/>
      <c r="AR202" s="1042"/>
    </row>
    <row r="203" spans="1:44" ht="12.75" customHeight="1">
      <c r="A203" s="22" t="s">
        <v>230</v>
      </c>
      <c r="B203" s="13" t="s">
        <v>2551</v>
      </c>
      <c r="C203" s="13"/>
      <c r="D203" s="77"/>
      <c r="E203" s="13"/>
      <c r="F203" s="13"/>
      <c r="G203" s="13"/>
      <c r="H203" s="13"/>
      <c r="I203" s="13"/>
      <c r="J203" s="13"/>
      <c r="K203" s="43"/>
      <c r="L203" s="13"/>
      <c r="M203" s="13"/>
      <c r="N203" s="77"/>
      <c r="O203" s="28" t="s">
        <v>230</v>
      </c>
      <c r="P203" s="935"/>
      <c r="Q203" s="936"/>
      <c r="R203" s="77"/>
      <c r="S203" s="1045"/>
      <c r="T203" s="1045"/>
      <c r="U203" s="1045"/>
      <c r="V203" s="1045"/>
      <c r="W203" s="1045"/>
      <c r="X203" s="1045"/>
      <c r="Y203" s="1045"/>
      <c r="Z203" s="1045"/>
      <c r="AA203" s="1045"/>
      <c r="AB203" s="1045"/>
      <c r="AC203" s="1045"/>
      <c r="AD203" s="1045"/>
      <c r="AE203" s="1045"/>
      <c r="AF203" s="1045"/>
      <c r="AG203" s="1045"/>
      <c r="AH203" s="1045"/>
      <c r="AI203" s="1045"/>
      <c r="AJ203" s="1045"/>
      <c r="AK203" s="1045"/>
      <c r="AL203" s="1045"/>
      <c r="AM203" s="1045"/>
      <c r="AN203" s="1045"/>
      <c r="AO203" s="1045"/>
      <c r="AP203" s="1045"/>
      <c r="AQ203" s="1045"/>
      <c r="AR203" s="1045"/>
    </row>
    <row r="204" spans="1:44" ht="12.75" customHeight="1">
      <c r="A204" s="22"/>
      <c r="B204" s="16" t="s">
        <v>1521</v>
      </c>
      <c r="C204" s="13" t="s">
        <v>2552</v>
      </c>
      <c r="D204" s="77"/>
      <c r="E204" s="13"/>
      <c r="F204" s="13"/>
      <c r="G204" s="77"/>
      <c r="H204" s="77"/>
      <c r="I204" s="77"/>
      <c r="J204" s="77"/>
      <c r="K204" s="77"/>
      <c r="L204" s="11"/>
      <c r="M204" s="11"/>
      <c r="N204" s="77"/>
      <c r="O204" s="28" t="s">
        <v>1521</v>
      </c>
      <c r="P204" s="202"/>
      <c r="Q204" s="307"/>
      <c r="R204" s="77"/>
      <c r="S204" s="1045"/>
      <c r="T204" s="1045"/>
      <c r="U204" s="1045"/>
      <c r="V204" s="1045"/>
      <c r="W204" s="1045"/>
      <c r="X204" s="1045"/>
      <c r="Y204" s="1045"/>
      <c r="Z204" s="1045"/>
      <c r="AA204" s="1045"/>
      <c r="AB204" s="1045"/>
      <c r="AC204" s="1045"/>
      <c r="AD204" s="1045"/>
      <c r="AE204" s="1045"/>
      <c r="AF204" s="1045"/>
      <c r="AG204" s="1045"/>
      <c r="AH204" s="1045"/>
      <c r="AI204" s="1045"/>
      <c r="AJ204" s="1045"/>
      <c r="AK204" s="1045"/>
      <c r="AL204" s="1045"/>
      <c r="AM204" s="1045"/>
      <c r="AN204" s="1045"/>
      <c r="AO204" s="1045"/>
      <c r="AP204" s="1045"/>
      <c r="AQ204" s="1045"/>
      <c r="AR204" s="1045"/>
    </row>
    <row r="205" spans="1:44" ht="12.75" customHeight="1">
      <c r="A205" s="77"/>
      <c r="B205" s="16" t="s">
        <v>1524</v>
      </c>
      <c r="C205" s="16" t="s">
        <v>2553</v>
      </c>
      <c r="D205" s="77"/>
      <c r="E205" s="16"/>
      <c r="F205" s="16"/>
      <c r="G205" s="77"/>
      <c r="H205" s="77"/>
      <c r="I205" s="77"/>
      <c r="J205" s="77"/>
      <c r="K205" s="77"/>
      <c r="L205" s="11"/>
      <c r="M205" s="11"/>
      <c r="N205" s="77"/>
      <c r="O205" s="28" t="s">
        <v>1524</v>
      </c>
      <c r="P205" s="202"/>
      <c r="Q205" s="307"/>
      <c r="R205" s="77"/>
      <c r="S205" s="1045"/>
      <c r="T205" s="1045"/>
      <c r="U205" s="1045"/>
      <c r="V205" s="1045"/>
      <c r="W205" s="1045"/>
      <c r="X205" s="1045"/>
      <c r="Y205" s="1045"/>
      <c r="Z205" s="1045"/>
      <c r="AA205" s="1045"/>
      <c r="AB205" s="1045"/>
      <c r="AC205" s="1045"/>
      <c r="AD205" s="1045"/>
      <c r="AE205" s="1045"/>
      <c r="AF205" s="1045"/>
      <c r="AG205" s="1045"/>
      <c r="AH205" s="1045"/>
      <c r="AI205" s="1045"/>
      <c r="AJ205" s="1045"/>
      <c r="AK205" s="1045"/>
      <c r="AL205" s="1045"/>
      <c r="AM205" s="1045"/>
      <c r="AN205" s="1045"/>
      <c r="AO205" s="1045"/>
      <c r="AP205" s="1045"/>
      <c r="AQ205" s="1045"/>
      <c r="AR205" s="1045"/>
    </row>
    <row r="206" spans="1:44" ht="12.75" customHeight="1">
      <c r="A206" s="77"/>
      <c r="B206" s="16" t="s">
        <v>1526</v>
      </c>
      <c r="C206" s="16" t="s">
        <v>2554</v>
      </c>
      <c r="D206" s="77"/>
      <c r="E206" s="16"/>
      <c r="F206" s="16"/>
      <c r="G206" s="16"/>
      <c r="H206" s="16"/>
      <c r="I206" s="43"/>
      <c r="J206" s="11"/>
      <c r="K206" s="43"/>
      <c r="L206" s="11"/>
      <c r="M206" s="11"/>
      <c r="N206" s="77"/>
      <c r="O206" s="28" t="s">
        <v>1526</v>
      </c>
      <c r="P206" s="202"/>
      <c r="Q206" s="307"/>
      <c r="R206" s="77"/>
      <c r="S206" s="1045"/>
      <c r="T206" s="1045"/>
      <c r="U206" s="1045"/>
      <c r="V206" s="1045"/>
      <c r="W206" s="1045"/>
      <c r="X206" s="1045"/>
      <c r="Y206" s="1045"/>
      <c r="Z206" s="1045"/>
      <c r="AA206" s="1045"/>
      <c r="AB206" s="1045"/>
      <c r="AC206" s="1045"/>
      <c r="AD206" s="1045"/>
      <c r="AE206" s="1045"/>
      <c r="AF206" s="1045"/>
      <c r="AG206" s="1045"/>
      <c r="AH206" s="1045"/>
      <c r="AI206" s="1045"/>
      <c r="AJ206" s="1045"/>
      <c r="AK206" s="1045"/>
      <c r="AL206" s="1045"/>
      <c r="AM206" s="1045"/>
      <c r="AN206" s="1045"/>
      <c r="AO206" s="1045"/>
      <c r="AP206" s="1045"/>
      <c r="AQ206" s="1045"/>
      <c r="AR206" s="1045"/>
    </row>
    <row r="207" spans="1:44" ht="12.75" customHeight="1">
      <c r="A207" s="22"/>
      <c r="B207" s="16" t="s">
        <v>1528</v>
      </c>
      <c r="C207" s="16" t="s">
        <v>2555</v>
      </c>
      <c r="D207" s="77"/>
      <c r="E207" s="16"/>
      <c r="F207" s="16"/>
      <c r="G207" s="16"/>
      <c r="H207" s="16"/>
      <c r="I207" s="43"/>
      <c r="J207" s="11"/>
      <c r="K207" s="43"/>
      <c r="L207" s="11"/>
      <c r="M207" s="11"/>
      <c r="N207" s="77"/>
      <c r="O207" s="28" t="s">
        <v>1528</v>
      </c>
      <c r="P207" s="202"/>
      <c r="Q207" s="307"/>
      <c r="R207" s="77"/>
      <c r="S207" s="1045"/>
      <c r="T207" s="1045"/>
      <c r="U207" s="1045"/>
      <c r="V207" s="1045"/>
      <c r="W207" s="1045"/>
      <c r="X207" s="1045"/>
      <c r="Y207" s="1045"/>
      <c r="Z207" s="1045"/>
      <c r="AA207" s="1045"/>
      <c r="AB207" s="1045"/>
      <c r="AC207" s="1045"/>
      <c r="AD207" s="1045"/>
      <c r="AE207" s="1045"/>
      <c r="AF207" s="1045"/>
      <c r="AG207" s="1045"/>
      <c r="AH207" s="1045"/>
      <c r="AI207" s="1045"/>
      <c r="AJ207" s="1045"/>
      <c r="AK207" s="1045"/>
      <c r="AL207" s="1045"/>
      <c r="AM207" s="1045"/>
      <c r="AN207" s="1045"/>
      <c r="AO207" s="1045"/>
      <c r="AP207" s="1045"/>
      <c r="AQ207" s="1045"/>
      <c r="AR207" s="1045"/>
    </row>
    <row r="208" spans="1:44" ht="12.75" customHeight="1">
      <c r="A208" s="22"/>
      <c r="B208" s="16" t="s">
        <v>2316</v>
      </c>
      <c r="C208" s="16" t="s">
        <v>2556</v>
      </c>
      <c r="D208" s="77"/>
      <c r="E208" s="16"/>
      <c r="F208" s="16"/>
      <c r="G208" s="16"/>
      <c r="H208" s="16"/>
      <c r="I208" s="43"/>
      <c r="J208" s="11"/>
      <c r="K208" s="43"/>
      <c r="L208" s="11"/>
      <c r="M208" s="11"/>
      <c r="N208" s="77"/>
      <c r="O208" s="28" t="s">
        <v>2316</v>
      </c>
      <c r="P208" s="202"/>
      <c r="Q208" s="307"/>
      <c r="R208" s="77"/>
      <c r="S208" s="1045"/>
      <c r="T208" s="1045"/>
      <c r="U208" s="1045"/>
      <c r="V208" s="1045"/>
      <c r="W208" s="1045"/>
      <c r="X208" s="1045"/>
      <c r="Y208" s="1045"/>
      <c r="Z208" s="1045"/>
      <c r="AA208" s="1045"/>
      <c r="AB208" s="1045"/>
      <c r="AC208" s="1045"/>
      <c r="AD208" s="1045"/>
      <c r="AE208" s="1045"/>
      <c r="AF208" s="1045"/>
      <c r="AG208" s="1045"/>
      <c r="AH208" s="1045"/>
      <c r="AI208" s="1045"/>
      <c r="AJ208" s="1045"/>
      <c r="AK208" s="1045"/>
      <c r="AL208" s="1045"/>
      <c r="AM208" s="1045"/>
      <c r="AN208" s="1045"/>
      <c r="AO208" s="1045"/>
      <c r="AP208" s="1045"/>
      <c r="AQ208" s="1045"/>
      <c r="AR208" s="1045"/>
    </row>
    <row r="209" spans="1:44">
      <c r="A209" s="22"/>
      <c r="B209" s="266" t="s">
        <v>2318</v>
      </c>
      <c r="C209" s="3998" t="s">
        <v>2557</v>
      </c>
      <c r="D209" s="3998"/>
      <c r="E209" s="3998"/>
      <c r="F209" s="3998"/>
      <c r="G209" s="3998"/>
      <c r="H209" s="3998"/>
      <c r="I209" s="3998"/>
      <c r="J209" s="3998"/>
      <c r="K209" s="3998"/>
      <c r="L209" s="3998"/>
      <c r="M209" s="3998"/>
      <c r="N209" s="3998"/>
      <c r="O209" s="84" t="s">
        <v>2318</v>
      </c>
      <c r="P209" s="2583"/>
      <c r="Q209" s="2581"/>
      <c r="R209" s="77"/>
      <c r="S209" s="1045"/>
      <c r="T209" s="1045"/>
      <c r="U209" s="1045"/>
      <c r="V209" s="1045"/>
      <c r="W209" s="1045"/>
      <c r="X209" s="1045"/>
      <c r="Y209" s="1045"/>
      <c r="Z209" s="1045"/>
      <c r="AA209" s="1045"/>
      <c r="AB209" s="1045"/>
      <c r="AC209" s="1045"/>
      <c r="AD209" s="1045"/>
      <c r="AE209" s="1045"/>
      <c r="AF209" s="1045"/>
      <c r="AG209" s="1045"/>
      <c r="AH209" s="1045"/>
      <c r="AI209" s="1045"/>
      <c r="AJ209" s="1045"/>
      <c r="AK209" s="1045"/>
      <c r="AL209" s="1045"/>
      <c r="AM209" s="1045"/>
      <c r="AN209" s="1045"/>
      <c r="AO209" s="1045"/>
      <c r="AP209" s="1045"/>
      <c r="AQ209" s="1045"/>
      <c r="AR209" s="1045"/>
    </row>
    <row r="210" spans="1:44" ht="12" customHeight="1">
      <c r="A210" s="22" t="s">
        <v>232</v>
      </c>
      <c r="B210" s="13" t="s">
        <v>2558</v>
      </c>
      <c r="C210" s="13"/>
      <c r="D210" s="77"/>
      <c r="E210" s="13"/>
      <c r="F210" s="13"/>
      <c r="G210" s="13"/>
      <c r="H210" s="13"/>
      <c r="I210" s="13"/>
      <c r="J210" s="13"/>
      <c r="K210" s="43"/>
      <c r="L210" s="77"/>
      <c r="M210" s="77"/>
      <c r="N210" s="288" t="str">
        <f>'Part VII-Threshold Criteria OLD'!J35</f>
        <v>&lt;&lt; Select PROPOSED Tenancy &gt;&gt;</v>
      </c>
      <c r="O210" s="28" t="s">
        <v>232</v>
      </c>
      <c r="P210" s="935"/>
      <c r="Q210" s="936"/>
      <c r="R210" s="77"/>
      <c r="S210" s="1045"/>
      <c r="T210" s="1045"/>
      <c r="U210" s="1045"/>
      <c r="V210" s="1045"/>
      <c r="W210" s="1045"/>
      <c r="X210" s="1045"/>
      <c r="Y210" s="1045"/>
      <c r="Z210" s="1045"/>
      <c r="AA210" s="1045"/>
      <c r="AB210" s="1045"/>
      <c r="AC210" s="1045"/>
      <c r="AD210" s="1045"/>
      <c r="AE210" s="1045"/>
      <c r="AF210" s="1045"/>
      <c r="AG210" s="1045"/>
      <c r="AH210" s="1045"/>
      <c r="AI210" s="1045"/>
      <c r="AJ210" s="1045"/>
      <c r="AK210" s="1045"/>
      <c r="AL210" s="1045"/>
      <c r="AM210" s="1045"/>
      <c r="AN210" s="1045"/>
      <c r="AO210" s="1045"/>
      <c r="AP210" s="1045"/>
      <c r="AQ210" s="1045"/>
      <c r="AR210" s="1045"/>
    </row>
    <row r="211" spans="1:44" ht="12" customHeight="1">
      <c r="A211" s="77"/>
      <c r="B211" s="16" t="s">
        <v>1521</v>
      </c>
      <c r="C211" s="13" t="s">
        <v>2559</v>
      </c>
      <c r="D211" s="77"/>
      <c r="E211" s="43"/>
      <c r="F211" s="43"/>
      <c r="G211" s="13"/>
      <c r="H211" s="16"/>
      <c r="I211" s="43"/>
      <c r="J211" s="16"/>
      <c r="K211" s="43"/>
      <c r="L211" s="16"/>
      <c r="M211" s="16"/>
      <c r="N211" s="77"/>
      <c r="O211" s="28" t="s">
        <v>1521</v>
      </c>
      <c r="P211" s="202"/>
      <c r="Q211" s="307"/>
      <c r="R211" s="77"/>
      <c r="S211" s="1045"/>
      <c r="T211" s="1045"/>
      <c r="U211" s="1045"/>
      <c r="V211" s="1045"/>
      <c r="W211" s="1045"/>
      <c r="X211" s="1045"/>
      <c r="Y211" s="1045"/>
      <c r="Z211" s="1045"/>
      <c r="AA211" s="1045"/>
      <c r="AB211" s="1045"/>
      <c r="AC211" s="1045"/>
      <c r="AD211" s="1045"/>
      <c r="AE211" s="1045"/>
      <c r="AF211" s="1045"/>
      <c r="AG211" s="1045"/>
      <c r="AH211" s="1045"/>
      <c r="AI211" s="1045"/>
      <c r="AJ211" s="1045"/>
      <c r="AK211" s="1045"/>
      <c r="AL211" s="1045"/>
      <c r="AM211" s="1045"/>
      <c r="AN211" s="1045"/>
      <c r="AO211" s="1045"/>
      <c r="AP211" s="1045"/>
      <c r="AQ211" s="1045"/>
      <c r="AR211" s="1045"/>
    </row>
    <row r="212" spans="1:44" ht="12" customHeight="1">
      <c r="A212" s="77"/>
      <c r="B212" s="16" t="s">
        <v>1524</v>
      </c>
      <c r="C212" s="13" t="s">
        <v>2560</v>
      </c>
      <c r="D212" s="77"/>
      <c r="E212" s="43"/>
      <c r="F212" s="43"/>
      <c r="G212" s="16"/>
      <c r="H212" s="16"/>
      <c r="I212" s="43"/>
      <c r="J212" s="16"/>
      <c r="K212" s="43"/>
      <c r="L212" s="16"/>
      <c r="M212" s="16"/>
      <c r="N212" s="77"/>
      <c r="O212" s="28" t="s">
        <v>1524</v>
      </c>
      <c r="P212" s="118"/>
      <c r="Q212" s="308"/>
      <c r="R212" s="77"/>
      <c r="S212" s="1045"/>
      <c r="T212" s="1045"/>
      <c r="U212" s="1045"/>
      <c r="V212" s="1045"/>
      <c r="W212" s="1045"/>
      <c r="X212" s="1045"/>
      <c r="Y212" s="1045"/>
      <c r="Z212" s="1045"/>
      <c r="AA212" s="1045"/>
      <c r="AB212" s="1045"/>
      <c r="AC212" s="1045"/>
      <c r="AD212" s="1045"/>
      <c r="AE212" s="1045"/>
      <c r="AF212" s="1045"/>
      <c r="AG212" s="1045"/>
      <c r="AH212" s="1045"/>
      <c r="AI212" s="1045"/>
      <c r="AJ212" s="1045"/>
      <c r="AK212" s="1045"/>
      <c r="AL212" s="1045"/>
      <c r="AM212" s="1045"/>
      <c r="AN212" s="1045"/>
      <c r="AO212" s="1045"/>
      <c r="AP212" s="1045"/>
      <c r="AQ212" s="1045"/>
      <c r="AR212" s="1045"/>
    </row>
    <row r="213" spans="1:44" ht="11.25" customHeight="1">
      <c r="A213" s="77"/>
      <c r="B213" s="74" t="s">
        <v>1450</v>
      </c>
      <c r="C213" s="77"/>
      <c r="D213" s="74"/>
      <c r="E213" s="74"/>
      <c r="F213" s="74"/>
      <c r="G213" s="74"/>
      <c r="H213" s="16"/>
      <c r="I213" s="2584"/>
      <c r="J213" s="2584"/>
      <c r="K213" s="2584"/>
      <c r="L213" s="517"/>
      <c r="M213" s="517"/>
      <c r="N213" s="517"/>
      <c r="O213" s="517"/>
      <c r="P213" s="517"/>
      <c r="Q213" s="517"/>
      <c r="R213" s="77"/>
      <c r="S213" s="1045"/>
      <c r="T213" s="1045"/>
      <c r="U213" s="1045"/>
      <c r="V213" s="1045"/>
      <c r="W213" s="1045"/>
      <c r="X213" s="1045"/>
      <c r="Y213" s="1045"/>
      <c r="Z213" s="1045"/>
      <c r="AA213" s="1045"/>
      <c r="AB213" s="1045"/>
      <c r="AC213" s="1045"/>
      <c r="AD213" s="1045"/>
      <c r="AE213" s="1045"/>
      <c r="AF213" s="1045"/>
      <c r="AG213" s="1045"/>
      <c r="AH213" s="1045"/>
      <c r="AI213" s="1045"/>
      <c r="AJ213" s="1045"/>
      <c r="AK213" s="1045"/>
      <c r="AL213" s="1045"/>
      <c r="AM213" s="1045"/>
      <c r="AN213" s="1045"/>
      <c r="AO213" s="1045"/>
      <c r="AP213" s="1045"/>
      <c r="AQ213" s="1045"/>
      <c r="AR213" s="1045"/>
    </row>
    <row r="214" spans="1:44" ht="12" customHeight="1">
      <c r="A214" s="3995"/>
      <c r="B214" s="3996"/>
      <c r="C214" s="3996"/>
      <c r="D214" s="3996"/>
      <c r="E214" s="3996"/>
      <c r="F214" s="3996"/>
      <c r="G214" s="3996"/>
      <c r="H214" s="3996"/>
      <c r="I214" s="3996"/>
      <c r="J214" s="3996"/>
      <c r="K214" s="3996"/>
      <c r="L214" s="3996"/>
      <c r="M214" s="3996"/>
      <c r="N214" s="3996"/>
      <c r="O214" s="3996"/>
      <c r="P214" s="3996"/>
      <c r="Q214" s="3997"/>
      <c r="R214" s="248" t="s">
        <v>2401</v>
      </c>
      <c r="S214" s="1043"/>
      <c r="T214" s="1045"/>
      <c r="U214" s="1044"/>
      <c r="V214" s="1044"/>
      <c r="W214" s="1044"/>
      <c r="X214" s="1044"/>
      <c r="Y214" s="1044"/>
      <c r="Z214" s="1044"/>
      <c r="AA214" s="1044"/>
      <c r="AB214" s="1044"/>
      <c r="AC214" s="1044"/>
      <c r="AD214" s="1044"/>
      <c r="AE214" s="1044"/>
      <c r="AF214" s="1045"/>
      <c r="AG214" s="1045"/>
      <c r="AH214" s="1045"/>
      <c r="AI214" s="1045"/>
      <c r="AJ214" s="1045"/>
      <c r="AK214" s="1045"/>
      <c r="AL214" s="1045"/>
      <c r="AM214" s="1045"/>
      <c r="AN214" s="1045"/>
      <c r="AO214" s="1045"/>
      <c r="AP214" s="1045"/>
      <c r="AQ214" s="1045"/>
      <c r="AR214" s="1045"/>
    </row>
    <row r="215" spans="1:44" ht="11.25" customHeight="1">
      <c r="A215" s="77"/>
      <c r="B215" s="70" t="s">
        <v>1447</v>
      </c>
      <c r="C215" s="71"/>
      <c r="D215" s="2574"/>
      <c r="E215" s="2574"/>
      <c r="F215" s="2574"/>
      <c r="G215" s="2574"/>
      <c r="H215" s="2574"/>
      <c r="I215" s="2574"/>
      <c r="J215" s="2574"/>
      <c r="K215" s="2574"/>
      <c r="L215" s="2574"/>
      <c r="M215" s="2574"/>
      <c r="N215" s="2574"/>
      <c r="O215" s="2574"/>
      <c r="P215" s="2574"/>
      <c r="Q215" s="2574"/>
      <c r="R215" s="77"/>
      <c r="S215" s="1045"/>
      <c r="T215" s="1045"/>
      <c r="U215" s="1045"/>
      <c r="V215" s="1045"/>
      <c r="W215" s="1045"/>
      <c r="X215" s="1045"/>
      <c r="Y215" s="1045"/>
      <c r="Z215" s="1045"/>
      <c r="AA215" s="1045"/>
      <c r="AB215" s="1045"/>
      <c r="AC215" s="1045"/>
      <c r="AD215" s="1045"/>
      <c r="AE215" s="1045"/>
      <c r="AF215" s="1045"/>
      <c r="AG215" s="1045"/>
      <c r="AH215" s="1045"/>
      <c r="AI215" s="1045"/>
      <c r="AJ215" s="1045"/>
      <c r="AK215" s="1045"/>
      <c r="AL215" s="1045"/>
      <c r="AM215" s="1045"/>
      <c r="AN215" s="1045"/>
      <c r="AO215" s="1045"/>
      <c r="AP215" s="1045"/>
      <c r="AQ215" s="1045"/>
      <c r="AR215" s="1045"/>
    </row>
    <row r="216" spans="1:44" ht="12" customHeight="1">
      <c r="A216" s="3999"/>
      <c r="B216" s="4000"/>
      <c r="C216" s="4000"/>
      <c r="D216" s="4000"/>
      <c r="E216" s="4000"/>
      <c r="F216" s="4000"/>
      <c r="G216" s="4000"/>
      <c r="H216" s="4000"/>
      <c r="I216" s="4000"/>
      <c r="J216" s="4000"/>
      <c r="K216" s="4000"/>
      <c r="L216" s="4000"/>
      <c r="M216" s="4000"/>
      <c r="N216" s="4000"/>
      <c r="O216" s="4000"/>
      <c r="P216" s="4000"/>
      <c r="Q216" s="4001"/>
      <c r="R216" s="77"/>
      <c r="S216" s="1045"/>
      <c r="T216" s="1045"/>
      <c r="U216" s="1045"/>
      <c r="V216" s="1045"/>
      <c r="W216" s="1045"/>
      <c r="X216" s="1045"/>
      <c r="Y216" s="1045"/>
      <c r="Z216" s="1045"/>
      <c r="AA216" s="1045"/>
      <c r="AB216" s="1045"/>
      <c r="AC216" s="1045"/>
      <c r="AD216" s="1045"/>
      <c r="AE216" s="1045"/>
      <c r="AF216" s="1045"/>
      <c r="AG216" s="1045"/>
      <c r="AH216" s="1045"/>
      <c r="AI216" s="1045"/>
      <c r="AJ216" s="1045"/>
      <c r="AK216" s="1045"/>
      <c r="AL216" s="1045"/>
      <c r="AM216" s="1045"/>
      <c r="AN216" s="1045"/>
      <c r="AO216" s="1045"/>
      <c r="AP216" s="1045"/>
      <c r="AQ216" s="1045"/>
      <c r="AR216" s="1045"/>
    </row>
    <row r="217" spans="1:44" ht="14.1" customHeight="1">
      <c r="A217" s="2536" t="s">
        <v>1536</v>
      </c>
      <c r="B217" s="2536" t="s">
        <v>2561</v>
      </c>
      <c r="C217" s="16"/>
      <c r="D217" s="2574"/>
      <c r="E217" s="2574"/>
      <c r="F217" s="2574"/>
      <c r="G217" s="2574"/>
      <c r="H217" s="2574"/>
      <c r="I217" s="2574"/>
      <c r="J217" s="2574"/>
      <c r="K217" s="288" t="s">
        <v>2562</v>
      </c>
      <c r="L217" s="969" t="e">
        <f>#REF!</f>
        <v>#REF!</v>
      </c>
      <c r="M217" s="2574"/>
      <c r="N217" s="77"/>
      <c r="O217" s="66" t="s">
        <v>1444</v>
      </c>
      <c r="P217" s="4014"/>
      <c r="Q217" s="4003"/>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197</v>
      </c>
      <c r="B218" s="73" t="s">
        <v>2563</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2564</v>
      </c>
      <c r="C219" s="43"/>
      <c r="D219" s="43"/>
      <c r="E219" s="43"/>
      <c r="F219" s="43"/>
      <c r="G219" s="43"/>
      <c r="H219" s="43"/>
      <c r="I219" s="43"/>
      <c r="J219" s="2528" t="s">
        <v>2565</v>
      </c>
      <c r="K219" s="13" t="s">
        <v>2564</v>
      </c>
      <c r="L219" s="43"/>
      <c r="M219" s="43"/>
      <c r="N219" s="43"/>
      <c r="O219" s="43"/>
      <c r="P219" s="43"/>
      <c r="Q219" s="2528" t="s">
        <v>2565</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2927"/>
      <c r="C220" s="2928"/>
      <c r="D220" s="2928"/>
      <c r="E220" s="2928"/>
      <c r="F220" s="2928"/>
      <c r="G220" s="2928"/>
      <c r="H220" s="2928"/>
      <c r="I220" s="2928"/>
      <c r="J220" s="1526"/>
      <c r="K220" s="2927"/>
      <c r="L220" s="2928"/>
      <c r="M220" s="2928"/>
      <c r="N220" s="2928"/>
      <c r="O220" s="2928"/>
      <c r="P220" s="2928"/>
      <c r="Q220" s="1526"/>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934"/>
      <c r="C221" s="2935"/>
      <c r="D221" s="2935"/>
      <c r="E221" s="2935"/>
      <c r="F221" s="2935"/>
      <c r="G221" s="2935"/>
      <c r="H221" s="2935"/>
      <c r="I221" s="2935"/>
      <c r="J221" s="1527"/>
      <c r="K221" s="2934"/>
      <c r="L221" s="2935"/>
      <c r="M221" s="2935"/>
      <c r="N221" s="2935"/>
      <c r="O221" s="2935"/>
      <c r="P221" s="2935"/>
      <c r="Q221" s="1527"/>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934"/>
      <c r="C222" s="2935"/>
      <c r="D222" s="2935"/>
      <c r="E222" s="2935"/>
      <c r="F222" s="2935"/>
      <c r="G222" s="2935"/>
      <c r="H222" s="2935"/>
      <c r="I222" s="2935"/>
      <c r="J222" s="1527"/>
      <c r="K222" s="2934"/>
      <c r="L222" s="2935"/>
      <c r="M222" s="2935"/>
      <c r="N222" s="2935"/>
      <c r="O222" s="2935"/>
      <c r="P222" s="2935"/>
      <c r="Q222" s="1527"/>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934"/>
      <c r="C223" s="2935"/>
      <c r="D223" s="2935"/>
      <c r="E223" s="2935"/>
      <c r="F223" s="2935"/>
      <c r="G223" s="2935"/>
      <c r="H223" s="2935"/>
      <c r="I223" s="2935"/>
      <c r="J223" s="1527"/>
      <c r="K223" s="2934"/>
      <c r="L223" s="2935"/>
      <c r="M223" s="2935"/>
      <c r="N223" s="2935"/>
      <c r="O223" s="2935"/>
      <c r="P223" s="2935"/>
      <c r="Q223" s="1527"/>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934"/>
      <c r="C224" s="2935"/>
      <c r="D224" s="2935"/>
      <c r="E224" s="2935"/>
      <c r="F224" s="2935"/>
      <c r="G224" s="2935"/>
      <c r="H224" s="2935"/>
      <c r="I224" s="2935"/>
      <c r="J224" s="1527"/>
      <c r="K224" s="2934"/>
      <c r="L224" s="2935"/>
      <c r="M224" s="2935"/>
      <c r="N224" s="2935"/>
      <c r="O224" s="2935"/>
      <c r="P224" s="2935"/>
      <c r="Q224" s="1527"/>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934"/>
      <c r="C225" s="2935"/>
      <c r="D225" s="2935"/>
      <c r="E225" s="2935"/>
      <c r="F225" s="2935"/>
      <c r="G225" s="2935"/>
      <c r="H225" s="2935"/>
      <c r="I225" s="2935"/>
      <c r="J225" s="1527"/>
      <c r="K225" s="2934"/>
      <c r="L225" s="2935"/>
      <c r="M225" s="2935"/>
      <c r="N225" s="2935"/>
      <c r="O225" s="2935"/>
      <c r="P225" s="2935"/>
      <c r="Q225" s="1527"/>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934"/>
      <c r="C226" s="2935"/>
      <c r="D226" s="2935"/>
      <c r="E226" s="2935"/>
      <c r="F226" s="2935"/>
      <c r="G226" s="2935"/>
      <c r="H226" s="2935"/>
      <c r="I226" s="2935"/>
      <c r="J226" s="1527"/>
      <c r="K226" s="2934"/>
      <c r="L226" s="2935"/>
      <c r="M226" s="2935"/>
      <c r="N226" s="2935"/>
      <c r="O226" s="2935"/>
      <c r="P226" s="2935"/>
      <c r="Q226" s="1527"/>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971"/>
      <c r="C227" s="2972"/>
      <c r="D227" s="2972"/>
      <c r="E227" s="2972"/>
      <c r="F227" s="2972"/>
      <c r="G227" s="2972"/>
      <c r="H227" s="2972"/>
      <c r="I227" s="2972"/>
      <c r="J227" s="1528"/>
      <c r="K227" s="2971"/>
      <c r="L227" s="2972"/>
      <c r="M227" s="2972"/>
      <c r="N227" s="2972"/>
      <c r="O227" s="2972"/>
      <c r="P227" s="2972"/>
      <c r="Q227" s="1528"/>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209</v>
      </c>
      <c r="B228" s="2796" t="s">
        <v>2566</v>
      </c>
      <c r="C228" s="2794"/>
      <c r="D228" s="2797"/>
      <c r="E228" s="2797"/>
      <c r="F228" s="2797"/>
      <c r="G228" s="2797"/>
      <c r="H228" s="2797"/>
      <c r="I228" s="2642"/>
      <c r="J228" s="2642"/>
      <c r="K228" s="2797"/>
      <c r="L228" s="2793"/>
      <c r="M228" s="2794"/>
      <c r="N228" s="2794"/>
      <c r="O228" s="84" t="s">
        <v>209</v>
      </c>
      <c r="P228" s="935"/>
      <c r="Q228" s="936"/>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230</v>
      </c>
      <c r="B229" s="3998" t="s">
        <v>2567</v>
      </c>
      <c r="C229" s="3998"/>
      <c r="D229" s="3998"/>
      <c r="E229" s="3998"/>
      <c r="F229" s="3998"/>
      <c r="G229" s="3998"/>
      <c r="H229" s="3998"/>
      <c r="I229" s="3998"/>
      <c r="J229" s="3998"/>
      <c r="K229" s="3998"/>
      <c r="L229" s="3998"/>
      <c r="M229" s="3998"/>
      <c r="N229" s="3998"/>
      <c r="O229" s="84" t="s">
        <v>230</v>
      </c>
      <c r="P229" s="2582"/>
      <c r="Q229" s="2580"/>
      <c r="S229" s="1046"/>
      <c r="T229" s="1046"/>
      <c r="U229" s="1046"/>
      <c r="V229" s="1046"/>
      <c r="W229" s="1046"/>
      <c r="X229" s="1046"/>
      <c r="Y229" s="1046"/>
      <c r="Z229" s="1046"/>
      <c r="AA229" s="1046"/>
      <c r="AB229" s="1046"/>
      <c r="AC229" s="1046"/>
      <c r="AD229" s="1046"/>
      <c r="AE229" s="1046"/>
      <c r="AF229" s="1046"/>
      <c r="AG229" s="1046"/>
      <c r="AH229" s="1046"/>
      <c r="AI229" s="1046"/>
      <c r="AJ229" s="1046"/>
      <c r="AK229" s="1046"/>
      <c r="AL229" s="1046"/>
      <c r="AM229" s="1046"/>
      <c r="AN229" s="1046"/>
      <c r="AO229" s="1046"/>
      <c r="AP229" s="1046"/>
      <c r="AQ229" s="1046"/>
      <c r="AR229" s="1046"/>
    </row>
    <row r="230" spans="1:44" s="229" customFormat="1" ht="12" customHeight="1">
      <c r="A230" s="22" t="s">
        <v>232</v>
      </c>
      <c r="B230" s="73" t="s">
        <v>2568</v>
      </c>
      <c r="D230" s="73"/>
      <c r="E230" s="73"/>
      <c r="F230" s="73"/>
      <c r="G230" s="73"/>
      <c r="H230" s="73"/>
      <c r="I230" s="73"/>
      <c r="J230" s="73"/>
      <c r="K230" s="73"/>
      <c r="L230" s="73"/>
      <c r="M230" s="73"/>
      <c r="O230" s="28" t="s">
        <v>232</v>
      </c>
      <c r="P230" s="2583"/>
      <c r="Q230" s="2581"/>
      <c r="S230" s="1046"/>
      <c r="T230" s="1046"/>
      <c r="U230" s="1046"/>
      <c r="V230" s="1046"/>
      <c r="W230" s="1046"/>
      <c r="X230" s="1046"/>
      <c r="Y230" s="1046"/>
      <c r="Z230" s="1046"/>
      <c r="AA230" s="1046"/>
      <c r="AB230" s="1046"/>
      <c r="AC230" s="1046"/>
      <c r="AD230" s="1046"/>
      <c r="AE230" s="1046"/>
      <c r="AF230" s="1046"/>
      <c r="AG230" s="1046"/>
      <c r="AH230" s="1046"/>
      <c r="AI230" s="1046"/>
      <c r="AJ230" s="1046"/>
      <c r="AK230" s="1046"/>
      <c r="AL230" s="1046"/>
      <c r="AM230" s="1046"/>
      <c r="AN230" s="1046"/>
      <c r="AO230" s="1046"/>
      <c r="AP230" s="1046"/>
      <c r="AQ230" s="1046"/>
      <c r="AR230" s="1046"/>
    </row>
    <row r="231" spans="1:44" ht="11.25" customHeight="1">
      <c r="A231" s="77"/>
      <c r="B231" s="74" t="s">
        <v>1450</v>
      </c>
      <c r="C231" s="77"/>
      <c r="D231" s="74"/>
      <c r="E231" s="74"/>
      <c r="F231" s="74"/>
      <c r="G231" s="74"/>
      <c r="H231" s="16"/>
      <c r="I231" s="2584"/>
      <c r="J231" s="2584"/>
      <c r="K231" s="2584"/>
      <c r="L231" s="517"/>
      <c r="M231" s="517"/>
      <c r="N231" s="517"/>
      <c r="O231" s="517"/>
      <c r="P231" s="517"/>
      <c r="Q231" s="517"/>
      <c r="R231" s="77"/>
      <c r="S231" s="1045"/>
      <c r="T231" s="1045"/>
      <c r="U231" s="1045"/>
      <c r="V231" s="1045"/>
      <c r="W231" s="1045"/>
      <c r="X231" s="1045"/>
      <c r="Y231" s="1045"/>
      <c r="Z231" s="1045"/>
      <c r="AA231" s="1045"/>
      <c r="AB231" s="1045"/>
      <c r="AC231" s="1045"/>
      <c r="AD231" s="1045"/>
      <c r="AE231" s="1045"/>
      <c r="AF231" s="1045"/>
      <c r="AG231" s="1045"/>
      <c r="AH231" s="1045"/>
      <c r="AI231" s="1045"/>
      <c r="AJ231" s="1045"/>
      <c r="AK231" s="1045"/>
      <c r="AL231" s="1045"/>
      <c r="AM231" s="1045"/>
      <c r="AN231" s="1045"/>
      <c r="AO231" s="1045"/>
      <c r="AP231" s="1045"/>
      <c r="AQ231" s="1045"/>
      <c r="AR231" s="1045"/>
    </row>
    <row r="232" spans="1:44" ht="12" customHeight="1">
      <c r="A232" s="3995"/>
      <c r="B232" s="3996"/>
      <c r="C232" s="3996"/>
      <c r="D232" s="3996"/>
      <c r="E232" s="3996"/>
      <c r="F232" s="3996"/>
      <c r="G232" s="3996"/>
      <c r="H232" s="3996"/>
      <c r="I232" s="3996"/>
      <c r="J232" s="3996"/>
      <c r="K232" s="3996"/>
      <c r="L232" s="3996"/>
      <c r="M232" s="3996"/>
      <c r="N232" s="3996"/>
      <c r="O232" s="3996"/>
      <c r="P232" s="3996"/>
      <c r="Q232" s="3997"/>
      <c r="R232" s="248" t="s">
        <v>2401</v>
      </c>
      <c r="S232" s="1043"/>
      <c r="T232" s="1045"/>
      <c r="U232" s="1044"/>
      <c r="V232" s="1044"/>
      <c r="W232" s="1044"/>
      <c r="X232" s="1044"/>
      <c r="Y232" s="1044"/>
      <c r="Z232" s="1044"/>
      <c r="AA232" s="1044"/>
      <c r="AB232" s="1044"/>
      <c r="AC232" s="1044"/>
      <c r="AD232" s="1044"/>
      <c r="AE232" s="1044"/>
      <c r="AF232" s="1045"/>
      <c r="AG232" s="1045"/>
      <c r="AH232" s="1045"/>
      <c r="AI232" s="1045"/>
      <c r="AJ232" s="1045"/>
      <c r="AK232" s="1045"/>
      <c r="AL232" s="1045"/>
      <c r="AM232" s="1045"/>
      <c r="AN232" s="1045"/>
      <c r="AO232" s="1045"/>
      <c r="AP232" s="1045"/>
      <c r="AQ232" s="1045"/>
      <c r="AR232" s="1045"/>
    </row>
    <row r="233" spans="1:44" ht="11.25" customHeight="1">
      <c r="A233" s="77"/>
      <c r="B233" s="70" t="s">
        <v>1447</v>
      </c>
      <c r="C233" s="71"/>
      <c r="D233" s="2574"/>
      <c r="E233" s="2574"/>
      <c r="F233" s="2574"/>
      <c r="G233" s="2574"/>
      <c r="H233" s="2574"/>
      <c r="I233" s="2574"/>
      <c r="J233" s="2574"/>
      <c r="K233" s="2574"/>
      <c r="L233" s="2574"/>
      <c r="M233" s="2574"/>
      <c r="N233" s="2574"/>
      <c r="O233" s="2574"/>
      <c r="P233" s="2574"/>
      <c r="Q233" s="2574"/>
      <c r="R233" s="77"/>
      <c r="S233" s="1045"/>
      <c r="T233" s="1045"/>
      <c r="U233" s="1045"/>
      <c r="V233" s="1045"/>
      <c r="W233" s="1045"/>
      <c r="X233" s="1045"/>
      <c r="Y233" s="1045"/>
      <c r="Z233" s="1045"/>
      <c r="AA233" s="1045"/>
      <c r="AB233" s="1045"/>
      <c r="AC233" s="1045"/>
      <c r="AD233" s="1045"/>
      <c r="AE233" s="1045"/>
      <c r="AF233" s="1045"/>
      <c r="AG233" s="1045"/>
      <c r="AH233" s="1045"/>
      <c r="AI233" s="1045"/>
      <c r="AJ233" s="1045"/>
      <c r="AK233" s="1045"/>
      <c r="AL233" s="1045"/>
      <c r="AM233" s="1045"/>
      <c r="AN233" s="1045"/>
      <c r="AO233" s="1045"/>
      <c r="AP233" s="1045"/>
      <c r="AQ233" s="1045"/>
      <c r="AR233" s="1045"/>
    </row>
    <row r="234" spans="1:44" ht="12" customHeight="1">
      <c r="A234" s="3999"/>
      <c r="B234" s="4000"/>
      <c r="C234" s="4000"/>
      <c r="D234" s="4000"/>
      <c r="E234" s="4000"/>
      <c r="F234" s="4000"/>
      <c r="G234" s="4000"/>
      <c r="H234" s="4000"/>
      <c r="I234" s="4000"/>
      <c r="J234" s="4000"/>
      <c r="K234" s="4000"/>
      <c r="L234" s="4000"/>
      <c r="M234" s="4000"/>
      <c r="N234" s="4000"/>
      <c r="O234" s="4000"/>
      <c r="P234" s="4000"/>
      <c r="Q234" s="4001"/>
      <c r="R234" s="77"/>
      <c r="S234" s="1045"/>
      <c r="T234" s="1045"/>
      <c r="U234" s="1045"/>
      <c r="V234" s="1045"/>
      <c r="W234" s="1045"/>
      <c r="X234" s="1045"/>
      <c r="Y234" s="1045"/>
      <c r="Z234" s="1045"/>
      <c r="AA234" s="1045"/>
      <c r="AB234" s="1045"/>
      <c r="AC234" s="1045"/>
      <c r="AD234" s="1045"/>
      <c r="AE234" s="1045"/>
      <c r="AF234" s="1045"/>
      <c r="AG234" s="1045"/>
      <c r="AH234" s="1045"/>
      <c r="AI234" s="1045"/>
      <c r="AJ234" s="1045"/>
      <c r="AK234" s="1045"/>
      <c r="AL234" s="1045"/>
      <c r="AM234" s="1045"/>
      <c r="AN234" s="1045"/>
      <c r="AO234" s="1045"/>
      <c r="AP234" s="1045"/>
      <c r="AQ234" s="1045"/>
      <c r="AR234" s="1045"/>
    </row>
    <row r="235" spans="1:44" ht="3" customHeight="1">
      <c r="A235" s="517"/>
      <c r="B235" s="2584"/>
      <c r="C235" s="2574"/>
      <c r="D235" s="2574"/>
      <c r="E235" s="2574"/>
      <c r="F235" s="2574"/>
      <c r="G235" s="2574"/>
      <c r="H235" s="2574"/>
      <c r="I235" s="2574"/>
      <c r="J235" s="2574"/>
      <c r="K235" s="2574"/>
      <c r="L235" s="2574"/>
      <c r="M235" s="2574"/>
      <c r="N235" s="77"/>
      <c r="O235" s="77"/>
      <c r="P235" s="77"/>
      <c r="Q235" s="517"/>
      <c r="R235" s="77"/>
      <c r="S235" s="1045"/>
      <c r="T235" s="1045"/>
      <c r="U235" s="1045"/>
      <c r="V235" s="1045"/>
      <c r="W235" s="1045"/>
      <c r="X235" s="1045"/>
      <c r="Y235" s="1045"/>
      <c r="Z235" s="1045"/>
      <c r="AA235" s="1045"/>
      <c r="AB235" s="1045"/>
      <c r="AC235" s="1045"/>
      <c r="AD235" s="1045"/>
      <c r="AE235" s="1045"/>
      <c r="AF235" s="1045"/>
      <c r="AG235" s="1045"/>
      <c r="AH235" s="1045"/>
      <c r="AI235" s="1045"/>
      <c r="AJ235" s="1045"/>
      <c r="AK235" s="1045"/>
      <c r="AL235" s="1045"/>
      <c r="AM235" s="1045"/>
      <c r="AN235" s="1045"/>
      <c r="AO235" s="1045"/>
      <c r="AP235" s="1045"/>
      <c r="AQ235" s="1045"/>
      <c r="AR235" s="1045"/>
    </row>
    <row r="236" spans="1:44" ht="14.1" customHeight="1">
      <c r="A236" s="2536" t="s">
        <v>1539</v>
      </c>
      <c r="B236" s="3" t="s">
        <v>1531</v>
      </c>
      <c r="C236" s="3"/>
      <c r="D236" s="38"/>
      <c r="E236" s="38"/>
      <c r="F236" s="38"/>
      <c r="G236" s="38"/>
      <c r="H236" s="2574"/>
      <c r="I236" s="2574"/>
      <c r="J236" s="2574"/>
      <c r="K236" s="2574"/>
      <c r="L236" s="508"/>
      <c r="M236" s="921"/>
      <c r="N236" s="77"/>
      <c r="O236" s="66" t="s">
        <v>1444</v>
      </c>
      <c r="P236" s="4014"/>
      <c r="Q236" s="4003"/>
      <c r="R236" s="77"/>
      <c r="S236" s="1045"/>
      <c r="T236" s="1045"/>
      <c r="U236" s="1045"/>
      <c r="V236" s="1045"/>
      <c r="W236" s="1045"/>
      <c r="X236" s="1045"/>
      <c r="Y236" s="1045"/>
      <c r="Z236" s="1045"/>
      <c r="AA236" s="1045"/>
      <c r="AB236" s="1045"/>
      <c r="AC236" s="1045"/>
      <c r="AD236" s="1045"/>
      <c r="AE236" s="1045"/>
      <c r="AF236" s="1045"/>
      <c r="AG236" s="1045"/>
      <c r="AH236" s="1045"/>
      <c r="AI236" s="1045"/>
      <c r="AJ236" s="1045"/>
      <c r="AK236" s="1045"/>
      <c r="AL236" s="1045"/>
      <c r="AM236" s="1045"/>
      <c r="AN236" s="1045"/>
      <c r="AO236" s="1045"/>
      <c r="AP236" s="1045"/>
      <c r="AQ236" s="1045"/>
      <c r="AR236" s="1045"/>
    </row>
    <row r="237" spans="1:44" customFormat="1" ht="12" customHeight="1">
      <c r="B237" s="25" t="s">
        <v>2569</v>
      </c>
      <c r="N237" s="58"/>
      <c r="P237" s="267"/>
      <c r="Q237" s="306"/>
      <c r="S237" s="1041"/>
      <c r="T237" s="1041"/>
      <c r="U237" s="1041"/>
      <c r="V237" s="1041"/>
      <c r="W237" s="1041"/>
      <c r="X237" s="1041"/>
      <c r="Y237" s="1041"/>
      <c r="Z237" s="1041"/>
      <c r="AA237" s="1041"/>
      <c r="AB237" s="1041"/>
      <c r="AC237" s="1041"/>
      <c r="AD237" s="1041"/>
      <c r="AE237" s="1041"/>
      <c r="AF237" s="1041"/>
      <c r="AG237" s="1041"/>
      <c r="AH237" s="1041"/>
      <c r="AI237" s="1041"/>
      <c r="AJ237" s="1041"/>
      <c r="AK237" s="1041"/>
      <c r="AL237" s="1041"/>
      <c r="AM237" s="1041"/>
      <c r="AN237" s="1041"/>
      <c r="AO237" s="1041"/>
      <c r="AP237" s="1041"/>
      <c r="AQ237" s="1041"/>
      <c r="AR237" s="1041"/>
    </row>
    <row r="238" spans="1:44" ht="11.65" customHeight="1">
      <c r="A238" s="22" t="s">
        <v>197</v>
      </c>
      <c r="B238" s="13" t="s">
        <v>1533</v>
      </c>
      <c r="C238" s="77"/>
      <c r="D238" s="43"/>
      <c r="E238" s="13"/>
      <c r="F238" s="13"/>
      <c r="G238" s="77"/>
      <c r="H238" s="77"/>
      <c r="I238" s="77"/>
      <c r="J238" s="28" t="s">
        <v>197</v>
      </c>
      <c r="K238" s="4057" t="s">
        <v>730</v>
      </c>
      <c r="L238" s="4058"/>
      <c r="M238" s="4058"/>
      <c r="N238" s="4058"/>
      <c r="O238" s="4059"/>
      <c r="P238" s="4055" t="s">
        <v>730</v>
      </c>
      <c r="Q238" s="4056"/>
      <c r="R238" s="77"/>
      <c r="S238" s="1045"/>
      <c r="T238" s="1045"/>
      <c r="U238" s="1045"/>
      <c r="V238" s="1045"/>
      <c r="W238" s="1045"/>
      <c r="X238" s="1045"/>
      <c r="Y238" s="1045"/>
      <c r="Z238" s="1045"/>
      <c r="AA238" s="1045"/>
      <c r="AB238" s="1045"/>
      <c r="AC238" s="1045"/>
      <c r="AD238" s="1045"/>
      <c r="AE238" s="1045"/>
      <c r="AF238" s="1045"/>
      <c r="AG238" s="1045"/>
      <c r="AH238" s="1045"/>
      <c r="AI238" s="1045"/>
      <c r="AJ238" s="1045"/>
      <c r="AK238" s="1045"/>
      <c r="AL238" s="1045"/>
      <c r="AM238" s="1045"/>
      <c r="AN238" s="1045"/>
      <c r="AO238" s="1045"/>
      <c r="AP238" s="1045"/>
      <c r="AQ238" s="1045"/>
      <c r="AR238" s="1045"/>
    </row>
    <row r="239" spans="1:44" customFormat="1" ht="34.5" customHeight="1">
      <c r="B239" s="3998" t="s">
        <v>2570</v>
      </c>
      <c r="C239" s="3998"/>
      <c r="D239" s="3998"/>
      <c r="E239" s="3998"/>
      <c r="F239" s="3998"/>
      <c r="G239" s="3998"/>
      <c r="H239" s="3998"/>
      <c r="I239" s="3998"/>
      <c r="J239" s="3998"/>
      <c r="K239" s="3998"/>
      <c r="L239" s="3998"/>
      <c r="M239" s="3998"/>
      <c r="N239" s="3998"/>
      <c r="O239" s="4062"/>
      <c r="P239" s="674"/>
      <c r="Q239" s="675"/>
      <c r="S239" s="1041"/>
      <c r="T239" s="1041"/>
      <c r="U239" s="1041"/>
      <c r="V239" s="1041"/>
      <c r="W239" s="1041"/>
      <c r="X239" s="1041"/>
      <c r="Y239" s="1041"/>
      <c r="Z239" s="1041"/>
      <c r="AA239" s="1041"/>
      <c r="AB239" s="1041"/>
      <c r="AC239" s="1041"/>
      <c r="AD239" s="1041"/>
      <c r="AE239" s="1041"/>
      <c r="AF239" s="1041"/>
      <c r="AG239" s="1041"/>
      <c r="AH239" s="1041"/>
      <c r="AI239" s="1041"/>
      <c r="AJ239" s="1041"/>
      <c r="AK239" s="1041"/>
      <c r="AL239" s="1041"/>
      <c r="AM239" s="1041"/>
      <c r="AN239" s="1041"/>
      <c r="AO239" s="1041"/>
      <c r="AP239" s="1041"/>
      <c r="AQ239" s="1041"/>
      <c r="AR239" s="1041"/>
    </row>
    <row r="240" spans="1:44" ht="12" customHeight="1">
      <c r="A240" s="22" t="s">
        <v>209</v>
      </c>
      <c r="B240" s="13" t="s">
        <v>2571</v>
      </c>
      <c r="C240" s="77"/>
      <c r="D240" s="13"/>
      <c r="E240" s="13"/>
      <c r="F240" s="13"/>
      <c r="G240" s="77"/>
      <c r="H240" s="77"/>
      <c r="I240" s="77"/>
      <c r="J240" s="28" t="s">
        <v>209</v>
      </c>
      <c r="K240" s="4096"/>
      <c r="L240" s="4097"/>
      <c r="M240" s="4097"/>
      <c r="N240" s="4097"/>
      <c r="O240" s="4098"/>
      <c r="P240" s="4092"/>
      <c r="Q240" s="4093"/>
      <c r="R240" s="77"/>
      <c r="S240" s="1045"/>
      <c r="T240" s="1045"/>
      <c r="U240" s="1045"/>
      <c r="V240" s="1045"/>
      <c r="W240" s="1045"/>
      <c r="X240" s="1045"/>
      <c r="Y240" s="1045"/>
      <c r="Z240" s="1045"/>
      <c r="AA240" s="1045"/>
      <c r="AB240" s="1045"/>
      <c r="AC240" s="1045"/>
      <c r="AD240" s="1045"/>
      <c r="AE240" s="1045"/>
      <c r="AF240" s="1045"/>
      <c r="AG240" s="1045"/>
      <c r="AH240" s="1045"/>
      <c r="AI240" s="1045"/>
      <c r="AJ240" s="1045"/>
      <c r="AK240" s="1045"/>
      <c r="AL240" s="1045"/>
      <c r="AM240" s="1045"/>
      <c r="AN240" s="1045"/>
      <c r="AO240" s="1045"/>
      <c r="AP240" s="1045"/>
      <c r="AQ240" s="1045"/>
      <c r="AR240" s="1045"/>
    </row>
    <row r="241" spans="1:44" s="77" customFormat="1" ht="12" customHeight="1">
      <c r="A241" s="22"/>
      <c r="B241" s="2574" t="s">
        <v>1521</v>
      </c>
      <c r="C241" s="13" t="s">
        <v>1534</v>
      </c>
      <c r="D241" s="13"/>
      <c r="E241" s="13"/>
      <c r="F241" s="13"/>
      <c r="J241" s="28" t="s">
        <v>1521</v>
      </c>
      <c r="K241" s="4004"/>
      <c r="L241" s="4005"/>
      <c r="M241" s="4005"/>
      <c r="N241" s="4005"/>
      <c r="O241" s="4006"/>
      <c r="P241" s="4094"/>
      <c r="Q241" s="4095"/>
      <c r="S241" s="1045"/>
      <c r="T241" s="1045"/>
      <c r="U241" s="1045"/>
      <c r="V241" s="1045"/>
      <c r="W241" s="1045"/>
      <c r="X241" s="1045"/>
      <c r="Y241" s="1045"/>
      <c r="Z241" s="1045"/>
      <c r="AA241" s="1045"/>
      <c r="AB241" s="1045"/>
      <c r="AC241" s="1045"/>
      <c r="AD241" s="1045"/>
      <c r="AE241" s="1045"/>
      <c r="AF241" s="1045"/>
      <c r="AG241" s="1045"/>
      <c r="AH241" s="1045"/>
      <c r="AI241" s="1045"/>
      <c r="AJ241" s="1045"/>
      <c r="AK241" s="1045"/>
      <c r="AL241" s="1045"/>
      <c r="AM241" s="1045"/>
      <c r="AN241" s="1045"/>
      <c r="AO241" s="1045"/>
      <c r="AP241" s="1045"/>
      <c r="AQ241" s="1045"/>
      <c r="AR241" s="1045"/>
    </row>
    <row r="242" spans="1:44" s="77" customFormat="1" ht="12" customHeight="1">
      <c r="A242" s="22"/>
      <c r="B242" s="2574" t="s">
        <v>1524</v>
      </c>
      <c r="C242" s="13" t="s">
        <v>2572</v>
      </c>
      <c r="D242" s="13"/>
      <c r="E242" s="13"/>
      <c r="F242" s="13"/>
      <c r="G242" s="13"/>
      <c r="H242" s="13"/>
      <c r="I242" s="43"/>
      <c r="J242" s="43"/>
      <c r="M242" s="13"/>
      <c r="N242" s="609"/>
      <c r="O242" s="28" t="s">
        <v>1524</v>
      </c>
      <c r="P242" s="605"/>
      <c r="Q242" s="2592"/>
      <c r="S242" s="1045"/>
      <c r="T242" s="1045"/>
      <c r="U242" s="1045"/>
      <c r="V242" s="1045"/>
      <c r="W242" s="1045"/>
      <c r="X242" s="1045"/>
      <c r="Y242" s="1045"/>
      <c r="Z242" s="1045"/>
      <c r="AA242" s="1045"/>
      <c r="AB242" s="1045"/>
      <c r="AC242" s="1045"/>
      <c r="AD242" s="1045"/>
      <c r="AE242" s="1045"/>
      <c r="AF242" s="1045"/>
      <c r="AG242" s="1045"/>
      <c r="AH242" s="1045"/>
      <c r="AI242" s="1045"/>
      <c r="AJ242" s="1045"/>
      <c r="AK242" s="1045"/>
      <c r="AL242" s="1045"/>
      <c r="AM242" s="1045"/>
      <c r="AN242" s="1045"/>
      <c r="AO242" s="1045"/>
      <c r="AP242" s="1045"/>
      <c r="AQ242" s="1045"/>
      <c r="AR242" s="1045"/>
    </row>
    <row r="243" spans="1:44" s="77" customFormat="1" ht="34.5" customHeight="1">
      <c r="A243" s="22"/>
      <c r="B243" s="2574" t="s">
        <v>1526</v>
      </c>
      <c r="C243" s="3998" t="s">
        <v>2573</v>
      </c>
      <c r="D243" s="3998"/>
      <c r="E243" s="3998"/>
      <c r="F243" s="3998"/>
      <c r="G243" s="3998"/>
      <c r="H243" s="3998"/>
      <c r="I243" s="3998"/>
      <c r="J243" s="3998"/>
      <c r="K243" s="3998"/>
      <c r="L243" s="3998"/>
      <c r="M243" s="3998"/>
      <c r="N243" s="3998"/>
      <c r="O243" s="84" t="s">
        <v>1526</v>
      </c>
      <c r="P243" s="2588"/>
      <c r="Q243" s="2586"/>
      <c r="S243" s="1045"/>
      <c r="T243" s="1045"/>
      <c r="U243" s="1045"/>
      <c r="V243" s="1045"/>
      <c r="W243" s="1045"/>
      <c r="X243" s="1045"/>
      <c r="Y243" s="1045"/>
      <c r="Z243" s="1045"/>
      <c r="AA243" s="1045"/>
      <c r="AB243" s="1045"/>
      <c r="AC243" s="1045"/>
      <c r="AD243" s="1045"/>
      <c r="AE243" s="1045"/>
      <c r="AF243" s="1045"/>
      <c r="AG243" s="1045"/>
      <c r="AH243" s="1045"/>
      <c r="AI243" s="1045"/>
      <c r="AJ243" s="1045"/>
      <c r="AK243" s="1045"/>
      <c r="AL243" s="1045"/>
      <c r="AM243" s="1045"/>
      <c r="AN243" s="1045"/>
      <c r="AO243" s="1045"/>
      <c r="AP243" s="1045"/>
      <c r="AQ243" s="1045"/>
      <c r="AR243" s="1045"/>
    </row>
    <row r="244" spans="1:44" s="77" customFormat="1" ht="24" customHeight="1">
      <c r="A244" s="22"/>
      <c r="B244" s="2574" t="s">
        <v>1528</v>
      </c>
      <c r="C244" s="3998" t="s">
        <v>2574</v>
      </c>
      <c r="D244" s="3998"/>
      <c r="E244" s="3998"/>
      <c r="F244" s="3998"/>
      <c r="G244" s="3998"/>
      <c r="H244" s="3998"/>
      <c r="I244" s="3998"/>
      <c r="J244" s="3998"/>
      <c r="K244" s="3998"/>
      <c r="L244" s="3998"/>
      <c r="M244" s="3998"/>
      <c r="N244" s="3998"/>
      <c r="O244" s="84" t="s">
        <v>1528</v>
      </c>
      <c r="P244" s="2583"/>
      <c r="Q244" s="2581"/>
      <c r="S244" s="1045"/>
      <c r="T244" s="1045"/>
      <c r="U244" s="1045"/>
      <c r="V244" s="1045"/>
      <c r="W244" s="1045"/>
      <c r="X244" s="1045"/>
      <c r="Y244" s="1045"/>
      <c r="Z244" s="1045"/>
      <c r="AA244" s="1045"/>
      <c r="AB244" s="1045"/>
      <c r="AC244" s="1045"/>
      <c r="AD244" s="1045"/>
      <c r="AE244" s="1045"/>
      <c r="AF244" s="1045"/>
      <c r="AG244" s="1045"/>
      <c r="AH244" s="1045"/>
      <c r="AI244" s="1045"/>
      <c r="AJ244" s="1045"/>
      <c r="AK244" s="1045"/>
      <c r="AL244" s="1045"/>
      <c r="AM244" s="1045"/>
      <c r="AN244" s="1045"/>
      <c r="AO244" s="1045"/>
      <c r="AP244" s="1045"/>
      <c r="AQ244" s="1045"/>
      <c r="AR244" s="1045"/>
    </row>
    <row r="245" spans="1:44" s="77" customFormat="1" ht="12" customHeight="1">
      <c r="A245" s="22" t="s">
        <v>230</v>
      </c>
      <c r="B245" s="13" t="s">
        <v>2575</v>
      </c>
      <c r="D245" s="13"/>
      <c r="E245" s="13"/>
      <c r="F245" s="13"/>
      <c r="G245" s="13"/>
      <c r="H245" s="13"/>
      <c r="I245" s="43"/>
      <c r="J245" s="43"/>
      <c r="K245" s="43"/>
      <c r="M245" s="13"/>
      <c r="N245" s="609"/>
      <c r="P245" s="935"/>
      <c r="Q245" s="936"/>
      <c r="S245" s="1045"/>
      <c r="T245" s="1045"/>
      <c r="U245" s="1045"/>
      <c r="V245" s="1045"/>
      <c r="W245" s="1045"/>
      <c r="X245" s="1045"/>
      <c r="Y245" s="1045"/>
      <c r="Z245" s="1045"/>
      <c r="AA245" s="1045"/>
      <c r="AB245" s="1045"/>
      <c r="AC245" s="1045"/>
      <c r="AD245" s="1045"/>
      <c r="AE245" s="1045"/>
      <c r="AF245" s="1045"/>
      <c r="AG245" s="1045"/>
      <c r="AH245" s="1045"/>
      <c r="AI245" s="1045"/>
      <c r="AJ245" s="1045"/>
      <c r="AK245" s="1045"/>
      <c r="AL245" s="1045"/>
      <c r="AM245" s="1045"/>
      <c r="AN245" s="1045"/>
      <c r="AO245" s="1045"/>
      <c r="AP245" s="1045"/>
      <c r="AQ245" s="1045"/>
      <c r="AR245" s="1045"/>
    </row>
    <row r="246" spans="1:44" s="77" customFormat="1" ht="12" customHeight="1">
      <c r="A246" s="22"/>
      <c r="B246" s="4137" t="s">
        <v>2576</v>
      </c>
      <c r="C246" s="4137"/>
      <c r="D246" s="4137"/>
      <c r="E246" s="25" t="s">
        <v>2577</v>
      </c>
      <c r="F246" s="337"/>
      <c r="G246" s="337"/>
      <c r="K246" s="43"/>
      <c r="M246" s="13"/>
      <c r="N246" s="609"/>
      <c r="O246" s="28" t="s">
        <v>1521</v>
      </c>
      <c r="P246" s="202"/>
      <c r="Q246" s="307"/>
      <c r="S246" s="1045"/>
      <c r="T246" s="1045"/>
      <c r="U246" s="1045"/>
      <c r="V246" s="1045"/>
      <c r="W246" s="1045"/>
      <c r="X246" s="1045"/>
      <c r="Y246" s="1045"/>
      <c r="Z246" s="1045"/>
      <c r="AA246" s="1045"/>
      <c r="AB246" s="1045"/>
      <c r="AC246" s="1045"/>
      <c r="AD246" s="1045"/>
      <c r="AE246" s="1045"/>
      <c r="AF246" s="1045"/>
      <c r="AG246" s="1045"/>
      <c r="AH246" s="1045"/>
      <c r="AI246" s="1045"/>
      <c r="AJ246" s="1045"/>
      <c r="AK246" s="1045"/>
      <c r="AL246" s="1045"/>
      <c r="AM246" s="1045"/>
      <c r="AN246" s="1045"/>
      <c r="AO246" s="1045"/>
      <c r="AP246" s="1045"/>
      <c r="AQ246" s="1045"/>
      <c r="AR246" s="1045"/>
    </row>
    <row r="247" spans="1:44" s="77" customFormat="1" ht="12" customHeight="1">
      <c r="A247" s="22"/>
      <c r="B247" s="4137"/>
      <c r="C247" s="4137"/>
      <c r="D247" s="4137"/>
      <c r="E247" s="25" t="s">
        <v>2578</v>
      </c>
      <c r="F247" s="337"/>
      <c r="G247" s="337"/>
      <c r="K247" s="43"/>
      <c r="M247" s="13"/>
      <c r="N247" s="609"/>
      <c r="O247" s="28" t="s">
        <v>1524</v>
      </c>
      <c r="P247" s="202"/>
      <c r="Q247" s="307"/>
      <c r="S247" s="1045"/>
      <c r="T247" s="1045"/>
      <c r="U247" s="1045"/>
      <c r="V247" s="1045"/>
      <c r="W247" s="1045"/>
      <c r="X247" s="1045"/>
      <c r="Y247" s="1045"/>
      <c r="Z247" s="1045"/>
      <c r="AA247" s="1045"/>
      <c r="AB247" s="1045"/>
      <c r="AC247" s="1045"/>
      <c r="AD247" s="1045"/>
      <c r="AE247" s="1045"/>
      <c r="AF247" s="1045"/>
      <c r="AG247" s="1045"/>
      <c r="AH247" s="1045"/>
      <c r="AI247" s="1045"/>
      <c r="AJ247" s="1045"/>
      <c r="AK247" s="1045"/>
      <c r="AL247" s="1045"/>
      <c r="AM247" s="1045"/>
      <c r="AN247" s="1045"/>
      <c r="AO247" s="1045"/>
      <c r="AP247" s="1045"/>
      <c r="AQ247" s="1045"/>
      <c r="AR247" s="1045"/>
    </row>
    <row r="248" spans="1:44" s="77" customFormat="1" ht="12" customHeight="1">
      <c r="A248" s="22"/>
      <c r="B248" s="4137"/>
      <c r="C248" s="4137"/>
      <c r="D248" s="4137"/>
      <c r="E248" s="25" t="s">
        <v>2579</v>
      </c>
      <c r="F248" s="13"/>
      <c r="G248" s="13"/>
      <c r="K248" s="43"/>
      <c r="M248" s="13"/>
      <c r="N248" s="609"/>
      <c r="O248" s="28" t="s">
        <v>1526</v>
      </c>
      <c r="P248" s="202"/>
      <c r="Q248" s="307"/>
      <c r="S248" s="1045"/>
      <c r="T248" s="1045"/>
      <c r="U248" s="1045"/>
      <c r="V248" s="1045"/>
      <c r="W248" s="1045"/>
      <c r="X248" s="1045"/>
      <c r="Y248" s="1045"/>
      <c r="Z248" s="1045"/>
      <c r="AA248" s="1045"/>
      <c r="AB248" s="1045"/>
      <c r="AC248" s="1045"/>
      <c r="AD248" s="1045"/>
      <c r="AE248" s="1045"/>
      <c r="AF248" s="1045"/>
      <c r="AG248" s="1045"/>
      <c r="AH248" s="1045"/>
      <c r="AI248" s="1045"/>
      <c r="AJ248" s="1045"/>
      <c r="AK248" s="1045"/>
      <c r="AL248" s="1045"/>
      <c r="AM248" s="1045"/>
      <c r="AN248" s="1045"/>
      <c r="AO248" s="1045"/>
      <c r="AP248" s="1045"/>
      <c r="AQ248" s="1045"/>
      <c r="AR248" s="1045"/>
    </row>
    <row r="249" spans="1:44" s="77" customFormat="1" ht="12" customHeight="1">
      <c r="A249" s="22"/>
      <c r="B249" s="4137"/>
      <c r="C249" s="4137"/>
      <c r="D249" s="4137"/>
      <c r="E249" s="25" t="s">
        <v>2580</v>
      </c>
      <c r="F249" s="13"/>
      <c r="G249" s="13"/>
      <c r="K249" s="43"/>
      <c r="M249" s="13"/>
      <c r="N249" s="609"/>
      <c r="O249" s="28" t="s">
        <v>1528</v>
      </c>
      <c r="P249" s="202"/>
      <c r="Q249" s="307"/>
      <c r="S249" s="1045"/>
      <c r="T249" s="1045"/>
      <c r="U249" s="1045"/>
      <c r="V249" s="1045"/>
      <c r="W249" s="1045"/>
      <c r="X249" s="1045"/>
      <c r="Y249" s="1045"/>
      <c r="Z249" s="1045"/>
      <c r="AA249" s="1045"/>
      <c r="AB249" s="1045"/>
      <c r="AC249" s="1045"/>
      <c r="AD249" s="1045"/>
      <c r="AE249" s="1045"/>
      <c r="AF249" s="1045"/>
      <c r="AG249" s="1045"/>
      <c r="AH249" s="1045"/>
      <c r="AI249" s="1045"/>
      <c r="AJ249" s="1045"/>
      <c r="AK249" s="1045"/>
      <c r="AL249" s="1045"/>
      <c r="AM249" s="1045"/>
      <c r="AN249" s="1045"/>
      <c r="AO249" s="1045"/>
      <c r="AP249" s="1045"/>
      <c r="AQ249" s="1045"/>
      <c r="AR249" s="1045"/>
    </row>
    <row r="250" spans="1:44" s="77" customFormat="1" ht="23.25" customHeight="1">
      <c r="D250" s="1036"/>
      <c r="E250" s="3998" t="s">
        <v>2581</v>
      </c>
      <c r="F250" s="3998"/>
      <c r="G250" s="3998"/>
      <c r="H250" s="3998"/>
      <c r="I250" s="3998"/>
      <c r="J250" s="3998"/>
      <c r="K250" s="3998"/>
      <c r="L250" s="3998"/>
      <c r="M250" s="3998"/>
      <c r="N250" s="3998"/>
      <c r="O250" s="84" t="s">
        <v>2316</v>
      </c>
      <c r="P250" s="2583"/>
      <c r="Q250" s="2581"/>
      <c r="S250" s="1045"/>
      <c r="T250" s="1045"/>
      <c r="U250" s="1045"/>
      <c r="V250" s="1045"/>
      <c r="W250" s="1045"/>
      <c r="X250" s="1045"/>
      <c r="Y250" s="1045"/>
      <c r="Z250" s="1045"/>
      <c r="AA250" s="1045"/>
      <c r="AB250" s="1045"/>
      <c r="AC250" s="1045"/>
      <c r="AD250" s="1045"/>
      <c r="AE250" s="1045"/>
      <c r="AF250" s="1045"/>
      <c r="AG250" s="1045"/>
      <c r="AH250" s="1045"/>
      <c r="AI250" s="1045"/>
      <c r="AJ250" s="1045"/>
      <c r="AK250" s="1045"/>
      <c r="AL250" s="1045"/>
      <c r="AM250" s="1045"/>
      <c r="AN250" s="1045"/>
      <c r="AO250" s="1045"/>
      <c r="AP250" s="1045"/>
      <c r="AQ250" s="1045"/>
      <c r="AR250" s="1045"/>
    </row>
    <row r="251" spans="1:44" ht="12" customHeight="1">
      <c r="A251" s="77"/>
      <c r="B251" s="74" t="s">
        <v>1450</v>
      </c>
      <c r="C251" s="77"/>
      <c r="D251" s="74"/>
      <c r="E251" s="74"/>
      <c r="F251" s="74"/>
      <c r="G251" s="74"/>
      <c r="H251" s="16"/>
      <c r="I251" s="2584"/>
      <c r="J251" s="2584"/>
      <c r="K251" s="2584"/>
      <c r="L251" s="517"/>
      <c r="M251" s="517"/>
      <c r="N251" s="517"/>
      <c r="O251" s="517"/>
      <c r="P251" s="517"/>
      <c r="Q251" s="517"/>
      <c r="R251" s="77"/>
      <c r="S251" s="1045"/>
      <c r="T251" s="1045"/>
      <c r="U251" s="1045"/>
      <c r="V251" s="1045"/>
      <c r="W251" s="1045"/>
      <c r="X251" s="1045"/>
      <c r="Y251" s="1045"/>
      <c r="Z251" s="1045"/>
      <c r="AA251" s="1045"/>
      <c r="AB251" s="1045"/>
      <c r="AC251" s="1045"/>
      <c r="AD251" s="1045"/>
      <c r="AE251" s="1045"/>
      <c r="AF251" s="1045"/>
      <c r="AG251" s="1045"/>
      <c r="AH251" s="1045"/>
      <c r="AI251" s="1045"/>
      <c r="AJ251" s="1045"/>
      <c r="AK251" s="1045"/>
      <c r="AL251" s="1045"/>
      <c r="AM251" s="1045"/>
      <c r="AN251" s="1045"/>
      <c r="AO251" s="1045"/>
      <c r="AP251" s="1045"/>
      <c r="AQ251" s="1045"/>
      <c r="AR251" s="1045"/>
    </row>
    <row r="252" spans="1:44" ht="12" customHeight="1">
      <c r="A252" s="3995"/>
      <c r="B252" s="3996"/>
      <c r="C252" s="3996"/>
      <c r="D252" s="3996"/>
      <c r="E252" s="3996"/>
      <c r="F252" s="3996"/>
      <c r="G252" s="3996"/>
      <c r="H252" s="3996"/>
      <c r="I252" s="3996"/>
      <c r="J252" s="3996"/>
      <c r="K252" s="3996"/>
      <c r="L252" s="3996"/>
      <c r="M252" s="3996"/>
      <c r="N252" s="3996"/>
      <c r="O252" s="3996"/>
      <c r="P252" s="3996"/>
      <c r="Q252" s="3997"/>
      <c r="R252" s="248" t="s">
        <v>2401</v>
      </c>
      <c r="S252" s="1043"/>
      <c r="T252" s="1045"/>
      <c r="U252" s="1044"/>
      <c r="V252" s="1044"/>
      <c r="W252" s="1044"/>
      <c r="X252" s="1044"/>
      <c r="Y252" s="1044"/>
      <c r="Z252" s="1044"/>
      <c r="AA252" s="1044"/>
      <c r="AB252" s="1044"/>
      <c r="AC252" s="1044"/>
      <c r="AD252" s="1044"/>
      <c r="AE252" s="1044"/>
      <c r="AF252" s="1045"/>
      <c r="AG252" s="1045"/>
      <c r="AH252" s="1045"/>
      <c r="AI252" s="1045"/>
      <c r="AJ252" s="1045"/>
      <c r="AK252" s="1045"/>
      <c r="AL252" s="1045"/>
      <c r="AM252" s="1045"/>
      <c r="AN252" s="1045"/>
      <c r="AO252" s="1045"/>
      <c r="AP252" s="1045"/>
      <c r="AQ252" s="1045"/>
      <c r="AR252" s="1045"/>
    </row>
    <row r="253" spans="1:44" ht="12" customHeight="1">
      <c r="A253" s="77"/>
      <c r="B253" s="70" t="s">
        <v>1447</v>
      </c>
      <c r="C253" s="71"/>
      <c r="D253" s="2574"/>
      <c r="E253" s="2574"/>
      <c r="F253" s="2574"/>
      <c r="G253" s="2574"/>
      <c r="H253" s="2574"/>
      <c r="I253" s="2574"/>
      <c r="J253" s="2574"/>
      <c r="K253" s="2574"/>
      <c r="L253" s="2574"/>
      <c r="M253" s="2574"/>
      <c r="N253" s="2574"/>
      <c r="O253" s="2574"/>
      <c r="P253" s="2574"/>
      <c r="Q253" s="2574"/>
      <c r="R253" s="77"/>
      <c r="S253" s="1045"/>
      <c r="T253" s="1045"/>
      <c r="U253" s="1045"/>
      <c r="V253" s="1045"/>
      <c r="W253" s="1045"/>
      <c r="X253" s="1045"/>
      <c r="Y253" s="1045"/>
      <c r="Z253" s="1045"/>
      <c r="AA253" s="1045"/>
      <c r="AB253" s="1045"/>
      <c r="AC253" s="1045"/>
      <c r="AD253" s="1045"/>
      <c r="AE253" s="1045"/>
      <c r="AF253" s="1045"/>
      <c r="AG253" s="1045"/>
      <c r="AH253" s="1045"/>
      <c r="AI253" s="1045"/>
      <c r="AJ253" s="1045"/>
      <c r="AK253" s="1045"/>
      <c r="AL253" s="1045"/>
      <c r="AM253" s="1045"/>
      <c r="AN253" s="1045"/>
      <c r="AO253" s="1045"/>
      <c r="AP253" s="1045"/>
      <c r="AQ253" s="1045"/>
      <c r="AR253" s="1045"/>
    </row>
    <row r="254" spans="1:44" ht="12" customHeight="1">
      <c r="A254" s="3999"/>
      <c r="B254" s="4000"/>
      <c r="C254" s="4000"/>
      <c r="D254" s="4000"/>
      <c r="E254" s="4000"/>
      <c r="F254" s="4000"/>
      <c r="G254" s="4000"/>
      <c r="H254" s="4000"/>
      <c r="I254" s="4000"/>
      <c r="J254" s="4000"/>
      <c r="K254" s="4000"/>
      <c r="L254" s="4000"/>
      <c r="M254" s="4000"/>
      <c r="N254" s="4000"/>
      <c r="O254" s="4000"/>
      <c r="P254" s="4000"/>
      <c r="Q254" s="4001"/>
      <c r="R254" s="77"/>
      <c r="S254" s="1045"/>
      <c r="T254" s="1045"/>
      <c r="U254" s="1045"/>
      <c r="V254" s="1045"/>
      <c r="W254" s="1045"/>
      <c r="X254" s="1045"/>
      <c r="Y254" s="1045"/>
      <c r="Z254" s="1045"/>
      <c r="AA254" s="1045"/>
      <c r="AB254" s="1045"/>
      <c r="AC254" s="1045"/>
      <c r="AD254" s="1045"/>
      <c r="AE254" s="1045"/>
      <c r="AF254" s="1045"/>
      <c r="AG254" s="1045"/>
      <c r="AH254" s="1045"/>
      <c r="AI254" s="1045"/>
      <c r="AJ254" s="1045"/>
      <c r="AK254" s="1045"/>
      <c r="AL254" s="1045"/>
      <c r="AM254" s="1045"/>
      <c r="AN254" s="1045"/>
      <c r="AO254" s="1045"/>
      <c r="AP254" s="1045"/>
      <c r="AQ254" s="1045"/>
      <c r="AR254" s="1045"/>
    </row>
    <row r="255" spans="1:44" ht="3" customHeight="1">
      <c r="A255" s="517"/>
      <c r="B255" s="2584"/>
      <c r="C255" s="2574"/>
      <c r="D255" s="2574"/>
      <c r="E255" s="2574"/>
      <c r="F255" s="2574"/>
      <c r="G255" s="2574"/>
      <c r="H255" s="2574"/>
      <c r="I255" s="2574"/>
      <c r="J255" s="2574"/>
      <c r="K255" s="2574"/>
      <c r="L255" s="2574"/>
      <c r="M255" s="2574"/>
      <c r="N255" s="77"/>
      <c r="O255" s="77"/>
      <c r="P255" s="77"/>
      <c r="Q255" s="517"/>
      <c r="R255" s="77"/>
      <c r="S255" s="1045"/>
      <c r="T255" s="1045"/>
      <c r="U255" s="1045"/>
      <c r="V255" s="1045"/>
      <c r="W255" s="1045"/>
      <c r="X255" s="1045"/>
      <c r="Y255" s="1045"/>
      <c r="Z255" s="1045"/>
      <c r="AA255" s="1045"/>
      <c r="AB255" s="1045"/>
      <c r="AC255" s="1045"/>
      <c r="AD255" s="1045"/>
      <c r="AE255" s="1045"/>
      <c r="AF255" s="1045"/>
      <c r="AG255" s="1045"/>
      <c r="AH255" s="1045"/>
      <c r="AI255" s="1045"/>
      <c r="AJ255" s="1045"/>
      <c r="AK255" s="1045"/>
      <c r="AL255" s="1045"/>
      <c r="AM255" s="1045"/>
      <c r="AN255" s="1045"/>
      <c r="AO255" s="1045"/>
      <c r="AP255" s="1045"/>
      <c r="AQ255" s="1045"/>
      <c r="AR255" s="1045"/>
    </row>
    <row r="256" spans="1:44" ht="14.1" customHeight="1">
      <c r="A256" s="2536" t="s">
        <v>1547</v>
      </c>
      <c r="B256" s="3" t="s">
        <v>1537</v>
      </c>
      <c r="C256" s="3"/>
      <c r="D256" s="38"/>
      <c r="E256" s="38"/>
      <c r="F256" s="38"/>
      <c r="G256" s="38"/>
      <c r="H256" s="2574"/>
      <c r="I256" s="2574"/>
      <c r="J256" s="2574"/>
      <c r="K256" s="2574"/>
      <c r="L256" s="2574"/>
      <c r="M256" s="2574"/>
      <c r="N256" s="77"/>
      <c r="O256" s="66" t="s">
        <v>1444</v>
      </c>
      <c r="P256" s="4014"/>
      <c r="Q256" s="4003"/>
      <c r="R256" s="77"/>
      <c r="S256" s="1045"/>
      <c r="T256" s="1045"/>
      <c r="U256" s="1045"/>
      <c r="V256" s="1045"/>
      <c r="W256" s="1045"/>
      <c r="X256" s="1045"/>
      <c r="Y256" s="1045"/>
      <c r="Z256" s="1045"/>
      <c r="AA256" s="1045"/>
      <c r="AB256" s="1045"/>
      <c r="AC256" s="1045"/>
      <c r="AD256" s="1045"/>
      <c r="AE256" s="1045"/>
      <c r="AF256" s="1045"/>
      <c r="AG256" s="1045"/>
      <c r="AH256" s="1045"/>
      <c r="AI256" s="1045"/>
      <c r="AJ256" s="1045"/>
      <c r="AK256" s="1045"/>
      <c r="AL256" s="1045"/>
      <c r="AM256" s="1045"/>
      <c r="AN256" s="1045"/>
      <c r="AO256" s="1045"/>
      <c r="AP256" s="1045"/>
      <c r="AQ256" s="1045"/>
      <c r="AR256" s="1045"/>
    </row>
    <row r="257" spans="1:44" s="229" customFormat="1" ht="21.75" customHeight="1">
      <c r="A257" s="75" t="s">
        <v>197</v>
      </c>
      <c r="B257" s="2574" t="s">
        <v>1521</v>
      </c>
      <c r="C257" s="3998" t="s">
        <v>2582</v>
      </c>
      <c r="D257" s="3998"/>
      <c r="E257" s="3998"/>
      <c r="F257" s="3998"/>
      <c r="G257" s="3998"/>
      <c r="H257" s="3998"/>
      <c r="I257" s="3998"/>
      <c r="J257" s="3998"/>
      <c r="K257" s="3998"/>
      <c r="L257" s="3998"/>
      <c r="M257" s="3998"/>
      <c r="N257" s="3998"/>
      <c r="O257" s="1036" t="s">
        <v>2532</v>
      </c>
      <c r="P257" s="1374"/>
      <c r="Q257" s="1375"/>
      <c r="S257" s="1046"/>
      <c r="T257" s="1046"/>
      <c r="U257" s="1046"/>
      <c r="V257" s="1046"/>
      <c r="W257" s="1046"/>
      <c r="X257" s="1046"/>
      <c r="Y257" s="1046"/>
      <c r="Z257" s="1046"/>
      <c r="AA257" s="1046"/>
      <c r="AB257" s="1046"/>
      <c r="AC257" s="1046"/>
      <c r="AD257" s="1046"/>
      <c r="AE257" s="1046"/>
      <c r="AF257" s="1046"/>
      <c r="AG257" s="1046"/>
      <c r="AH257" s="1046"/>
      <c r="AI257" s="1046"/>
      <c r="AJ257" s="1046"/>
      <c r="AK257" s="1046"/>
      <c r="AL257" s="1046"/>
      <c r="AM257" s="1046"/>
      <c r="AN257" s="1046"/>
      <c r="AO257" s="1046"/>
      <c r="AP257" s="1046"/>
      <c r="AQ257" s="1046"/>
      <c r="AR257" s="1046"/>
    </row>
    <row r="258" spans="1:44" s="77" customFormat="1" ht="11.65" customHeight="1">
      <c r="A258" s="22"/>
      <c r="B258" s="2574" t="s">
        <v>1524</v>
      </c>
      <c r="C258" s="13" t="s">
        <v>2583</v>
      </c>
      <c r="D258" s="13"/>
      <c r="E258" s="13"/>
      <c r="F258" s="13"/>
      <c r="G258" s="13"/>
      <c r="H258" s="13"/>
      <c r="I258" s="13"/>
      <c r="J258" s="13"/>
      <c r="K258" s="13"/>
      <c r="L258" s="13"/>
      <c r="M258" s="13"/>
      <c r="O258" s="1036" t="s">
        <v>1524</v>
      </c>
      <c r="P258" s="118"/>
      <c r="Q258" s="308"/>
      <c r="S258" s="1045"/>
      <c r="T258" s="1045"/>
      <c r="U258" s="1045"/>
      <c r="V258" s="1045"/>
      <c r="W258" s="1045"/>
      <c r="X258" s="1045"/>
      <c r="Y258" s="1045"/>
      <c r="Z258" s="1045"/>
      <c r="AA258" s="1045"/>
      <c r="AB258" s="1045"/>
      <c r="AC258" s="1045"/>
      <c r="AD258" s="1045"/>
      <c r="AE258" s="1045"/>
      <c r="AF258" s="1045"/>
      <c r="AG258" s="1045"/>
      <c r="AH258" s="1045"/>
      <c r="AI258" s="1045"/>
      <c r="AJ258" s="1045"/>
      <c r="AK258" s="1045"/>
      <c r="AL258" s="1045"/>
      <c r="AM258" s="1045"/>
      <c r="AN258" s="1045"/>
      <c r="AO258" s="1045"/>
      <c r="AP258" s="1045"/>
      <c r="AQ258" s="1045"/>
      <c r="AR258" s="1045"/>
    </row>
    <row r="259" spans="1:44" s="77" customFormat="1" ht="11.65" customHeight="1">
      <c r="A259" s="22" t="s">
        <v>209</v>
      </c>
      <c r="B259" s="13" t="s">
        <v>2584</v>
      </c>
      <c r="D259" s="13"/>
      <c r="E259" s="13"/>
      <c r="F259" s="13"/>
      <c r="G259" s="13"/>
      <c r="H259" s="13"/>
      <c r="I259" s="13"/>
      <c r="J259" s="13"/>
      <c r="K259" s="13"/>
      <c r="L259" s="13"/>
      <c r="M259" s="13"/>
      <c r="O259" s="28" t="s">
        <v>209</v>
      </c>
      <c r="P259" s="118"/>
      <c r="Q259" s="308"/>
      <c r="S259" s="1045"/>
      <c r="T259" s="1045"/>
      <c r="U259" s="1045"/>
      <c r="V259" s="1045"/>
      <c r="W259" s="1045"/>
      <c r="X259" s="1045"/>
      <c r="Y259" s="1045"/>
      <c r="Z259" s="1045"/>
      <c r="AA259" s="1045"/>
      <c r="AB259" s="1045"/>
      <c r="AC259" s="1045"/>
      <c r="AD259" s="1045"/>
      <c r="AE259" s="1045"/>
      <c r="AF259" s="1045"/>
      <c r="AG259" s="1045"/>
      <c r="AH259" s="1045"/>
      <c r="AI259" s="1045"/>
      <c r="AJ259" s="1045"/>
      <c r="AK259" s="1045"/>
      <c r="AL259" s="1045"/>
      <c r="AM259" s="1045"/>
      <c r="AN259" s="1045"/>
      <c r="AO259" s="1045"/>
      <c r="AP259" s="1045"/>
      <c r="AQ259" s="1045"/>
      <c r="AR259" s="1045"/>
    </row>
    <row r="260" spans="1:44" s="229" customFormat="1" ht="23.25" customHeight="1">
      <c r="A260" s="75" t="s">
        <v>230</v>
      </c>
      <c r="B260" s="2574" t="s">
        <v>1521</v>
      </c>
      <c r="C260" s="3998" t="s">
        <v>2585</v>
      </c>
      <c r="D260" s="3998"/>
      <c r="E260" s="3998"/>
      <c r="F260" s="3998"/>
      <c r="G260" s="3998"/>
      <c r="H260" s="3998"/>
      <c r="I260" s="3998"/>
      <c r="J260" s="3998"/>
      <c r="K260" s="3998"/>
      <c r="L260" s="3998"/>
      <c r="M260" s="3998"/>
      <c r="N260" s="3998"/>
      <c r="O260" s="1036" t="s">
        <v>2586</v>
      </c>
      <c r="P260" s="1374"/>
      <c r="Q260" s="1375"/>
      <c r="S260" s="1046"/>
      <c r="T260" s="1046"/>
      <c r="U260" s="1046"/>
      <c r="V260" s="1046"/>
      <c r="W260" s="1046"/>
      <c r="X260" s="1046"/>
      <c r="Y260" s="1046"/>
      <c r="Z260" s="1046"/>
      <c r="AA260" s="1046"/>
      <c r="AB260" s="1046"/>
      <c r="AC260" s="1046"/>
      <c r="AD260" s="1046"/>
      <c r="AE260" s="1046"/>
      <c r="AF260" s="1046"/>
      <c r="AG260" s="1046"/>
      <c r="AH260" s="1046"/>
      <c r="AI260" s="1046"/>
      <c r="AJ260" s="1046"/>
      <c r="AK260" s="1046"/>
      <c r="AL260" s="1046"/>
      <c r="AM260" s="1046"/>
      <c r="AN260" s="1046"/>
      <c r="AO260" s="1046"/>
      <c r="AP260" s="1046"/>
      <c r="AQ260" s="1046"/>
      <c r="AR260" s="1046"/>
    </row>
    <row r="261" spans="1:44" s="77" customFormat="1" ht="11.65" customHeight="1">
      <c r="A261" s="22"/>
      <c r="B261" s="2574" t="s">
        <v>1524</v>
      </c>
      <c r="C261" s="13" t="s">
        <v>2587</v>
      </c>
      <c r="D261" s="13"/>
      <c r="E261" s="13"/>
      <c r="F261" s="13"/>
      <c r="G261" s="13"/>
      <c r="H261" s="13"/>
      <c r="I261" s="13"/>
      <c r="J261" s="13"/>
      <c r="K261" s="13"/>
      <c r="L261" s="13"/>
      <c r="M261" s="13"/>
      <c r="O261" s="1036" t="s">
        <v>1524</v>
      </c>
      <c r="P261" s="118"/>
      <c r="Q261" s="308"/>
      <c r="S261" s="1045"/>
      <c r="T261" s="1045"/>
      <c r="U261" s="1045"/>
      <c r="V261" s="1045"/>
      <c r="W261" s="1045"/>
      <c r="X261" s="1045"/>
      <c r="Y261" s="1045"/>
      <c r="Z261" s="1045"/>
      <c r="AA261" s="1045"/>
      <c r="AB261" s="1045"/>
      <c r="AC261" s="1045"/>
      <c r="AD261" s="1045"/>
      <c r="AE261" s="1045"/>
      <c r="AF261" s="1045"/>
      <c r="AG261" s="1045"/>
      <c r="AH261" s="1045"/>
      <c r="AI261" s="1045"/>
      <c r="AJ261" s="1045"/>
      <c r="AK261" s="1045"/>
      <c r="AL261" s="1045"/>
      <c r="AM261" s="1045"/>
      <c r="AN261" s="1045"/>
      <c r="AO261" s="1045"/>
      <c r="AP261" s="1045"/>
      <c r="AQ261" s="1045"/>
      <c r="AR261" s="1045"/>
    </row>
    <row r="262" spans="1:44" s="77" customFormat="1" ht="22.5" customHeight="1">
      <c r="A262" s="75" t="s">
        <v>232</v>
      </c>
      <c r="B262" s="3998" t="s">
        <v>2588</v>
      </c>
      <c r="C262" s="3998"/>
      <c r="D262" s="3998"/>
      <c r="E262" s="3998"/>
      <c r="F262" s="3998"/>
      <c r="G262" s="3998"/>
      <c r="H262" s="3998"/>
      <c r="I262" s="3998"/>
      <c r="J262" s="3998"/>
      <c r="K262" s="3998"/>
      <c r="L262" s="3998"/>
      <c r="M262" s="3998"/>
      <c r="N262" s="3998"/>
      <c r="O262" s="84" t="s">
        <v>232</v>
      </c>
      <c r="P262" s="2583"/>
      <c r="Q262" s="2581"/>
      <c r="S262" s="1045"/>
      <c r="T262" s="1045"/>
      <c r="U262" s="1045"/>
      <c r="V262" s="1045"/>
      <c r="W262" s="1045"/>
      <c r="X262" s="1045"/>
      <c r="Y262" s="1045"/>
      <c r="Z262" s="1045"/>
      <c r="AA262" s="1045"/>
      <c r="AB262" s="1045"/>
      <c r="AC262" s="1045"/>
      <c r="AD262" s="1045"/>
      <c r="AE262" s="1045"/>
      <c r="AF262" s="1045"/>
      <c r="AG262" s="1045"/>
      <c r="AH262" s="1045"/>
      <c r="AI262" s="1045"/>
      <c r="AJ262" s="1045"/>
      <c r="AK262" s="1045"/>
      <c r="AL262" s="1045"/>
      <c r="AM262" s="1045"/>
      <c r="AN262" s="1045"/>
      <c r="AO262" s="1045"/>
      <c r="AP262" s="1045"/>
      <c r="AQ262" s="1045"/>
      <c r="AR262" s="1045"/>
    </row>
    <row r="263" spans="1:44" ht="11.25" customHeight="1">
      <c r="A263" s="77"/>
      <c r="B263" s="74" t="s">
        <v>1450</v>
      </c>
      <c r="C263" s="77"/>
      <c r="D263" s="74"/>
      <c r="E263" s="74"/>
      <c r="F263" s="74"/>
      <c r="G263" s="74"/>
      <c r="H263" s="16"/>
      <c r="I263" s="2584"/>
      <c r="J263" s="2584"/>
      <c r="K263" s="2584"/>
      <c r="L263" s="517"/>
      <c r="M263" s="517"/>
      <c r="N263" s="517"/>
      <c r="O263" s="517"/>
      <c r="P263" s="517"/>
      <c r="Q263" s="517"/>
      <c r="R263" s="77"/>
      <c r="S263" s="1045"/>
      <c r="T263" s="1045"/>
      <c r="U263" s="1045"/>
      <c r="V263" s="1045"/>
      <c r="W263" s="1045"/>
      <c r="X263" s="1045"/>
      <c r="Y263" s="1045"/>
      <c r="Z263" s="1045"/>
      <c r="AA263" s="1045"/>
      <c r="AB263" s="1045"/>
      <c r="AC263" s="1045"/>
      <c r="AD263" s="1045"/>
      <c r="AE263" s="1045"/>
      <c r="AF263" s="1045"/>
      <c r="AG263" s="1045"/>
      <c r="AH263" s="1045"/>
      <c r="AI263" s="1045"/>
      <c r="AJ263" s="1045"/>
      <c r="AK263" s="1045"/>
      <c r="AL263" s="1045"/>
      <c r="AM263" s="1045"/>
      <c r="AN263" s="1045"/>
      <c r="AO263" s="1045"/>
      <c r="AP263" s="1045"/>
      <c r="AQ263" s="1045"/>
      <c r="AR263" s="1045"/>
    </row>
    <row r="264" spans="1:44" ht="13.35" customHeight="1">
      <c r="A264" s="3995"/>
      <c r="B264" s="3996"/>
      <c r="C264" s="3996"/>
      <c r="D264" s="3996"/>
      <c r="E264" s="3996"/>
      <c r="F264" s="3996"/>
      <c r="G264" s="3996"/>
      <c r="H264" s="3996"/>
      <c r="I264" s="3996"/>
      <c r="J264" s="3996"/>
      <c r="K264" s="3996"/>
      <c r="L264" s="3996"/>
      <c r="M264" s="3996"/>
      <c r="N264" s="3996"/>
      <c r="O264" s="3996"/>
      <c r="P264" s="3996"/>
      <c r="Q264" s="3997"/>
      <c r="R264" s="248" t="s">
        <v>2401</v>
      </c>
      <c r="S264" s="1043"/>
      <c r="T264" s="1045"/>
      <c r="U264" s="1044"/>
      <c r="V264" s="1044"/>
      <c r="W264" s="1044"/>
      <c r="X264" s="1044"/>
      <c r="Y264" s="1044"/>
      <c r="Z264" s="1044"/>
      <c r="AA264" s="1044"/>
      <c r="AB264" s="1044"/>
      <c r="AC264" s="1044"/>
      <c r="AD264" s="1044"/>
      <c r="AE264" s="1044"/>
      <c r="AF264" s="1045"/>
      <c r="AG264" s="1045"/>
      <c r="AH264" s="1045"/>
      <c r="AI264" s="1045"/>
      <c r="AJ264" s="1045"/>
      <c r="AK264" s="1045"/>
      <c r="AL264" s="1045"/>
      <c r="AM264" s="1045"/>
      <c r="AN264" s="1045"/>
      <c r="AO264" s="1045"/>
      <c r="AP264" s="1045"/>
      <c r="AQ264" s="1045"/>
      <c r="AR264" s="1045"/>
    </row>
    <row r="265" spans="1:44" ht="11.25" customHeight="1">
      <c r="A265" s="77"/>
      <c r="B265" s="70" t="s">
        <v>1447</v>
      </c>
      <c r="C265" s="71"/>
      <c r="D265" s="2574"/>
      <c r="E265" s="2574"/>
      <c r="F265" s="2574"/>
      <c r="G265" s="2574"/>
      <c r="H265" s="2574"/>
      <c r="I265" s="2574"/>
      <c r="J265" s="2574"/>
      <c r="K265" s="2574"/>
      <c r="L265" s="2574"/>
      <c r="M265" s="2574"/>
      <c r="N265" s="2574"/>
      <c r="O265" s="2574"/>
      <c r="P265" s="2574"/>
      <c r="Q265" s="2574"/>
      <c r="R265" s="77"/>
      <c r="S265" s="1045"/>
      <c r="T265" s="1045"/>
      <c r="U265" s="1045"/>
      <c r="V265" s="1045"/>
      <c r="W265" s="1045"/>
      <c r="X265" s="1045"/>
      <c r="Y265" s="1045"/>
      <c r="Z265" s="1045"/>
      <c r="AA265" s="1045"/>
      <c r="AB265" s="1045"/>
      <c r="AC265" s="1045"/>
      <c r="AD265" s="1045"/>
      <c r="AE265" s="1045"/>
      <c r="AF265" s="1045"/>
      <c r="AG265" s="1045"/>
      <c r="AH265" s="1045"/>
      <c r="AI265" s="1045"/>
      <c r="AJ265" s="1045"/>
      <c r="AK265" s="1045"/>
      <c r="AL265" s="1045"/>
      <c r="AM265" s="1045"/>
      <c r="AN265" s="1045"/>
      <c r="AO265" s="1045"/>
      <c r="AP265" s="1045"/>
      <c r="AQ265" s="1045"/>
      <c r="AR265" s="1045"/>
    </row>
    <row r="266" spans="1:44" ht="13.35" customHeight="1">
      <c r="A266" s="3999"/>
      <c r="B266" s="4000"/>
      <c r="C266" s="4000"/>
      <c r="D266" s="4000"/>
      <c r="E266" s="4000"/>
      <c r="F266" s="4000"/>
      <c r="G266" s="4000"/>
      <c r="H266" s="4000"/>
      <c r="I266" s="4000"/>
      <c r="J266" s="4000"/>
      <c r="K266" s="4000"/>
      <c r="L266" s="4000"/>
      <c r="M266" s="4000"/>
      <c r="N266" s="4000"/>
      <c r="O266" s="4000"/>
      <c r="P266" s="4000"/>
      <c r="Q266" s="4001"/>
      <c r="R266" s="77"/>
      <c r="S266" s="1045"/>
      <c r="T266" s="1045"/>
      <c r="U266" s="1045"/>
      <c r="V266" s="1045"/>
      <c r="W266" s="1045"/>
      <c r="X266" s="1045"/>
      <c r="Y266" s="1045"/>
      <c r="Z266" s="1045"/>
      <c r="AA266" s="1045"/>
      <c r="AB266" s="1045"/>
      <c r="AC266" s="1045"/>
      <c r="AD266" s="1045"/>
      <c r="AE266" s="1045"/>
      <c r="AF266" s="1045"/>
      <c r="AG266" s="1045"/>
      <c r="AH266" s="1045"/>
      <c r="AI266" s="1045"/>
      <c r="AJ266" s="1045"/>
      <c r="AK266" s="1045"/>
      <c r="AL266" s="1045"/>
      <c r="AM266" s="1045"/>
      <c r="AN266" s="1045"/>
      <c r="AO266" s="1045"/>
      <c r="AP266" s="1045"/>
      <c r="AQ266" s="1045"/>
      <c r="AR266" s="1045"/>
    </row>
    <row r="267" spans="1:44" ht="3" customHeight="1">
      <c r="A267" s="77"/>
      <c r="B267" s="77"/>
      <c r="C267" s="77"/>
      <c r="D267" s="77"/>
      <c r="E267" s="77"/>
      <c r="F267" s="77"/>
      <c r="G267" s="77"/>
      <c r="H267" s="77"/>
      <c r="I267" s="77"/>
      <c r="J267" s="77"/>
      <c r="K267" s="77"/>
      <c r="L267" s="77"/>
      <c r="M267" s="77"/>
      <c r="N267" s="77"/>
      <c r="O267" s="77"/>
      <c r="P267" s="77"/>
      <c r="Q267" s="77"/>
      <c r="R267" s="77"/>
      <c r="S267" s="1045"/>
      <c r="T267" s="1045"/>
      <c r="U267" s="1045"/>
      <c r="V267" s="1045"/>
      <c r="W267" s="1045"/>
      <c r="X267" s="1045"/>
      <c r="Y267" s="1045"/>
      <c r="Z267" s="1045"/>
      <c r="AA267" s="1045"/>
      <c r="AB267" s="1045"/>
      <c r="AC267" s="1045"/>
      <c r="AD267" s="1045"/>
      <c r="AE267" s="1045"/>
      <c r="AF267" s="1045"/>
      <c r="AG267" s="1045"/>
      <c r="AH267" s="1045"/>
      <c r="AI267" s="1045"/>
      <c r="AJ267" s="1045"/>
      <c r="AK267" s="1045"/>
      <c r="AL267" s="1045"/>
      <c r="AM267" s="1045"/>
      <c r="AN267" s="1045"/>
      <c r="AO267" s="1045"/>
      <c r="AP267" s="1045"/>
      <c r="AQ267" s="1045"/>
      <c r="AR267" s="1045"/>
    </row>
    <row r="268" spans="1:44" ht="14.1" customHeight="1">
      <c r="A268" s="2536" t="s">
        <v>1568</v>
      </c>
      <c r="B268" s="2536" t="s">
        <v>1540</v>
      </c>
      <c r="C268" s="2536"/>
      <c r="D268" s="2574"/>
      <c r="E268" s="2574"/>
      <c r="F268" s="2574"/>
      <c r="G268" s="2574"/>
      <c r="H268" s="2574"/>
      <c r="I268" s="2574"/>
      <c r="J268" s="2574"/>
      <c r="K268" s="2574"/>
      <c r="L268" s="2574"/>
      <c r="M268" s="2574"/>
      <c r="N268" s="77"/>
      <c r="O268" s="66" t="s">
        <v>1444</v>
      </c>
      <c r="P268" s="4014"/>
      <c r="Q268" s="4003"/>
      <c r="R268" s="77"/>
      <c r="S268" s="1045"/>
      <c r="T268" s="1045"/>
      <c r="U268" s="1045"/>
      <c r="V268" s="1045"/>
      <c r="W268" s="1045"/>
      <c r="X268" s="1045"/>
      <c r="Y268" s="1045"/>
      <c r="Z268" s="1045"/>
      <c r="AA268" s="1045"/>
      <c r="AB268" s="1045"/>
      <c r="AC268" s="1045"/>
      <c r="AD268" s="1045"/>
      <c r="AE268" s="1045"/>
      <c r="AF268" s="1045"/>
      <c r="AG268" s="1045"/>
      <c r="AH268" s="1045"/>
      <c r="AI268" s="1045"/>
      <c r="AJ268" s="1045"/>
      <c r="AK268" s="1045"/>
      <c r="AL268" s="1045"/>
      <c r="AM268" s="1045"/>
      <c r="AN268" s="1045"/>
      <c r="AO268" s="1045"/>
      <c r="AP268" s="1045"/>
      <c r="AQ268" s="1045"/>
      <c r="AR268" s="1045"/>
    </row>
    <row r="269" spans="1:44" customFormat="1" ht="11.65" customHeight="1">
      <c r="B269" s="25" t="s">
        <v>2569</v>
      </c>
      <c r="N269" s="58"/>
      <c r="P269" s="267"/>
      <c r="Q269" s="306"/>
      <c r="S269" s="1041"/>
      <c r="T269" s="1041"/>
      <c r="U269" s="1041"/>
      <c r="V269" s="1041"/>
      <c r="W269" s="1041"/>
      <c r="X269" s="1041"/>
      <c r="Y269" s="1041"/>
      <c r="Z269" s="1041"/>
      <c r="AA269" s="1041"/>
      <c r="AB269" s="1041"/>
      <c r="AC269" s="1041"/>
      <c r="AD269" s="1041"/>
      <c r="AE269" s="1041"/>
      <c r="AF269" s="1041"/>
      <c r="AG269" s="1041"/>
      <c r="AH269" s="1041"/>
      <c r="AI269" s="1041"/>
      <c r="AJ269" s="1041"/>
      <c r="AK269" s="1041"/>
      <c r="AL269" s="1041"/>
      <c r="AM269" s="1041"/>
      <c r="AN269" s="1041"/>
      <c r="AO269" s="1041"/>
      <c r="AP269" s="1041"/>
      <c r="AQ269" s="1041"/>
      <c r="AR269" s="1041"/>
    </row>
    <row r="270" spans="1:44" s="11" customFormat="1" ht="11.65" customHeight="1">
      <c r="A270" s="22" t="s">
        <v>197</v>
      </c>
      <c r="B270" s="92" t="s">
        <v>1541</v>
      </c>
      <c r="C270" s="43"/>
      <c r="D270" s="43"/>
      <c r="E270" s="43"/>
      <c r="F270" s="43"/>
      <c r="H270" s="43"/>
      <c r="I270" s="43"/>
      <c r="O270" s="84" t="s">
        <v>197</v>
      </c>
      <c r="R270" s="890"/>
      <c r="S270" s="1180"/>
      <c r="T270" s="1180"/>
      <c r="U270" s="1180"/>
      <c r="V270" s="1180"/>
      <c r="W270" s="1180"/>
      <c r="X270" s="1180"/>
      <c r="Y270" s="1180"/>
      <c r="Z270" s="1180"/>
      <c r="AA270" s="1180"/>
      <c r="AB270" s="1180"/>
      <c r="AC270" s="1180"/>
      <c r="AD270" s="1180"/>
      <c r="AE270" s="1180"/>
      <c r="AF270" s="1180"/>
      <c r="AG270" s="1180"/>
      <c r="AH270" s="1180"/>
      <c r="AI270" s="1180"/>
      <c r="AJ270" s="1180"/>
      <c r="AK270" s="1180"/>
      <c r="AL270" s="1180"/>
      <c r="AM270" s="1180"/>
      <c r="AN270" s="1180"/>
      <c r="AO270" s="1180"/>
      <c r="AP270" s="1180"/>
      <c r="AQ270" s="1180"/>
      <c r="AR270" s="1180"/>
    </row>
    <row r="271" spans="1:44" s="229" customFormat="1" ht="33" customHeight="1">
      <c r="B271" s="337" t="s">
        <v>1521</v>
      </c>
      <c r="C271" s="3998" t="s">
        <v>2589</v>
      </c>
      <c r="D271" s="3998"/>
      <c r="E271" s="3998"/>
      <c r="F271" s="3998"/>
      <c r="G271" s="3998"/>
      <c r="H271" s="3998"/>
      <c r="I271" s="3998"/>
      <c r="J271" s="3998"/>
      <c r="K271" s="3998"/>
      <c r="L271" s="3998"/>
      <c r="M271" s="3998"/>
      <c r="N271" s="3998"/>
      <c r="O271" s="1036" t="s">
        <v>1521</v>
      </c>
      <c r="P271" s="1374"/>
      <c r="Q271" s="1375"/>
      <c r="S271" s="1046"/>
      <c r="T271" s="1046"/>
      <c r="U271" s="1046"/>
      <c r="V271" s="1046"/>
      <c r="W271" s="1046"/>
      <c r="X271" s="1046"/>
      <c r="Y271" s="1046"/>
      <c r="Z271" s="1046"/>
      <c r="AA271" s="1046"/>
      <c r="AB271" s="1046"/>
      <c r="AC271" s="1046"/>
      <c r="AD271" s="1046"/>
      <c r="AE271" s="1046"/>
      <c r="AF271" s="1046"/>
      <c r="AG271" s="1046"/>
      <c r="AH271" s="1046"/>
      <c r="AI271" s="1046"/>
      <c r="AJ271" s="1046"/>
      <c r="AK271" s="1046"/>
      <c r="AL271" s="1046"/>
      <c r="AM271" s="1046"/>
      <c r="AN271" s="1046"/>
      <c r="AO271" s="1046"/>
      <c r="AP271" s="1046"/>
      <c r="AQ271" s="1046"/>
      <c r="AR271" s="1046"/>
    </row>
    <row r="272" spans="1:44" s="229" customFormat="1" ht="21.75" customHeight="1">
      <c r="A272" s="75"/>
      <c r="B272" s="337" t="s">
        <v>1524</v>
      </c>
      <c r="C272" s="3998" t="s">
        <v>2590</v>
      </c>
      <c r="D272" s="3998"/>
      <c r="E272" s="3998"/>
      <c r="F272" s="3998"/>
      <c r="G272" s="3998"/>
      <c r="H272" s="3998"/>
      <c r="I272" s="3998"/>
      <c r="J272" s="3998"/>
      <c r="K272" s="3998"/>
      <c r="L272" s="3998"/>
      <c r="M272" s="3998"/>
      <c r="N272" s="3998"/>
      <c r="O272" s="1036" t="s">
        <v>1524</v>
      </c>
      <c r="P272" s="2583"/>
      <c r="Q272" s="2581"/>
      <c r="S272" s="1046"/>
      <c r="T272" s="1046"/>
      <c r="U272" s="1046"/>
      <c r="V272" s="1046"/>
      <c r="W272" s="1046"/>
      <c r="X272" s="1046"/>
      <c r="Y272" s="1046"/>
      <c r="Z272" s="1046"/>
      <c r="AA272" s="1046"/>
      <c r="AB272" s="1046"/>
      <c r="AC272" s="1046"/>
      <c r="AD272" s="1046"/>
      <c r="AE272" s="1046"/>
      <c r="AF272" s="1046"/>
      <c r="AG272" s="1046"/>
      <c r="AH272" s="1046"/>
      <c r="AI272" s="1046"/>
      <c r="AJ272" s="1046"/>
      <c r="AK272" s="1046"/>
      <c r="AL272" s="1046"/>
      <c r="AM272" s="1046"/>
      <c r="AN272" s="1046"/>
      <c r="AO272" s="1046"/>
      <c r="AP272" s="1046"/>
      <c r="AQ272" s="1046"/>
      <c r="AR272" s="1046"/>
    </row>
    <row r="273" spans="1:44" customFormat="1" ht="12.75" customHeight="1">
      <c r="A273" s="72" t="s">
        <v>209</v>
      </c>
      <c r="B273" s="92" t="s">
        <v>1544</v>
      </c>
      <c r="C273" s="77"/>
      <c r="D273" s="43"/>
      <c r="E273" s="43"/>
      <c r="F273" s="77"/>
      <c r="K273" s="28" t="s">
        <v>209</v>
      </c>
      <c r="L273" s="4138" t="s">
        <v>1735</v>
      </c>
      <c r="M273" s="4139"/>
      <c r="N273" s="4139"/>
      <c r="O273" s="4139"/>
      <c r="P273" s="4140"/>
      <c r="Q273" s="675"/>
      <c r="X273" s="1041"/>
      <c r="Y273" s="1041"/>
      <c r="Z273" s="1041"/>
      <c r="AA273" s="1041"/>
      <c r="AB273" s="1041"/>
      <c r="AC273" s="1041"/>
      <c r="AD273" s="1041"/>
      <c r="AE273" s="1041"/>
      <c r="AF273" s="1041"/>
      <c r="AG273" s="1041"/>
      <c r="AH273" s="1041"/>
      <c r="AI273" s="1041"/>
      <c r="AJ273" s="1041"/>
      <c r="AK273" s="1041"/>
      <c r="AL273" s="1041"/>
      <c r="AM273" s="1041"/>
      <c r="AN273" s="1041"/>
      <c r="AO273" s="1041"/>
      <c r="AP273" s="1041"/>
      <c r="AQ273" s="1041"/>
      <c r="AR273" s="1041"/>
    </row>
    <row r="274" spans="1:44" s="11" customFormat="1" ht="11.65" customHeight="1">
      <c r="A274" s="72" t="s">
        <v>230</v>
      </c>
      <c r="B274" s="92" t="s">
        <v>2591</v>
      </c>
      <c r="C274" s="43"/>
      <c r="D274" s="43"/>
      <c r="E274" s="43"/>
      <c r="F274" s="43"/>
      <c r="H274" s="43"/>
      <c r="I274" s="43"/>
      <c r="R274" s="890"/>
      <c r="S274" s="1180"/>
      <c r="T274" s="1180"/>
      <c r="U274" s="1180"/>
      <c r="V274" s="1180"/>
      <c r="W274" s="1180"/>
      <c r="X274" s="1180"/>
      <c r="Y274" s="1180"/>
      <c r="Z274" s="1180"/>
      <c r="AA274" s="1180"/>
      <c r="AB274" s="1180"/>
      <c r="AC274" s="1180"/>
      <c r="AD274" s="1180"/>
      <c r="AE274" s="1180"/>
      <c r="AF274" s="1180"/>
      <c r="AG274" s="1180"/>
      <c r="AH274" s="1180"/>
      <c r="AI274" s="1180"/>
      <c r="AJ274" s="1180"/>
      <c r="AK274" s="1180"/>
      <c r="AL274" s="1180"/>
      <c r="AM274" s="1180"/>
      <c r="AN274" s="1180"/>
      <c r="AO274" s="1180"/>
      <c r="AP274" s="1180"/>
      <c r="AQ274" s="1180"/>
      <c r="AR274" s="1180"/>
    </row>
    <row r="275" spans="1:44" customFormat="1" ht="11.65" customHeight="1">
      <c r="A275" s="72"/>
      <c r="B275" s="13" t="s">
        <v>2592</v>
      </c>
      <c r="C275" s="77"/>
      <c r="D275" s="43"/>
      <c r="E275" s="43"/>
      <c r="F275" s="77"/>
      <c r="H275" s="77"/>
      <c r="I275" s="77"/>
      <c r="N275" s="1366" t="s">
        <v>2593</v>
      </c>
      <c r="O275" s="28" t="s">
        <v>230</v>
      </c>
      <c r="P275" s="674"/>
      <c r="Q275" s="675"/>
      <c r="R275" s="28"/>
      <c r="S275" s="1041"/>
      <c r="T275" s="1041"/>
      <c r="U275" s="1041"/>
      <c r="V275" s="1041"/>
      <c r="W275" s="1041"/>
      <c r="X275" s="1041"/>
      <c r="Y275" s="1041"/>
      <c r="Z275" s="1041"/>
      <c r="AA275" s="1041"/>
      <c r="AB275" s="1041"/>
      <c r="AC275" s="1041"/>
      <c r="AD275" s="1041"/>
      <c r="AE275" s="1041"/>
      <c r="AF275" s="1041"/>
      <c r="AG275" s="1041"/>
      <c r="AH275" s="1041"/>
      <c r="AI275" s="1041"/>
      <c r="AJ275" s="1041"/>
      <c r="AK275" s="1041"/>
      <c r="AL275" s="1041"/>
      <c r="AM275" s="1041"/>
      <c r="AN275" s="1041"/>
      <c r="AO275" s="1041"/>
      <c r="AP275" s="1041"/>
      <c r="AQ275" s="1041"/>
      <c r="AR275" s="1041"/>
    </row>
    <row r="276" spans="1:44" s="42" customFormat="1" ht="11.65" customHeight="1">
      <c r="A276" s="43"/>
      <c r="B276" s="74" t="s">
        <v>1450</v>
      </c>
      <c r="C276" s="43"/>
      <c r="D276" s="48"/>
      <c r="E276" s="48"/>
      <c r="F276" s="48"/>
      <c r="G276" s="48"/>
      <c r="K276" s="13"/>
      <c r="M276" s="32"/>
      <c r="N276" s="32"/>
      <c r="O276" s="2"/>
      <c r="P276" s="2541"/>
      <c r="S276" s="1047"/>
      <c r="T276" s="1047"/>
      <c r="U276" s="1047"/>
      <c r="V276" s="1047"/>
      <c r="W276" s="1047"/>
      <c r="X276" s="1047"/>
      <c r="Y276" s="1047"/>
      <c r="Z276" s="1047"/>
      <c r="AA276" s="1047"/>
      <c r="AB276" s="1047"/>
      <c r="AC276" s="1047"/>
      <c r="AD276" s="1047"/>
      <c r="AE276" s="1047"/>
      <c r="AF276" s="1047"/>
      <c r="AG276" s="1047"/>
      <c r="AH276" s="1047"/>
      <c r="AI276" s="1047"/>
      <c r="AJ276" s="1047"/>
      <c r="AK276" s="1047"/>
      <c r="AL276" s="1047"/>
      <c r="AM276" s="1047"/>
      <c r="AN276" s="1047"/>
      <c r="AO276" s="1047"/>
      <c r="AP276" s="1047"/>
      <c r="AQ276" s="1047"/>
      <c r="AR276" s="1047"/>
    </row>
    <row r="277" spans="1:44" s="19" customFormat="1" ht="21.75" customHeight="1">
      <c r="A277" s="3995"/>
      <c r="B277" s="3996"/>
      <c r="C277" s="3996"/>
      <c r="D277" s="3996"/>
      <c r="E277" s="3996"/>
      <c r="F277" s="3996"/>
      <c r="G277" s="3996"/>
      <c r="H277" s="3996"/>
      <c r="I277" s="3996"/>
      <c r="J277" s="3996"/>
      <c r="K277" s="3996"/>
      <c r="L277" s="3996"/>
      <c r="M277" s="3996"/>
      <c r="N277" s="3996"/>
      <c r="O277" s="3996"/>
      <c r="P277" s="3996"/>
      <c r="Q277" s="3997"/>
      <c r="R277" s="248" t="s">
        <v>2401</v>
      </c>
      <c r="S277" s="1042"/>
      <c r="T277" s="1042"/>
      <c r="U277" s="1042"/>
      <c r="V277" s="1042"/>
      <c r="W277" s="1042"/>
      <c r="X277" s="1042"/>
      <c r="Y277" s="1042"/>
      <c r="Z277" s="1042"/>
      <c r="AA277" s="1042"/>
      <c r="AB277" s="1042"/>
      <c r="AC277" s="1042"/>
      <c r="AD277" s="1042"/>
      <c r="AE277" s="1042"/>
      <c r="AF277" s="1042"/>
      <c r="AG277" s="1042"/>
      <c r="AH277" s="1042"/>
      <c r="AI277" s="1042"/>
      <c r="AJ277" s="1042"/>
      <c r="AK277" s="1042"/>
      <c r="AL277" s="1042"/>
      <c r="AM277" s="1042"/>
      <c r="AN277" s="1042"/>
      <c r="AO277" s="1042"/>
      <c r="AP277" s="1042"/>
      <c r="AQ277" s="1042"/>
      <c r="AR277" s="1042"/>
    </row>
    <row r="278" spans="1:44" s="19" customFormat="1" ht="11.25" customHeight="1">
      <c r="A278" s="77"/>
      <c r="B278" s="70" t="s">
        <v>1447</v>
      </c>
      <c r="C278" s="71"/>
      <c r="D278" s="2574"/>
      <c r="E278" s="2574"/>
      <c r="F278" s="2574"/>
      <c r="G278" s="2574"/>
      <c r="H278" s="2574"/>
      <c r="I278" s="2574"/>
      <c r="J278" s="2574"/>
      <c r="K278" s="2574"/>
      <c r="L278" s="2574"/>
      <c r="M278" s="2574"/>
      <c r="N278" s="2574"/>
      <c r="O278" s="2574"/>
      <c r="P278" s="2574"/>
      <c r="Q278" s="2574"/>
      <c r="R278" s="77"/>
      <c r="S278" s="1042"/>
      <c r="T278" s="1042"/>
      <c r="U278" s="1042"/>
      <c r="V278" s="1042"/>
      <c r="W278" s="1042"/>
      <c r="X278" s="1042"/>
      <c r="Y278" s="1042"/>
      <c r="Z278" s="1042"/>
      <c r="AA278" s="1042"/>
      <c r="AB278" s="1042"/>
      <c r="AC278" s="1042"/>
      <c r="AD278" s="1042"/>
      <c r="AE278" s="1042"/>
      <c r="AF278" s="1042"/>
      <c r="AG278" s="1042"/>
      <c r="AH278" s="1042"/>
      <c r="AI278" s="1042"/>
      <c r="AJ278" s="1042"/>
      <c r="AK278" s="1042"/>
      <c r="AL278" s="1042"/>
      <c r="AM278" s="1042"/>
      <c r="AN278" s="1042"/>
      <c r="AO278" s="1042"/>
      <c r="AP278" s="1042"/>
      <c r="AQ278" s="1042"/>
      <c r="AR278" s="1042"/>
    </row>
    <row r="279" spans="1:44" s="19" customFormat="1" ht="11.25" customHeight="1">
      <c r="A279" s="3999"/>
      <c r="B279" s="4000"/>
      <c r="C279" s="4000"/>
      <c r="D279" s="4000"/>
      <c r="E279" s="4000"/>
      <c r="F279" s="4000"/>
      <c r="G279" s="4000"/>
      <c r="H279" s="4000"/>
      <c r="I279" s="4000"/>
      <c r="J279" s="4000"/>
      <c r="K279" s="4000"/>
      <c r="L279" s="4000"/>
      <c r="M279" s="4000"/>
      <c r="N279" s="4000"/>
      <c r="O279" s="4000"/>
      <c r="P279" s="4000"/>
      <c r="Q279" s="4001"/>
      <c r="R279" s="77"/>
      <c r="S279" s="1042"/>
      <c r="T279" s="1042"/>
      <c r="U279" s="1042"/>
      <c r="V279" s="1042"/>
      <c r="W279" s="1042"/>
      <c r="X279" s="1042"/>
      <c r="Y279" s="1042"/>
      <c r="Z279" s="1042"/>
      <c r="AA279" s="1042"/>
      <c r="AB279" s="1042"/>
      <c r="AC279" s="1042"/>
      <c r="AD279" s="1042"/>
      <c r="AE279" s="1042"/>
      <c r="AF279" s="1042"/>
      <c r="AG279" s="1042"/>
      <c r="AH279" s="1042"/>
      <c r="AI279" s="1042"/>
      <c r="AJ279" s="1042"/>
      <c r="AK279" s="1042"/>
      <c r="AL279" s="1042"/>
      <c r="AM279" s="1042"/>
      <c r="AN279" s="1042"/>
      <c r="AO279" s="1042"/>
      <c r="AP279" s="1042"/>
      <c r="AQ279" s="1042"/>
      <c r="AR279" s="1042"/>
    </row>
    <row r="280" spans="1:44" s="19" customFormat="1" ht="3" customHeight="1">
      <c r="A280" s="43"/>
      <c r="D280" s="13"/>
      <c r="E280" s="13"/>
      <c r="F280" s="2541"/>
      <c r="G280" s="2541"/>
      <c r="H280" s="2541"/>
      <c r="I280" s="2541"/>
      <c r="J280" s="16"/>
      <c r="K280" s="16"/>
      <c r="L280" s="16"/>
      <c r="M280" s="2584"/>
      <c r="N280" s="2541"/>
      <c r="O280" s="2535"/>
      <c r="P280" s="2"/>
      <c r="S280" s="1042"/>
      <c r="T280" s="1042"/>
      <c r="U280" s="1042"/>
      <c r="V280" s="1042"/>
      <c r="W280" s="1042"/>
      <c r="X280" s="1042"/>
      <c r="Y280" s="1042"/>
      <c r="Z280" s="1042"/>
      <c r="AA280" s="1042"/>
      <c r="AB280" s="1042"/>
      <c r="AC280" s="1042"/>
      <c r="AD280" s="1042"/>
      <c r="AE280" s="1042"/>
      <c r="AF280" s="1042"/>
      <c r="AG280" s="1042"/>
      <c r="AH280" s="1042"/>
      <c r="AI280" s="1042"/>
      <c r="AJ280" s="1042"/>
      <c r="AK280" s="1042"/>
      <c r="AL280" s="1042"/>
      <c r="AM280" s="1042"/>
      <c r="AN280" s="1042"/>
      <c r="AO280" s="1042"/>
      <c r="AP280" s="1042"/>
      <c r="AQ280" s="1042"/>
      <c r="AR280" s="1042"/>
    </row>
    <row r="281" spans="1:44" ht="14.1" customHeight="1">
      <c r="A281" s="2536" t="s">
        <v>1578</v>
      </c>
      <c r="B281" s="2536" t="s">
        <v>1548</v>
      </c>
      <c r="C281" s="2539"/>
      <c r="D281" s="2575"/>
      <c r="E281" s="2574"/>
      <c r="F281" s="2574"/>
      <c r="G281" s="2574"/>
      <c r="H281" s="2574"/>
      <c r="I281" s="2574"/>
      <c r="J281" s="2574"/>
      <c r="K281" s="2574"/>
      <c r="L281" s="2574"/>
      <c r="M281" s="2574"/>
      <c r="N281" s="77"/>
      <c r="O281" s="66" t="s">
        <v>1444</v>
      </c>
      <c r="P281" s="4014"/>
      <c r="Q281" s="4003"/>
      <c r="R281" s="77"/>
      <c r="S281" s="1045"/>
      <c r="T281" s="1045"/>
      <c r="U281" s="1045"/>
      <c r="V281" s="1045"/>
      <c r="W281" s="1045"/>
      <c r="X281" s="1045"/>
      <c r="Y281" s="1045"/>
      <c r="Z281" s="1045"/>
      <c r="AA281" s="1045"/>
      <c r="AB281" s="1045"/>
      <c r="AC281" s="1045"/>
      <c r="AD281" s="1045"/>
      <c r="AE281" s="1045"/>
      <c r="AF281" s="1045"/>
      <c r="AG281" s="1045"/>
      <c r="AH281" s="1045"/>
      <c r="AI281" s="1045"/>
      <c r="AJ281" s="1045"/>
      <c r="AK281" s="1045"/>
      <c r="AL281" s="1045"/>
      <c r="AM281" s="1045"/>
      <c r="AN281" s="1045"/>
      <c r="AO281" s="1045"/>
      <c r="AP281" s="1045"/>
      <c r="AQ281" s="1045"/>
      <c r="AR281" s="1045"/>
    </row>
    <row r="282" spans="1:44" customFormat="1" ht="11.65" customHeight="1">
      <c r="B282" s="25" t="s">
        <v>2569</v>
      </c>
      <c r="N282" s="58"/>
      <c r="P282" s="267"/>
      <c r="Q282" s="306"/>
      <c r="S282" s="1041"/>
      <c r="T282" s="1041"/>
      <c r="U282" s="1041"/>
      <c r="V282" s="1041"/>
      <c r="W282" s="1041"/>
      <c r="X282" s="1041"/>
      <c r="Y282" s="1041"/>
      <c r="Z282" s="1041"/>
      <c r="AA282" s="1041"/>
      <c r="AB282" s="1041"/>
      <c r="AC282" s="1041"/>
      <c r="AD282" s="1041"/>
      <c r="AE282" s="1041"/>
      <c r="AF282" s="1041"/>
      <c r="AG282" s="1041"/>
      <c r="AH282" s="1041"/>
      <c r="AI282" s="1041"/>
      <c r="AJ282" s="1041"/>
      <c r="AK282" s="1041"/>
      <c r="AL282" s="1041"/>
      <c r="AM282" s="1041"/>
      <c r="AN282" s="1041"/>
      <c r="AO282" s="1041"/>
      <c r="AP282" s="1041"/>
      <c r="AQ282" s="1041"/>
      <c r="AR282" s="1041"/>
    </row>
    <row r="283" spans="1:44" ht="12.75" customHeight="1">
      <c r="A283" s="72" t="s">
        <v>197</v>
      </c>
      <c r="B283" s="104" t="s">
        <v>2594</v>
      </c>
      <c r="C283" s="77"/>
      <c r="D283" s="77"/>
      <c r="E283" s="77"/>
      <c r="F283" s="77"/>
      <c r="G283" s="77"/>
      <c r="H283" s="77"/>
      <c r="I283" s="77"/>
      <c r="J283" s="77"/>
      <c r="K283" s="77"/>
      <c r="L283" s="77"/>
      <c r="M283" s="77"/>
      <c r="N283" s="77"/>
      <c r="O283" s="77"/>
      <c r="P283" s="77"/>
      <c r="Q283" s="77"/>
      <c r="R283" s="77"/>
      <c r="S283" s="1045"/>
      <c r="T283" s="1045"/>
      <c r="U283" s="1045"/>
      <c r="V283" s="1045"/>
      <c r="W283" s="1045"/>
      <c r="X283" s="1045"/>
      <c r="Y283" s="1045"/>
      <c r="Z283" s="1045"/>
      <c r="AA283" s="1045"/>
      <c r="AB283" s="1045"/>
      <c r="AC283" s="1045"/>
      <c r="AD283" s="1045"/>
      <c r="AE283" s="1045"/>
      <c r="AF283" s="1045"/>
      <c r="AG283" s="1045"/>
      <c r="AH283" s="1045"/>
      <c r="AI283" s="1045"/>
      <c r="AJ283" s="1045"/>
      <c r="AK283" s="1045"/>
      <c r="AL283" s="1045"/>
      <c r="AM283" s="1045"/>
      <c r="AN283" s="1045"/>
      <c r="AO283" s="1045"/>
      <c r="AP283" s="1045"/>
      <c r="AQ283" s="1045"/>
      <c r="AR283" s="1045"/>
    </row>
    <row r="284" spans="1:44" s="77" customFormat="1" ht="44.25" customHeight="1">
      <c r="A284" s="75"/>
      <c r="B284" s="266" t="s">
        <v>1521</v>
      </c>
      <c r="C284" s="3998" t="s">
        <v>2595</v>
      </c>
      <c r="D284" s="3998"/>
      <c r="E284" s="3998"/>
      <c r="F284" s="3998"/>
      <c r="G284" s="3998"/>
      <c r="H284" s="3998"/>
      <c r="I284" s="3998"/>
      <c r="J284" s="3998"/>
      <c r="K284" s="3998"/>
      <c r="L284" s="3998"/>
      <c r="M284" s="3998"/>
      <c r="N284" s="3998"/>
      <c r="O284" s="84" t="s">
        <v>2596</v>
      </c>
      <c r="P284" s="1374"/>
      <c r="Q284" s="1375"/>
      <c r="S284" s="1045"/>
      <c r="T284" s="1045"/>
      <c r="U284" s="1045"/>
      <c r="V284" s="1045"/>
      <c r="W284" s="1045"/>
      <c r="X284" s="1045"/>
      <c r="Y284" s="1045"/>
      <c r="Z284" s="1045"/>
      <c r="AA284" s="1045"/>
      <c r="AB284" s="1045"/>
      <c r="AC284" s="1045"/>
      <c r="AD284" s="1045"/>
      <c r="AE284" s="1045"/>
      <c r="AF284" s="1045"/>
      <c r="AG284" s="1045"/>
      <c r="AH284" s="1045"/>
      <c r="AI284" s="1045"/>
      <c r="AJ284" s="1045"/>
      <c r="AK284" s="1045"/>
      <c r="AL284" s="1045"/>
      <c r="AM284" s="1045"/>
      <c r="AN284" s="1045"/>
      <c r="AO284" s="1045"/>
      <c r="AP284" s="1045"/>
      <c r="AQ284" s="1045"/>
      <c r="AR284" s="1045"/>
    </row>
    <row r="285" spans="1:44" s="229" customFormat="1" ht="12" customHeight="1">
      <c r="A285" s="75"/>
      <c r="B285" s="266" t="s">
        <v>1524</v>
      </c>
      <c r="C285" s="3998" t="s">
        <v>2597</v>
      </c>
      <c r="D285" s="3998"/>
      <c r="E285" s="3998"/>
      <c r="F285" s="3998"/>
      <c r="G285" s="3998"/>
      <c r="H285" s="3998"/>
      <c r="I285" s="3998"/>
      <c r="J285" s="3998"/>
      <c r="K285" s="3998"/>
      <c r="L285" s="3998"/>
      <c r="M285" s="3998"/>
      <c r="N285" s="3998"/>
      <c r="O285" s="84" t="s">
        <v>1524</v>
      </c>
      <c r="P285" s="2582"/>
      <c r="Q285" s="2580"/>
      <c r="S285" s="1046"/>
      <c r="T285" s="1046"/>
      <c r="U285" s="1046"/>
      <c r="V285" s="1046"/>
      <c r="W285" s="1046"/>
      <c r="X285" s="1046"/>
      <c r="Y285" s="1046"/>
      <c r="Z285" s="1046"/>
      <c r="AA285" s="1046"/>
      <c r="AB285" s="1046"/>
      <c r="AC285" s="1046"/>
      <c r="AD285" s="1046"/>
      <c r="AE285" s="1046"/>
      <c r="AF285" s="1046"/>
      <c r="AG285" s="1046"/>
      <c r="AH285" s="1046"/>
      <c r="AI285" s="1046"/>
      <c r="AJ285" s="1046"/>
      <c r="AK285" s="1046"/>
      <c r="AL285" s="1046"/>
      <c r="AM285" s="1046"/>
      <c r="AN285" s="1046"/>
      <c r="AO285" s="1046"/>
      <c r="AP285" s="1046"/>
      <c r="AQ285" s="1046"/>
      <c r="AR285" s="1046"/>
    </row>
    <row r="286" spans="1:44" s="229" customFormat="1" ht="22.5" customHeight="1">
      <c r="A286" s="75"/>
      <c r="B286" s="266" t="s">
        <v>1526</v>
      </c>
      <c r="C286" s="3998" t="s">
        <v>2598</v>
      </c>
      <c r="D286" s="3998"/>
      <c r="E286" s="3998"/>
      <c r="F286" s="3998"/>
      <c r="G286" s="3998"/>
      <c r="H286" s="3998"/>
      <c r="I286" s="3998"/>
      <c r="J286" s="3998"/>
      <c r="K286" s="3998"/>
      <c r="L286" s="3998"/>
      <c r="M286" s="3998"/>
      <c r="N286" s="3998"/>
      <c r="O286" s="84" t="s">
        <v>1526</v>
      </c>
      <c r="P286" s="2583"/>
      <c r="Q286" s="2581"/>
      <c r="S286" s="1046"/>
      <c r="T286" s="1046"/>
      <c r="U286" s="1046"/>
      <c r="V286" s="1046"/>
      <c r="W286" s="1046"/>
      <c r="X286" s="1046"/>
      <c r="Y286" s="1046"/>
      <c r="Z286" s="1046"/>
      <c r="AA286" s="1046"/>
      <c r="AB286" s="1046"/>
      <c r="AC286" s="1046"/>
      <c r="AD286" s="1046"/>
      <c r="AE286" s="1046"/>
      <c r="AF286" s="1046"/>
      <c r="AG286" s="1046"/>
      <c r="AH286" s="1046"/>
      <c r="AI286" s="1046"/>
      <c r="AJ286" s="1046"/>
      <c r="AK286" s="1046"/>
      <c r="AL286" s="1046"/>
      <c r="AM286" s="1046"/>
      <c r="AN286" s="1046"/>
      <c r="AO286" s="1046"/>
      <c r="AP286" s="1046"/>
      <c r="AQ286" s="1046"/>
      <c r="AR286" s="1046"/>
    </row>
    <row r="287" spans="1:44" s="43" customFormat="1" ht="12.75" customHeight="1">
      <c r="A287" s="72" t="s">
        <v>209</v>
      </c>
      <c r="B287" s="104" t="s">
        <v>2599</v>
      </c>
      <c r="D287" s="667"/>
      <c r="E287" s="667"/>
      <c r="F287" s="667"/>
      <c r="G287" s="667"/>
      <c r="H287" s="667"/>
      <c r="I287" s="667"/>
      <c r="J287" s="667"/>
      <c r="K287" s="667"/>
      <c r="L287" s="667"/>
      <c r="M287" s="667"/>
      <c r="N287" s="667"/>
      <c r="O287" s="28"/>
      <c r="P287" s="28"/>
      <c r="Q287" s="28"/>
      <c r="S287" s="1048"/>
      <c r="T287" s="1048"/>
      <c r="U287" s="1048"/>
      <c r="V287" s="1048"/>
      <c r="W287" s="1048"/>
      <c r="X287" s="1048"/>
      <c r="Y287" s="1048"/>
      <c r="Z287" s="1048"/>
      <c r="AA287" s="1048"/>
      <c r="AB287" s="1048"/>
      <c r="AC287" s="1048"/>
      <c r="AD287" s="1048"/>
      <c r="AE287" s="1048"/>
      <c r="AF287" s="1048"/>
      <c r="AG287" s="1048"/>
      <c r="AH287" s="1048"/>
      <c r="AI287" s="1048"/>
      <c r="AJ287" s="1048"/>
      <c r="AK287" s="1048"/>
      <c r="AL287" s="1048"/>
      <c r="AM287" s="1048"/>
      <c r="AN287" s="1048"/>
      <c r="AO287" s="1048"/>
      <c r="AP287" s="1048"/>
      <c r="AQ287" s="1048"/>
      <c r="AR287" s="1048"/>
    </row>
    <row r="288" spans="1:44" s="43" customFormat="1" ht="11.25" customHeight="1">
      <c r="A288" s="102"/>
      <c r="B288" s="266" t="s">
        <v>1521</v>
      </c>
      <c r="C288" s="13" t="s">
        <v>214</v>
      </c>
      <c r="D288" s="3998" t="s">
        <v>2600</v>
      </c>
      <c r="E288" s="3998"/>
      <c r="F288" s="3998"/>
      <c r="G288" s="3998"/>
      <c r="H288" s="3998"/>
      <c r="I288" s="73"/>
      <c r="J288" s="4053" t="s">
        <v>2601</v>
      </c>
      <c r="K288" s="4023"/>
      <c r="L288" s="4023"/>
      <c r="M288" s="4066" t="s">
        <v>2602</v>
      </c>
      <c r="N288" s="4066"/>
      <c r="S288" s="1048"/>
      <c r="T288" s="1048"/>
      <c r="U288" s="1048"/>
      <c r="V288" s="1048"/>
      <c r="W288" s="1048"/>
      <c r="X288" s="1048"/>
      <c r="Y288" s="1048"/>
      <c r="Z288" s="1048"/>
      <c r="AA288" s="1048"/>
      <c r="AB288" s="1048"/>
      <c r="AC288" s="1048"/>
      <c r="AD288" s="1048"/>
      <c r="AE288" s="1048"/>
      <c r="AF288" s="1048"/>
      <c r="AG288" s="1048"/>
      <c r="AH288" s="1048"/>
      <c r="AI288" s="1048"/>
      <c r="AJ288" s="1048"/>
      <c r="AK288" s="1048"/>
      <c r="AL288" s="1048"/>
      <c r="AM288" s="1048"/>
      <c r="AN288" s="1048"/>
      <c r="AO288" s="1048"/>
      <c r="AP288" s="1048"/>
      <c r="AQ288" s="1048"/>
      <c r="AR288" s="1048"/>
    </row>
    <row r="289" spans="1:44" s="95" customFormat="1" ht="10.5" customHeight="1">
      <c r="A289" s="155"/>
      <c r="B289" s="2519"/>
      <c r="C289" s="2512"/>
      <c r="D289" s="3998"/>
      <c r="E289" s="3998"/>
      <c r="F289" s="3998"/>
      <c r="G289" s="3998"/>
      <c r="H289" s="3998"/>
      <c r="I289" s="2518"/>
      <c r="J289" s="4023"/>
      <c r="K289" s="4023"/>
      <c r="L289" s="4023"/>
      <c r="M289" s="13" t="s">
        <v>2603</v>
      </c>
      <c r="N289" s="2584" t="s">
        <v>2604</v>
      </c>
      <c r="O289" s="2512"/>
      <c r="P289" s="2518"/>
      <c r="Q289" s="2512"/>
      <c r="R289" s="251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519"/>
      <c r="C290" s="2512"/>
      <c r="D290" s="3998"/>
      <c r="E290" s="3998"/>
      <c r="F290" s="3998"/>
      <c r="G290" s="3998"/>
      <c r="H290" s="3998"/>
      <c r="I290" s="13" t="s">
        <v>2605</v>
      </c>
      <c r="J290" s="2512"/>
      <c r="K290" s="1181"/>
      <c r="L290" s="606" t="e">
        <f>IF(K290&lt;M290,"Check!!!","")</f>
        <v>#REF!</v>
      </c>
      <c r="M290" s="1183" t="e">
        <f>ROUNDUP(#REF!*'Part VII-Threshold Criteria OLD'!N290,0)</f>
        <v>#REF!</v>
      </c>
      <c r="N290" s="883" t="e">
        <f>#REF!</f>
        <v>#REF!</v>
      </c>
      <c r="O290" s="28" t="s">
        <v>2606</v>
      </c>
      <c r="P290" s="935"/>
      <c r="Q290" s="936"/>
      <c r="R290" s="2512"/>
      <c r="S290" s="166"/>
      <c r="T290" s="166"/>
      <c r="U290" s="166"/>
      <c r="V290" s="1049"/>
      <c r="W290" s="166"/>
      <c r="X290" s="1049"/>
      <c r="Y290" s="166"/>
      <c r="Z290" s="1050" t="str">
        <f>IF(AA290="","",IF(AA290&lt;AC290,"Check!!!",""))</f>
        <v/>
      </c>
      <c r="AA290" s="1050" t="str">
        <f t="shared" ref="AA290:AG290" si="0">IF(AB290="","",IF(AB290&lt;AD290,"Check!!!",""))</f>
        <v/>
      </c>
      <c r="AB290" s="1050" t="str">
        <f t="shared" si="0"/>
        <v/>
      </c>
      <c r="AC290" s="1050" t="str">
        <f t="shared" si="0"/>
        <v/>
      </c>
      <c r="AD290" s="1050" t="str">
        <f t="shared" si="0"/>
        <v/>
      </c>
      <c r="AE290" s="1050" t="str">
        <f t="shared" si="0"/>
        <v/>
      </c>
      <c r="AF290" s="1050" t="str">
        <f t="shared" si="0"/>
        <v/>
      </c>
      <c r="AG290" s="1050" t="str">
        <f t="shared" si="0"/>
        <v/>
      </c>
      <c r="AH290" s="166"/>
      <c r="AI290" s="166"/>
      <c r="AJ290" s="166"/>
      <c r="AK290" s="166"/>
      <c r="AL290" s="166"/>
      <c r="AM290" s="166"/>
      <c r="AN290" s="166"/>
      <c r="AO290" s="166"/>
      <c r="AP290" s="166"/>
      <c r="AQ290" s="166"/>
      <c r="AR290" s="166"/>
    </row>
    <row r="291" spans="1:44" s="43" customFormat="1" ht="12.75" customHeight="1">
      <c r="A291" s="75"/>
      <c r="B291" s="266"/>
      <c r="C291" s="13" t="s">
        <v>217</v>
      </c>
      <c r="D291" s="3998" t="s">
        <v>2607</v>
      </c>
      <c r="E291" s="3998"/>
      <c r="F291" s="3998"/>
      <c r="G291" s="3998"/>
      <c r="H291" s="3998"/>
      <c r="I291" s="264" t="s">
        <v>2608</v>
      </c>
      <c r="J291" s="2512"/>
      <c r="K291" s="1182"/>
      <c r="L291" s="606" t="e">
        <f>IF(K291&lt;M291,"Check!!!","")</f>
        <v>#REF!</v>
      </c>
      <c r="M291" s="1184" t="e">
        <f>ROUNDUP(K290*'Part VII-Threshold Criteria OLD'!N291,0)</f>
        <v>#REF!</v>
      </c>
      <c r="N291" s="883" t="e">
        <f>#REF!</f>
        <v>#REF!</v>
      </c>
      <c r="O291" s="28" t="s">
        <v>217</v>
      </c>
      <c r="P291" s="4143"/>
      <c r="Q291" s="4141"/>
      <c r="S291" s="1048"/>
      <c r="T291" s="1051"/>
      <c r="U291" s="1051"/>
      <c r="V291" s="1051"/>
      <c r="W291" s="1051"/>
      <c r="X291" s="1051"/>
      <c r="Y291" s="1051"/>
      <c r="Z291" s="1051"/>
      <c r="AA291" s="1051"/>
      <c r="AB291" s="1051"/>
      <c r="AC291" s="1051"/>
      <c r="AD291" s="1051"/>
      <c r="AE291" s="1051"/>
      <c r="AF291" s="1051"/>
      <c r="AG291" s="1051"/>
      <c r="AH291" s="1048"/>
      <c r="AI291" s="1048"/>
      <c r="AJ291" s="1048"/>
      <c r="AK291" s="1048"/>
      <c r="AL291" s="1048"/>
      <c r="AM291" s="1048"/>
      <c r="AN291" s="1048"/>
      <c r="AO291" s="1048"/>
      <c r="AP291" s="1048"/>
      <c r="AQ291" s="1048"/>
      <c r="AR291" s="1048"/>
    </row>
    <row r="292" spans="1:44" s="95" customFormat="1" ht="10.5" customHeight="1">
      <c r="A292" s="155"/>
      <c r="B292" s="2519"/>
      <c r="C292" s="337"/>
      <c r="D292" s="3998"/>
      <c r="E292" s="3998"/>
      <c r="F292" s="3998"/>
      <c r="G292" s="3998"/>
      <c r="H292" s="3998"/>
      <c r="I292" s="2512"/>
      <c r="J292" s="2512"/>
      <c r="K292" s="2512"/>
      <c r="L292" s="2512"/>
      <c r="M292" s="2512"/>
      <c r="N292" s="2512"/>
      <c r="O292" s="16"/>
      <c r="P292" s="4144"/>
      <c r="Q292" s="4142"/>
      <c r="R292" s="2512"/>
      <c r="S292" s="166"/>
      <c r="T292" s="166"/>
      <c r="U292" s="166"/>
      <c r="V292" s="1049"/>
      <c r="W292" s="1052"/>
      <c r="X292" s="1049"/>
      <c r="Y292" s="166"/>
      <c r="Z292" s="1050" t="str">
        <f>IF(AA292="","",IF(AA292&lt;AC292,"Check!!!",""))</f>
        <v/>
      </c>
      <c r="AA292" s="1050" t="str">
        <f t="shared" ref="AA292:AG292" si="1">IF(AB292="","",IF(AB292&lt;AD292,"Check!!!",""))</f>
        <v/>
      </c>
      <c r="AB292" s="1050" t="str">
        <f t="shared" si="1"/>
        <v/>
      </c>
      <c r="AC292" s="1050" t="str">
        <f t="shared" si="1"/>
        <v/>
      </c>
      <c r="AD292" s="1050" t="str">
        <f t="shared" si="1"/>
        <v/>
      </c>
      <c r="AE292" s="1050" t="str">
        <f t="shared" si="1"/>
        <v/>
      </c>
      <c r="AF292" s="1050" t="str">
        <f t="shared" si="1"/>
        <v/>
      </c>
      <c r="AG292" s="1050" t="str">
        <f t="shared" si="1"/>
        <v/>
      </c>
      <c r="AH292" s="166"/>
      <c r="AI292" s="166"/>
      <c r="AJ292" s="166"/>
      <c r="AK292" s="166"/>
      <c r="AL292" s="166"/>
      <c r="AM292" s="166"/>
      <c r="AN292" s="166"/>
      <c r="AO292" s="166"/>
      <c r="AP292" s="166"/>
      <c r="AQ292" s="166"/>
      <c r="AR292" s="166"/>
    </row>
    <row r="293" spans="1:44" s="43" customFormat="1" ht="12.75" customHeight="1">
      <c r="A293" s="75"/>
      <c r="B293" s="266" t="s">
        <v>1524</v>
      </c>
      <c r="C293" s="3998" t="s">
        <v>2609</v>
      </c>
      <c r="D293" s="3998"/>
      <c r="E293" s="3998"/>
      <c r="F293" s="3998"/>
      <c r="G293" s="3998"/>
      <c r="H293" s="3998"/>
      <c r="I293" s="13" t="s">
        <v>2610</v>
      </c>
      <c r="J293" s="2512"/>
      <c r="K293" s="2798"/>
      <c r="L293" s="606" t="e">
        <f>IF(K293&lt;M293,"Check!!!","")</f>
        <v>#REF!</v>
      </c>
      <c r="M293" s="607" t="e">
        <f>ROUNDUP(#REF!*'Part VII-Threshold Criteria OLD'!N293,0)</f>
        <v>#REF!</v>
      </c>
      <c r="N293" s="883" t="e">
        <f>#REF!</f>
        <v>#REF!</v>
      </c>
      <c r="O293" s="28" t="s">
        <v>1524</v>
      </c>
      <c r="P293" s="1032"/>
      <c r="Q293" s="1031"/>
      <c r="S293" s="1048"/>
      <c r="T293" s="1051"/>
      <c r="U293" s="1051"/>
      <c r="V293" s="1051"/>
      <c r="W293" s="1051"/>
      <c r="X293" s="1051"/>
      <c r="Y293" s="1051"/>
      <c r="Z293" s="1051"/>
      <c r="AA293" s="1051"/>
      <c r="AB293" s="1051"/>
      <c r="AC293" s="1051"/>
      <c r="AD293" s="1051"/>
      <c r="AE293" s="1051"/>
      <c r="AF293" s="1051"/>
      <c r="AG293" s="1051"/>
      <c r="AH293" s="1048"/>
      <c r="AI293" s="1048"/>
      <c r="AJ293" s="1048"/>
      <c r="AK293" s="1048"/>
      <c r="AL293" s="1048"/>
      <c r="AM293" s="1048"/>
      <c r="AN293" s="1048"/>
      <c r="AO293" s="1048"/>
      <c r="AP293" s="1048"/>
      <c r="AQ293" s="1048"/>
      <c r="AR293" s="1048"/>
    </row>
    <row r="294" spans="1:44" s="95" customFormat="1" ht="3" customHeight="1">
      <c r="A294" s="155"/>
      <c r="B294" s="2512"/>
      <c r="C294" s="3998"/>
      <c r="D294" s="3998"/>
      <c r="E294" s="3998"/>
      <c r="F294" s="3998"/>
      <c r="G294" s="3998"/>
      <c r="H294" s="3998"/>
      <c r="I294" s="2512"/>
      <c r="J294" s="13"/>
      <c r="K294" s="13"/>
      <c r="L294" s="16"/>
      <c r="M294" s="2584"/>
      <c r="N294" s="2512"/>
      <c r="O294" s="13"/>
      <c r="P294" s="2584"/>
      <c r="Q294" s="13"/>
      <c r="R294" s="2512"/>
      <c r="S294" s="166"/>
      <c r="T294" s="1049"/>
      <c r="U294" s="1052"/>
      <c r="V294" s="1049"/>
      <c r="W294" s="1052"/>
      <c r="X294" s="1049"/>
      <c r="Y294" s="1049"/>
      <c r="Z294" s="1049"/>
      <c r="AA294" s="1049"/>
      <c r="AB294" s="1049"/>
      <c r="AC294" s="1049"/>
      <c r="AD294" s="1049"/>
      <c r="AE294" s="1049"/>
      <c r="AF294" s="1049"/>
      <c r="AG294" s="1049"/>
      <c r="AH294" s="166"/>
      <c r="AI294" s="166"/>
      <c r="AJ294" s="166"/>
      <c r="AK294" s="166"/>
      <c r="AL294" s="166"/>
      <c r="AM294" s="166"/>
      <c r="AN294" s="166"/>
      <c r="AO294" s="166"/>
      <c r="AP294" s="166"/>
      <c r="AQ294" s="166"/>
      <c r="AR294" s="166"/>
    </row>
    <row r="295" spans="1:44" s="95" customFormat="1" ht="10.5" customHeight="1">
      <c r="A295" s="155"/>
      <c r="B295" s="2512"/>
      <c r="C295" s="3998"/>
      <c r="D295" s="3998"/>
      <c r="E295" s="3998"/>
      <c r="F295" s="3998"/>
      <c r="G295" s="3998"/>
      <c r="H295" s="3998"/>
      <c r="I295" s="2512"/>
      <c r="J295" s="2512"/>
      <c r="K295" s="2512"/>
      <c r="L295" s="2512"/>
      <c r="M295" s="2512"/>
      <c r="N295" s="2512"/>
      <c r="O295" s="16"/>
      <c r="P295" s="28"/>
      <c r="Q295" s="2512"/>
      <c r="R295" s="2512"/>
      <c r="S295" s="166"/>
      <c r="T295" s="166"/>
      <c r="U295" s="166"/>
      <c r="V295" s="1049"/>
      <c r="W295" s="1052"/>
      <c r="X295" s="1049"/>
      <c r="Y295" s="166"/>
      <c r="Z295" s="1050" t="str">
        <f>IF(AA295="","",IF(AA295&lt;AC295,"Check!!!",""))</f>
        <v/>
      </c>
      <c r="AA295" s="1050" t="str">
        <f t="shared" ref="AA295:AG295" si="2">IF(AB295="","",IF(AB295&lt;AD295,"Check!!!",""))</f>
        <v/>
      </c>
      <c r="AB295" s="1050" t="str">
        <f t="shared" si="2"/>
        <v/>
      </c>
      <c r="AC295" s="1050" t="str">
        <f t="shared" si="2"/>
        <v/>
      </c>
      <c r="AD295" s="1050" t="str">
        <f t="shared" si="2"/>
        <v/>
      </c>
      <c r="AE295" s="1050" t="str">
        <f t="shared" si="2"/>
        <v/>
      </c>
      <c r="AF295" s="1050" t="str">
        <f t="shared" si="2"/>
        <v/>
      </c>
      <c r="AG295" s="1050" t="str">
        <f t="shared" si="2"/>
        <v/>
      </c>
      <c r="AH295" s="166"/>
      <c r="AI295" s="166"/>
      <c r="AJ295" s="166"/>
      <c r="AK295" s="166"/>
      <c r="AL295" s="166"/>
      <c r="AM295" s="166"/>
      <c r="AN295" s="166"/>
      <c r="AO295" s="166"/>
      <c r="AP295" s="166"/>
      <c r="AQ295" s="166"/>
      <c r="AR295" s="166"/>
    </row>
    <row r="296" spans="1:44" s="95" customFormat="1" ht="10.5" customHeight="1">
      <c r="A296" s="72" t="s">
        <v>230</v>
      </c>
      <c r="B296" s="104" t="s">
        <v>2611</v>
      </c>
      <c r="C296" s="2512"/>
      <c r="D296" s="2574"/>
      <c r="E296" s="2574"/>
      <c r="F296" s="2574"/>
      <c r="G296" s="2574"/>
      <c r="H296" s="2574"/>
      <c r="I296" s="2512"/>
      <c r="J296" s="2512"/>
      <c r="K296" s="2512"/>
      <c r="L296" s="2512"/>
      <c r="M296" s="2512"/>
      <c r="N296" s="2512"/>
      <c r="O296" s="16"/>
      <c r="P296" s="28"/>
      <c r="Q296" s="2512"/>
      <c r="R296" s="2512"/>
      <c r="S296" s="166"/>
      <c r="T296" s="166"/>
      <c r="U296" s="166"/>
      <c r="V296" s="1049"/>
      <c r="W296" s="1052"/>
      <c r="X296" s="1049"/>
      <c r="Y296" s="166"/>
      <c r="Z296" s="1050"/>
      <c r="AA296" s="1050"/>
      <c r="AB296" s="1050"/>
      <c r="AC296" s="1050"/>
      <c r="AD296" s="1050"/>
      <c r="AE296" s="1050"/>
      <c r="AF296" s="1050"/>
      <c r="AG296" s="1050"/>
      <c r="AH296" s="166"/>
      <c r="AI296" s="166"/>
      <c r="AJ296" s="166"/>
      <c r="AK296" s="166"/>
      <c r="AL296" s="166"/>
      <c r="AM296" s="166"/>
      <c r="AN296" s="166"/>
      <c r="AO296" s="166"/>
      <c r="AP296" s="166"/>
      <c r="AQ296" s="166"/>
      <c r="AR296" s="166"/>
    </row>
    <row r="297" spans="1:44" s="43" customFormat="1" ht="22.5" customHeight="1">
      <c r="B297" s="3998" t="s">
        <v>2612</v>
      </c>
      <c r="C297" s="3998"/>
      <c r="D297" s="3998"/>
      <c r="E297" s="3998"/>
      <c r="F297" s="3998"/>
      <c r="G297" s="3998"/>
      <c r="H297" s="3998"/>
      <c r="I297" s="3998"/>
      <c r="J297" s="3998"/>
      <c r="K297" s="3998"/>
      <c r="L297" s="3998"/>
      <c r="M297" s="3998"/>
      <c r="N297" s="3998"/>
      <c r="O297" s="84" t="s">
        <v>230</v>
      </c>
      <c r="P297" s="674"/>
      <c r="Q297" s="675"/>
      <c r="S297" s="1048"/>
      <c r="T297" s="1048"/>
      <c r="U297" s="1048"/>
      <c r="V297" s="1048"/>
      <c r="W297" s="1048"/>
      <c r="X297" s="1048"/>
      <c r="Y297" s="1048"/>
      <c r="Z297" s="1048"/>
      <c r="AA297" s="1048"/>
      <c r="AB297" s="1048"/>
      <c r="AC297" s="1048"/>
      <c r="AD297" s="1048"/>
      <c r="AE297" s="1048"/>
      <c r="AF297" s="1048"/>
      <c r="AG297" s="1048"/>
      <c r="AH297" s="1048"/>
      <c r="AI297" s="1048"/>
      <c r="AJ297" s="1048"/>
      <c r="AK297" s="1048"/>
      <c r="AL297" s="1048"/>
      <c r="AM297" s="1048"/>
      <c r="AN297" s="1048"/>
      <c r="AO297" s="1048"/>
      <c r="AP297" s="1048"/>
      <c r="AQ297" s="1048"/>
      <c r="AR297" s="1048"/>
    </row>
    <row r="298" spans="1:44" s="43" customFormat="1" ht="11.25" customHeight="1">
      <c r="B298" s="73" t="s">
        <v>2613</v>
      </c>
      <c r="D298" s="73"/>
      <c r="E298" s="73"/>
      <c r="F298" s="73"/>
      <c r="G298" s="73"/>
      <c r="H298" s="73"/>
      <c r="I298" s="73" t="s">
        <v>2614</v>
      </c>
      <c r="J298" s="73"/>
      <c r="K298" s="73"/>
      <c r="L298" s="4111"/>
      <c r="M298" s="4112"/>
      <c r="N298" s="4112"/>
      <c r="O298" s="4112"/>
      <c r="P298" s="4112"/>
      <c r="Q298" s="4113"/>
      <c r="R298" s="73"/>
      <c r="S298" s="1048"/>
      <c r="T298" s="1048"/>
      <c r="U298" s="1048"/>
      <c r="V298" s="1048"/>
      <c r="W298" s="1048"/>
      <c r="X298" s="1048"/>
      <c r="Y298" s="1048"/>
      <c r="Z298" s="1048"/>
      <c r="AA298" s="1048"/>
      <c r="AB298" s="1048"/>
      <c r="AC298" s="1048"/>
      <c r="AD298" s="1048"/>
      <c r="AE298" s="1048"/>
      <c r="AF298" s="1048"/>
      <c r="AG298" s="1048"/>
      <c r="AH298" s="1048"/>
      <c r="AI298" s="1048"/>
      <c r="AJ298" s="1048"/>
      <c r="AK298" s="1048"/>
      <c r="AL298" s="1048"/>
      <c r="AM298" s="1048"/>
      <c r="AN298" s="1048"/>
      <c r="AO298" s="1048"/>
      <c r="AP298" s="1048"/>
      <c r="AQ298" s="1048"/>
      <c r="AR298" s="1048"/>
    </row>
    <row r="299" spans="1:44" s="229" customFormat="1" ht="44.25" customHeight="1">
      <c r="B299" s="266" t="s">
        <v>1521</v>
      </c>
      <c r="C299" s="3998" t="s">
        <v>2615</v>
      </c>
      <c r="D299" s="3998"/>
      <c r="E299" s="3998"/>
      <c r="F299" s="3998"/>
      <c r="G299" s="3998"/>
      <c r="H299" s="3998"/>
      <c r="I299" s="3998"/>
      <c r="J299" s="3998"/>
      <c r="K299" s="3998"/>
      <c r="L299" s="3998"/>
      <c r="M299" s="3998"/>
      <c r="N299" s="3998"/>
      <c r="O299" s="84" t="s">
        <v>2616</v>
      </c>
      <c r="P299" s="1374"/>
      <c r="Q299" s="1375"/>
      <c r="S299" s="1046"/>
      <c r="T299" s="1046"/>
      <c r="U299" s="1046"/>
      <c r="V299" s="1046"/>
      <c r="W299" s="1046"/>
      <c r="X299" s="1046"/>
      <c r="Y299" s="1046"/>
      <c r="Z299" s="1046"/>
      <c r="AA299" s="1046"/>
      <c r="AB299" s="1046"/>
      <c r="AC299" s="1046"/>
      <c r="AD299" s="1046"/>
      <c r="AE299" s="1046"/>
      <c r="AF299" s="1046"/>
      <c r="AG299" s="1046"/>
      <c r="AH299" s="1046"/>
      <c r="AI299" s="1046"/>
      <c r="AJ299" s="1046"/>
      <c r="AK299" s="1046"/>
      <c r="AL299" s="1046"/>
      <c r="AM299" s="1046"/>
      <c r="AN299" s="1046"/>
      <c r="AO299" s="1046"/>
      <c r="AP299" s="1046"/>
      <c r="AQ299" s="1046"/>
      <c r="AR299" s="1046"/>
    </row>
    <row r="300" spans="1:44" s="229" customFormat="1" ht="34.5" customHeight="1">
      <c r="B300" s="266" t="s">
        <v>1524</v>
      </c>
      <c r="C300" s="3998" t="s">
        <v>2617</v>
      </c>
      <c r="D300" s="3998"/>
      <c r="E300" s="3998"/>
      <c r="F300" s="3998"/>
      <c r="G300" s="3998"/>
      <c r="H300" s="3998"/>
      <c r="I300" s="3998"/>
      <c r="J300" s="3998"/>
      <c r="K300" s="3998"/>
      <c r="L300" s="3998"/>
      <c r="M300" s="3998"/>
      <c r="N300" s="3998"/>
      <c r="O300" s="84" t="s">
        <v>2618</v>
      </c>
      <c r="P300" s="2582"/>
      <c r="Q300" s="2580"/>
      <c r="S300" s="1046"/>
      <c r="T300" s="1046"/>
      <c r="U300" s="1046"/>
      <c r="V300" s="1046"/>
      <c r="W300" s="1046"/>
      <c r="X300" s="1046"/>
      <c r="Y300" s="1046"/>
      <c r="Z300" s="1046"/>
      <c r="AA300" s="1046"/>
      <c r="AB300" s="1046"/>
      <c r="AC300" s="1046"/>
      <c r="AD300" s="1046"/>
      <c r="AE300" s="1046"/>
      <c r="AF300" s="1046"/>
      <c r="AG300" s="1046"/>
      <c r="AH300" s="1046"/>
      <c r="AI300" s="1046"/>
      <c r="AJ300" s="1046"/>
      <c r="AK300" s="1046"/>
      <c r="AL300" s="1046"/>
      <c r="AM300" s="1046"/>
      <c r="AN300" s="1046"/>
      <c r="AO300" s="1046"/>
      <c r="AP300" s="1046"/>
      <c r="AQ300" s="1046"/>
      <c r="AR300" s="1046"/>
    </row>
    <row r="301" spans="1:44" s="229" customFormat="1" ht="22.5" customHeight="1">
      <c r="B301" s="266" t="s">
        <v>1526</v>
      </c>
      <c r="C301" s="3998" t="s">
        <v>2619</v>
      </c>
      <c r="D301" s="3998"/>
      <c r="E301" s="3998"/>
      <c r="F301" s="3998"/>
      <c r="G301" s="3998"/>
      <c r="H301" s="3998"/>
      <c r="I301" s="3998"/>
      <c r="J301" s="3998"/>
      <c r="K301" s="3998"/>
      <c r="L301" s="3998"/>
      <c r="M301" s="3998"/>
      <c r="N301" s="3998"/>
      <c r="O301" s="84" t="s">
        <v>2620</v>
      </c>
      <c r="P301" s="2582"/>
      <c r="Q301" s="2580"/>
      <c r="S301" s="1046"/>
      <c r="T301" s="1046"/>
      <c r="U301" s="1046"/>
      <c r="V301" s="1046"/>
      <c r="W301" s="1046"/>
      <c r="X301" s="1046"/>
      <c r="Y301" s="1046"/>
      <c r="Z301" s="1046"/>
      <c r="AA301" s="1046"/>
      <c r="AB301" s="1046"/>
      <c r="AC301" s="1046"/>
      <c r="AD301" s="1046"/>
      <c r="AE301" s="1046"/>
      <c r="AF301" s="1046"/>
      <c r="AG301" s="1046"/>
      <c r="AH301" s="1046"/>
      <c r="AI301" s="1046"/>
      <c r="AJ301" s="1046"/>
      <c r="AK301" s="1046"/>
      <c r="AL301" s="1046"/>
      <c r="AM301" s="1046"/>
      <c r="AN301" s="1046"/>
      <c r="AO301" s="1046"/>
      <c r="AP301" s="1046"/>
      <c r="AQ301" s="1046"/>
      <c r="AR301" s="1046"/>
    </row>
    <row r="302" spans="1:44" s="229" customFormat="1" ht="34.5" customHeight="1">
      <c r="B302" s="266" t="s">
        <v>1528</v>
      </c>
      <c r="C302" s="3998" t="s">
        <v>2621</v>
      </c>
      <c r="D302" s="3998"/>
      <c r="E302" s="3998"/>
      <c r="F302" s="3998"/>
      <c r="G302" s="3998"/>
      <c r="H302" s="3998"/>
      <c r="I302" s="3998"/>
      <c r="J302" s="3998"/>
      <c r="K302" s="3998"/>
      <c r="L302" s="3998"/>
      <c r="M302" s="3998"/>
      <c r="N302" s="3998"/>
      <c r="O302" s="84" t="s">
        <v>2622</v>
      </c>
      <c r="P302" s="2583"/>
      <c r="Q302" s="2581"/>
      <c r="S302" s="1046"/>
      <c r="T302" s="1046"/>
      <c r="U302" s="1046"/>
      <c r="V302" s="1046"/>
      <c r="W302" s="1046"/>
      <c r="X302" s="1046"/>
      <c r="Y302" s="1046"/>
      <c r="Z302" s="1046"/>
      <c r="AA302" s="1046"/>
      <c r="AB302" s="1046"/>
      <c r="AC302" s="1046"/>
      <c r="AD302" s="1046"/>
      <c r="AE302" s="1046"/>
      <c r="AF302" s="1046"/>
      <c r="AG302" s="1046"/>
      <c r="AH302" s="1046"/>
      <c r="AI302" s="1046"/>
      <c r="AJ302" s="1046"/>
      <c r="AK302" s="1046"/>
      <c r="AL302" s="1046"/>
      <c r="AM302" s="1046"/>
      <c r="AN302" s="1046"/>
      <c r="AO302" s="1046"/>
      <c r="AP302" s="1046"/>
      <c r="AQ302" s="1046"/>
      <c r="AR302" s="1046"/>
    </row>
    <row r="303" spans="1:44" ht="11.25" customHeight="1">
      <c r="A303" s="77"/>
      <c r="B303" s="74" t="s">
        <v>1450</v>
      </c>
      <c r="C303" s="77"/>
      <c r="D303" s="74"/>
      <c r="E303" s="74"/>
      <c r="F303" s="74"/>
      <c r="G303" s="74"/>
      <c r="H303" s="16"/>
      <c r="I303" s="2584"/>
      <c r="J303" s="2584"/>
      <c r="K303" s="2584"/>
      <c r="L303" s="517"/>
      <c r="M303" s="517"/>
      <c r="N303" s="517"/>
      <c r="O303" s="517"/>
      <c r="P303" s="517"/>
      <c r="Q303" s="517"/>
      <c r="R303" s="77"/>
      <c r="S303" s="1045"/>
      <c r="T303" s="1045"/>
      <c r="U303" s="1045"/>
      <c r="V303" s="1045"/>
      <c r="W303" s="1045"/>
      <c r="X303" s="1045"/>
      <c r="Y303" s="1045"/>
      <c r="Z303" s="1045"/>
      <c r="AA303" s="1045"/>
      <c r="AB303" s="1045"/>
      <c r="AC303" s="1045"/>
      <c r="AD303" s="1045"/>
      <c r="AE303" s="1045"/>
      <c r="AF303" s="1045"/>
      <c r="AG303" s="1045"/>
      <c r="AH303" s="1045"/>
      <c r="AI303" s="1045"/>
      <c r="AJ303" s="1045"/>
      <c r="AK303" s="1045"/>
      <c r="AL303" s="1045"/>
      <c r="AM303" s="1045"/>
      <c r="AN303" s="1045"/>
      <c r="AO303" s="1045"/>
      <c r="AP303" s="1045"/>
      <c r="AQ303" s="1045"/>
      <c r="AR303" s="1045"/>
    </row>
    <row r="304" spans="1:44" ht="32.25" customHeight="1">
      <c r="A304" s="3995"/>
      <c r="B304" s="3996"/>
      <c r="C304" s="3996"/>
      <c r="D304" s="3996"/>
      <c r="E304" s="3996"/>
      <c r="F304" s="3996"/>
      <c r="G304" s="3996"/>
      <c r="H304" s="3996"/>
      <c r="I304" s="3996"/>
      <c r="J304" s="3996"/>
      <c r="K304" s="3996"/>
      <c r="L304" s="3996"/>
      <c r="M304" s="3996"/>
      <c r="N304" s="3996"/>
      <c r="O304" s="3996"/>
      <c r="P304" s="3996"/>
      <c r="Q304" s="3997"/>
      <c r="R304" s="248" t="s">
        <v>2401</v>
      </c>
      <c r="S304" s="1043"/>
      <c r="T304" s="1045"/>
      <c r="U304" s="1044"/>
      <c r="V304" s="1044"/>
      <c r="W304" s="1044"/>
      <c r="X304" s="1044"/>
      <c r="Y304" s="1044"/>
      <c r="Z304" s="1044"/>
      <c r="AA304" s="1044"/>
      <c r="AB304" s="1044"/>
      <c r="AC304" s="1044"/>
      <c r="AD304" s="1044"/>
      <c r="AE304" s="1044"/>
      <c r="AF304" s="1045"/>
      <c r="AG304" s="1045"/>
      <c r="AH304" s="1045"/>
      <c r="AI304" s="1045"/>
      <c r="AJ304" s="1045"/>
      <c r="AK304" s="1045"/>
      <c r="AL304" s="1045"/>
      <c r="AM304" s="1045"/>
      <c r="AN304" s="1045"/>
      <c r="AO304" s="1045"/>
      <c r="AP304" s="1045"/>
      <c r="AQ304" s="1045"/>
      <c r="AR304" s="1045"/>
    </row>
    <row r="305" spans="1:256 1523:1523" ht="11.25" customHeight="1">
      <c r="A305" s="77"/>
      <c r="B305" s="70" t="s">
        <v>1447</v>
      </c>
      <c r="C305" s="71"/>
      <c r="D305" s="2574"/>
      <c r="E305" s="2574"/>
      <c r="F305" s="2574"/>
      <c r="G305" s="2574"/>
      <c r="H305" s="2574"/>
      <c r="I305" s="2574"/>
      <c r="J305" s="2574"/>
      <c r="K305" s="2574"/>
      <c r="L305" s="2574"/>
      <c r="M305" s="2574"/>
      <c r="N305" s="2574"/>
      <c r="O305" s="2574"/>
      <c r="P305" s="2574"/>
      <c r="Q305" s="2574"/>
      <c r="R305" s="77"/>
      <c r="S305" s="1045"/>
      <c r="T305" s="1045"/>
      <c r="U305" s="1045"/>
      <c r="V305" s="1045"/>
      <c r="W305" s="1045"/>
      <c r="X305" s="1045"/>
      <c r="Y305" s="1045"/>
      <c r="Z305" s="1045"/>
      <c r="AA305" s="1045"/>
      <c r="AB305" s="1045"/>
      <c r="AC305" s="1045"/>
      <c r="AD305" s="1045"/>
      <c r="AE305" s="1045"/>
      <c r="AF305" s="1045"/>
      <c r="AG305" s="1045"/>
      <c r="AH305" s="1045"/>
      <c r="AI305" s="1045"/>
      <c r="AJ305" s="1045"/>
      <c r="AK305" s="1045"/>
      <c r="AL305" s="1045"/>
      <c r="AM305" s="1045"/>
      <c r="AN305" s="1045"/>
      <c r="AO305" s="1045"/>
      <c r="AP305" s="1045"/>
      <c r="AQ305" s="1045"/>
      <c r="AR305" s="1045"/>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999"/>
      <c r="B306" s="4000"/>
      <c r="C306" s="4000"/>
      <c r="D306" s="4000"/>
      <c r="E306" s="4000"/>
      <c r="F306" s="4000"/>
      <c r="G306" s="4000"/>
      <c r="H306" s="4000"/>
      <c r="I306" s="4000"/>
      <c r="J306" s="4000"/>
      <c r="K306" s="4000"/>
      <c r="L306" s="4000"/>
      <c r="M306" s="4000"/>
      <c r="N306" s="4000"/>
      <c r="O306" s="4000"/>
      <c r="P306" s="4000"/>
      <c r="Q306" s="4001"/>
      <c r="R306" s="77"/>
      <c r="S306" s="1045"/>
      <c r="T306" s="1045"/>
      <c r="U306" s="1045"/>
      <c r="V306" s="1045"/>
      <c r="W306" s="1045"/>
      <c r="X306" s="1045"/>
      <c r="Y306" s="1045"/>
      <c r="Z306" s="1045"/>
      <c r="AA306" s="1045"/>
      <c r="AB306" s="1045"/>
      <c r="AC306" s="1045"/>
      <c r="AD306" s="1045"/>
      <c r="AE306" s="1045"/>
      <c r="AF306" s="1045"/>
      <c r="AG306" s="1045"/>
      <c r="AH306" s="1045"/>
      <c r="AI306" s="1045"/>
      <c r="AJ306" s="1045"/>
      <c r="AK306" s="1045"/>
      <c r="AL306" s="1045"/>
      <c r="AM306" s="1045"/>
      <c r="AN306" s="1045"/>
      <c r="AO306" s="1045"/>
      <c r="AP306" s="1045"/>
      <c r="AQ306" s="1045"/>
      <c r="AR306" s="1045"/>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536" t="s">
        <v>1589</v>
      </c>
      <c r="B307" s="3" t="s">
        <v>1569</v>
      </c>
      <c r="C307" s="3"/>
      <c r="D307" s="3"/>
      <c r="E307" s="3"/>
      <c r="F307" s="3"/>
      <c r="G307" s="3"/>
      <c r="H307" s="2574"/>
      <c r="I307" s="2574"/>
      <c r="J307" s="2574"/>
      <c r="K307" s="2574"/>
      <c r="L307" s="2574"/>
      <c r="M307" s="2574"/>
      <c r="N307" s="77"/>
      <c r="O307" s="66" t="s">
        <v>1444</v>
      </c>
      <c r="P307" s="4060"/>
      <c r="Q307" s="4061"/>
      <c r="R307" s="77"/>
      <c r="S307" s="1045"/>
      <c r="T307" s="1045"/>
      <c r="U307" s="1045"/>
      <c r="V307" s="1045"/>
      <c r="W307" s="1045"/>
      <c r="X307" s="1045"/>
      <c r="Y307" s="1045"/>
      <c r="Z307" s="1045"/>
      <c r="AA307" s="1045"/>
      <c r="AB307" s="1045"/>
      <c r="AC307" s="1045"/>
      <c r="AD307" s="1045"/>
      <c r="AE307" s="1045"/>
      <c r="AF307" s="1045"/>
      <c r="AG307" s="1045"/>
      <c r="AH307" s="1045"/>
      <c r="AI307" s="1045"/>
      <c r="AJ307" s="1045"/>
      <c r="AK307" s="1045"/>
      <c r="AL307" s="1045"/>
      <c r="AM307" s="1045"/>
      <c r="AN307" s="1045"/>
      <c r="AO307" s="1045"/>
      <c r="AP307" s="1045"/>
      <c r="AQ307" s="1045"/>
      <c r="AR307" s="1045"/>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65" customHeight="1">
      <c r="A308" s="77"/>
      <c r="B308" s="25" t="s">
        <v>2623</v>
      </c>
      <c r="C308" s="77"/>
      <c r="D308" s="77"/>
      <c r="E308" s="77"/>
      <c r="F308" s="77"/>
      <c r="G308" s="77"/>
      <c r="H308" s="77"/>
      <c r="I308" s="77"/>
      <c r="J308" s="77"/>
      <c r="K308" s="77"/>
      <c r="L308" s="77"/>
      <c r="M308" s="77"/>
      <c r="N308" s="77"/>
      <c r="O308" s="77"/>
      <c r="P308" s="935"/>
      <c r="Q308" s="936"/>
      <c r="R308" s="77"/>
      <c r="S308" s="1045"/>
      <c r="T308" s="1045"/>
      <c r="U308" s="1045"/>
      <c r="V308" s="1045"/>
      <c r="W308" s="1045"/>
      <c r="X308" s="1045"/>
      <c r="Y308" s="1045"/>
      <c r="Z308" s="1045"/>
      <c r="AA308" s="1045"/>
      <c r="AB308" s="1045"/>
      <c r="AC308" s="1045"/>
      <c r="AD308" s="1045"/>
      <c r="AE308" s="1045"/>
      <c r="AF308" s="1045"/>
      <c r="AG308" s="1045"/>
      <c r="AH308" s="1045"/>
      <c r="AI308" s="1045"/>
      <c r="AJ308" s="1045"/>
      <c r="AK308" s="1045"/>
      <c r="AL308" s="1045"/>
      <c r="AM308" s="1045"/>
      <c r="AN308" s="1045"/>
      <c r="AO308" s="1045"/>
      <c r="AP308" s="1045"/>
      <c r="AQ308" s="1045"/>
      <c r="AR308" s="1045"/>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6" t="s">
        <v>2624</v>
      </c>
      <c r="C309" s="266"/>
      <c r="D309" s="266"/>
      <c r="E309" s="266"/>
      <c r="F309" s="266"/>
      <c r="G309" s="266"/>
      <c r="H309" s="266"/>
      <c r="I309" s="266"/>
      <c r="J309" s="266"/>
      <c r="K309" s="266"/>
      <c r="L309" s="266"/>
      <c r="M309" s="77"/>
      <c r="N309" s="77"/>
      <c r="O309" s="77"/>
      <c r="P309" s="118"/>
      <c r="Q309" s="308"/>
      <c r="R309" s="77"/>
      <c r="S309" s="1045"/>
      <c r="T309" s="1045"/>
      <c r="U309" s="1045"/>
      <c r="V309" s="1045"/>
      <c r="W309" s="1045"/>
      <c r="X309" s="1045"/>
      <c r="Y309" s="1045"/>
      <c r="Z309" s="1045"/>
      <c r="AA309" s="1045"/>
      <c r="AB309" s="1045"/>
      <c r="AC309" s="1045"/>
      <c r="AD309" s="1045"/>
      <c r="AE309" s="1045"/>
      <c r="AF309" s="1045"/>
      <c r="AG309" s="1045"/>
      <c r="AH309" s="1045"/>
      <c r="AI309" s="1045"/>
      <c r="AJ309" s="1045"/>
      <c r="AK309" s="1045"/>
      <c r="AL309" s="1045"/>
      <c r="AM309" s="1045"/>
      <c r="AN309" s="1045"/>
      <c r="AO309" s="1045"/>
      <c r="AP309" s="1045"/>
      <c r="AQ309" s="1045"/>
      <c r="AR309" s="1045"/>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65" customHeight="1">
      <c r="A310" s="22"/>
      <c r="B310" s="16" t="s">
        <v>2625</v>
      </c>
      <c r="E310" s="16"/>
      <c r="F310" s="16"/>
      <c r="G310" s="16"/>
      <c r="H310" s="16"/>
      <c r="I310" s="43"/>
      <c r="J310" s="28"/>
      <c r="K310" s="4057" t="s">
        <v>730</v>
      </c>
      <c r="L310" s="4058"/>
      <c r="M310" s="4058"/>
      <c r="N310" s="4059"/>
      <c r="O310" s="38"/>
      <c r="P310" s="4729"/>
      <c r="Q310" s="306"/>
      <c r="R310" s="43"/>
      <c r="S310" s="1045"/>
      <c r="T310" s="1045"/>
      <c r="U310" s="1045"/>
      <c r="V310" s="1045"/>
      <c r="W310" s="1045"/>
      <c r="X310" s="1045"/>
      <c r="Y310" s="1045"/>
      <c r="Z310" s="1045"/>
      <c r="AA310" s="1045"/>
      <c r="AB310" s="1045"/>
      <c r="AC310" s="1045"/>
      <c r="AD310" s="1045"/>
      <c r="AE310" s="1045"/>
      <c r="AF310" s="1045"/>
      <c r="AG310" s="1045"/>
      <c r="AH310" s="1045"/>
      <c r="AI310" s="1045"/>
      <c r="AJ310" s="1045"/>
      <c r="AK310" s="1045"/>
      <c r="AL310" s="1045"/>
      <c r="AM310" s="1045"/>
      <c r="AN310" s="1045"/>
      <c r="AO310" s="1045"/>
      <c r="AP310" s="1045"/>
      <c r="AQ310" s="1045"/>
      <c r="AR310" s="1045"/>
    </row>
    <row r="311" spans="1:256 1523:1523" ht="11.65" customHeight="1">
      <c r="A311" s="75" t="s">
        <v>197</v>
      </c>
      <c r="B311" s="56" t="s">
        <v>2626</v>
      </c>
      <c r="C311" s="77"/>
      <c r="D311" s="16"/>
      <c r="E311" s="16"/>
      <c r="F311" s="16"/>
      <c r="G311" s="16"/>
      <c r="H311" s="16"/>
      <c r="I311" s="16"/>
      <c r="J311" s="16"/>
      <c r="K311" s="16"/>
      <c r="L311" s="16"/>
      <c r="M311" s="16"/>
      <c r="N311" s="84"/>
      <c r="O311" s="77"/>
      <c r="P311" s="77"/>
      <c r="Q311" s="77"/>
      <c r="R311" s="77"/>
      <c r="S311" s="1045"/>
      <c r="T311" s="1045"/>
      <c r="U311" s="1045"/>
      <c r="V311" s="1045"/>
      <c r="W311" s="1045"/>
      <c r="X311" s="1045"/>
      <c r="Y311" s="1045"/>
      <c r="Z311" s="1045"/>
      <c r="AA311" s="1045"/>
      <c r="AB311" s="1045"/>
      <c r="AC311" s="1045"/>
      <c r="AD311" s="1045"/>
      <c r="AE311" s="1045"/>
      <c r="AF311" s="1045"/>
      <c r="AG311" s="1045"/>
      <c r="AH311" s="1045"/>
      <c r="AI311" s="1045"/>
      <c r="AJ311" s="1045"/>
      <c r="AK311" s="1045"/>
      <c r="AL311" s="1045"/>
      <c r="AM311" s="1045"/>
      <c r="AN311" s="1045"/>
      <c r="AO311" s="1045"/>
      <c r="AP311" s="1045"/>
      <c r="AQ311" s="1045"/>
      <c r="AR311" s="1045"/>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998" t="s">
        <v>2627</v>
      </c>
      <c r="C312" s="3998"/>
      <c r="D312" s="3998"/>
      <c r="E312" s="3998"/>
      <c r="F312" s="3998"/>
      <c r="G312" s="3998"/>
      <c r="H312" s="3998"/>
      <c r="I312" s="3998"/>
      <c r="J312" s="3998"/>
      <c r="K312" s="3998"/>
      <c r="L312" s="3998"/>
      <c r="M312" s="3998"/>
      <c r="N312" s="3998"/>
      <c r="O312" s="84" t="s">
        <v>197</v>
      </c>
      <c r="P312" s="674"/>
      <c r="Q312" s="675"/>
      <c r="R312" s="77"/>
      <c r="S312" s="1045"/>
      <c r="T312" s="1045"/>
      <c r="U312" s="1045"/>
      <c r="V312" s="1045"/>
      <c r="W312" s="1045"/>
      <c r="X312" s="1045"/>
      <c r="Y312" s="1045"/>
      <c r="Z312" s="1045"/>
      <c r="AA312" s="1045"/>
      <c r="AB312" s="1045"/>
      <c r="AC312" s="1045"/>
      <c r="AD312" s="1045"/>
      <c r="AE312" s="1045"/>
      <c r="AF312" s="1045"/>
      <c r="AG312" s="1045"/>
      <c r="AH312" s="1045"/>
      <c r="AI312" s="1045"/>
      <c r="AJ312" s="1045"/>
      <c r="AK312" s="1045"/>
      <c r="AL312" s="1045"/>
      <c r="AM312" s="1045"/>
      <c r="AN312" s="1045"/>
      <c r="AO312" s="1045"/>
      <c r="AP312" s="1045"/>
      <c r="AQ312" s="1045"/>
      <c r="AR312" s="1045"/>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209</v>
      </c>
      <c r="B313" s="38" t="s">
        <v>1571</v>
      </c>
      <c r="C313" s="77"/>
      <c r="D313" s="38"/>
      <c r="E313" s="38"/>
      <c r="F313" s="38"/>
      <c r="G313" s="38"/>
      <c r="H313" s="38"/>
      <c r="I313" s="38"/>
      <c r="J313" s="38"/>
      <c r="K313" s="38"/>
      <c r="L313" s="38"/>
      <c r="M313" s="38"/>
      <c r="N313" s="77"/>
      <c r="O313" s="84" t="s">
        <v>209</v>
      </c>
      <c r="P313" s="517"/>
      <c r="Q313" s="517"/>
      <c r="R313" s="77"/>
      <c r="S313" s="1045"/>
      <c r="T313" s="1045"/>
      <c r="U313" s="1045"/>
      <c r="V313" s="1045"/>
      <c r="W313" s="1045"/>
      <c r="X313" s="1045"/>
      <c r="Y313" s="1045"/>
      <c r="Z313" s="1045"/>
      <c r="AA313" s="1045"/>
      <c r="AB313" s="1045"/>
      <c r="AC313" s="1045"/>
      <c r="AD313" s="1045"/>
      <c r="AE313" s="1045"/>
      <c r="AF313" s="1045"/>
      <c r="AG313" s="1045"/>
      <c r="AH313" s="1045"/>
      <c r="AI313" s="1045"/>
      <c r="AJ313" s="1045"/>
      <c r="AK313" s="1045"/>
      <c r="AL313" s="1045"/>
      <c r="AM313" s="1045"/>
      <c r="AN313" s="1045"/>
      <c r="AO313" s="1045"/>
      <c r="AP313" s="1045"/>
      <c r="AQ313" s="1045"/>
      <c r="AR313" s="1045"/>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6" t="s">
        <v>1521</v>
      </c>
      <c r="C314" s="73" t="s">
        <v>2628</v>
      </c>
      <c r="D314" s="77"/>
      <c r="E314" s="229"/>
      <c r="F314" s="229"/>
      <c r="G314" s="4104" t="s">
        <v>1706</v>
      </c>
      <c r="H314" s="4105"/>
      <c r="I314" s="4105"/>
      <c r="J314" s="4105"/>
      <c r="K314" s="4105"/>
      <c r="L314" s="4105"/>
      <c r="M314" s="4105"/>
      <c r="N314" s="4106"/>
      <c r="O314" s="84" t="s">
        <v>1521</v>
      </c>
      <c r="P314" s="1374"/>
      <c r="Q314" s="1375"/>
      <c r="R314" s="77"/>
      <c r="S314" s="1045"/>
      <c r="T314" s="1045"/>
      <c r="U314" s="1045"/>
      <c r="V314" s="1045"/>
      <c r="W314" s="1045"/>
      <c r="X314" s="1045"/>
      <c r="Y314" s="1045"/>
      <c r="Z314" s="1045"/>
      <c r="AA314" s="1045"/>
      <c r="AB314" s="1045"/>
      <c r="AC314" s="1045"/>
      <c r="AD314" s="1045"/>
      <c r="AE314" s="1045"/>
      <c r="AF314" s="1045"/>
      <c r="AG314" s="1045"/>
      <c r="AH314" s="1045"/>
      <c r="AI314" s="1045"/>
      <c r="AJ314" s="1045"/>
      <c r="AK314" s="1045"/>
      <c r="AL314" s="1045"/>
      <c r="AM314" s="1045"/>
      <c r="AN314" s="1045"/>
      <c r="AO314" s="1045"/>
      <c r="AP314" s="1045"/>
      <c r="AQ314" s="1045"/>
      <c r="AR314" s="1045"/>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2629</v>
      </c>
    </row>
    <row r="315" spans="1:256 1523:1523" ht="23.25" customHeight="1">
      <c r="A315" s="77"/>
      <c r="B315" s="266" t="s">
        <v>1524</v>
      </c>
      <c r="C315" s="3998" t="s">
        <v>2630</v>
      </c>
      <c r="D315" s="3998"/>
      <c r="E315" s="3998"/>
      <c r="F315" s="4062"/>
      <c r="G315" s="2971" t="s">
        <v>1699</v>
      </c>
      <c r="H315" s="4099"/>
      <c r="I315" s="4099"/>
      <c r="J315" s="4099"/>
      <c r="K315" s="4099"/>
      <c r="L315" s="4099"/>
      <c r="M315" s="4099"/>
      <c r="N315" s="4100"/>
      <c r="O315" s="84" t="s">
        <v>1524</v>
      </c>
      <c r="P315" s="2583"/>
      <c r="Q315" s="2581"/>
      <c r="R315" s="77"/>
      <c r="S315" s="1045"/>
      <c r="T315" s="1045"/>
      <c r="U315" s="1045"/>
      <c r="V315" s="1045"/>
      <c r="W315" s="1045"/>
      <c r="X315" s="1045"/>
      <c r="Y315" s="1045"/>
      <c r="Z315" s="1045"/>
      <c r="AA315" s="1045"/>
      <c r="AB315" s="1045"/>
      <c r="AC315" s="1045"/>
      <c r="AD315" s="1045"/>
      <c r="AE315" s="1045"/>
      <c r="AF315" s="1045"/>
      <c r="AG315" s="1045"/>
      <c r="AH315" s="1045"/>
      <c r="AI315" s="1045"/>
      <c r="AJ315" s="1045"/>
      <c r="AK315" s="1045"/>
      <c r="AL315" s="1045"/>
      <c r="AM315" s="1045"/>
      <c r="AN315" s="1045"/>
      <c r="AO315" s="1045"/>
      <c r="AP315" s="1045"/>
      <c r="AQ315" s="1045"/>
      <c r="AR315" s="1045"/>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7"/>
      <c r="B316" s="526"/>
      <c r="C316" s="517"/>
      <c r="D316" s="517"/>
      <c r="E316" s="517"/>
      <c r="F316" s="517"/>
      <c r="G316" s="517"/>
      <c r="H316" s="517"/>
      <c r="I316" s="517"/>
      <c r="J316" s="517"/>
      <c r="K316" s="517"/>
      <c r="L316" s="517"/>
      <c r="M316" s="517"/>
      <c r="N316" s="517"/>
      <c r="O316" s="517"/>
      <c r="P316" s="517"/>
      <c r="Q316" s="517"/>
      <c r="R316" s="517"/>
      <c r="S316" s="1053"/>
      <c r="T316" s="1053"/>
      <c r="U316" s="1053"/>
      <c r="V316" s="1053"/>
      <c r="W316" s="1053"/>
      <c r="X316" s="1053"/>
      <c r="Y316" s="1053"/>
      <c r="Z316" s="1053"/>
      <c r="AA316" s="1053"/>
      <c r="AB316" s="1053"/>
      <c r="AC316" s="1053"/>
      <c r="AD316" s="1053"/>
      <c r="AE316" s="1053"/>
      <c r="AF316" s="1053"/>
      <c r="AG316" s="1053"/>
      <c r="AH316" s="1053"/>
      <c r="AI316" s="1053"/>
      <c r="AJ316" s="1053"/>
      <c r="AK316" s="1053"/>
      <c r="AL316" s="1053"/>
      <c r="AM316" s="1053"/>
      <c r="AN316" s="1053"/>
      <c r="AO316" s="1053"/>
      <c r="AP316" s="1053"/>
      <c r="AQ316" s="1053"/>
      <c r="AR316" s="1053"/>
      <c r="AS316" s="517"/>
      <c r="AT316" s="517"/>
      <c r="AU316" s="517"/>
      <c r="AV316" s="517"/>
      <c r="AW316" s="517"/>
      <c r="AX316" s="517"/>
      <c r="AY316" s="517"/>
      <c r="AZ316" s="517"/>
      <c r="BA316" s="517"/>
      <c r="BB316" s="517"/>
      <c r="BC316" s="517"/>
      <c r="BD316" s="517"/>
      <c r="BE316" s="517"/>
      <c r="BF316" s="517"/>
      <c r="BG316" s="517"/>
      <c r="BH316" s="517"/>
      <c r="BI316" s="517"/>
      <c r="BJ316" s="517"/>
      <c r="BK316" s="517"/>
      <c r="BL316" s="517"/>
      <c r="BM316" s="517"/>
      <c r="BN316" s="517"/>
      <c r="BO316" s="517"/>
      <c r="BP316" s="517"/>
      <c r="BQ316" s="517"/>
      <c r="BR316" s="517"/>
      <c r="BS316" s="517"/>
      <c r="BT316" s="517"/>
      <c r="BU316" s="517"/>
      <c r="BV316" s="517"/>
      <c r="BW316" s="517"/>
      <c r="BX316" s="517"/>
      <c r="BY316" s="517"/>
      <c r="BZ316" s="517"/>
      <c r="CA316" s="517"/>
      <c r="CB316" s="517"/>
      <c r="CC316" s="517"/>
      <c r="CD316" s="517"/>
      <c r="CE316" s="517"/>
      <c r="CF316" s="517"/>
      <c r="CG316" s="517"/>
      <c r="CH316" s="517"/>
      <c r="CI316" s="517"/>
      <c r="CJ316" s="517"/>
      <c r="CK316" s="517"/>
      <c r="CL316" s="517"/>
      <c r="CM316" s="517"/>
      <c r="CN316" s="517"/>
      <c r="CO316" s="517"/>
      <c r="CP316" s="517"/>
      <c r="CQ316" s="517"/>
      <c r="CR316" s="517"/>
      <c r="CS316" s="517"/>
      <c r="CT316" s="517"/>
      <c r="CU316" s="517"/>
      <c r="CV316" s="517"/>
      <c r="CW316" s="517"/>
      <c r="CX316" s="517"/>
      <c r="CY316" s="517"/>
      <c r="CZ316" s="517"/>
      <c r="DA316" s="517"/>
      <c r="DB316" s="517"/>
      <c r="DC316" s="517"/>
      <c r="DD316" s="517"/>
      <c r="DE316" s="517"/>
      <c r="DF316" s="517"/>
      <c r="DG316" s="517"/>
      <c r="DH316" s="517"/>
      <c r="DI316" s="517"/>
      <c r="DJ316" s="517"/>
      <c r="DK316" s="517"/>
      <c r="DL316" s="517"/>
      <c r="DM316" s="517"/>
      <c r="DN316" s="517"/>
      <c r="DO316" s="517"/>
      <c r="DP316" s="517"/>
      <c r="DQ316" s="517"/>
      <c r="DR316" s="517"/>
      <c r="DS316" s="517"/>
      <c r="DT316" s="517"/>
      <c r="DU316" s="517"/>
      <c r="DV316" s="517"/>
      <c r="DW316" s="517"/>
      <c r="DX316" s="517"/>
      <c r="DY316" s="517"/>
      <c r="DZ316" s="517"/>
      <c r="EA316" s="517"/>
      <c r="EB316" s="517"/>
      <c r="EC316" s="517"/>
      <c r="ED316" s="517"/>
      <c r="EE316" s="517"/>
      <c r="EF316" s="517"/>
      <c r="EG316" s="517"/>
      <c r="EH316" s="517"/>
      <c r="EI316" s="517"/>
      <c r="EJ316" s="517"/>
      <c r="EK316" s="517"/>
      <c r="EL316" s="517"/>
      <c r="EM316" s="517"/>
      <c r="EN316" s="517"/>
      <c r="EO316" s="517"/>
      <c r="EP316" s="517"/>
      <c r="EQ316" s="517"/>
      <c r="ER316" s="517"/>
      <c r="ES316" s="517"/>
      <c r="ET316" s="517"/>
      <c r="EU316" s="517"/>
      <c r="EV316" s="517"/>
      <c r="EW316" s="517"/>
      <c r="EX316" s="517"/>
      <c r="EY316" s="517"/>
      <c r="EZ316" s="517"/>
      <c r="FA316" s="517"/>
      <c r="FB316" s="517"/>
      <c r="FC316" s="517"/>
      <c r="FD316" s="517"/>
      <c r="FE316" s="517"/>
      <c r="FF316" s="517"/>
      <c r="FG316" s="517"/>
      <c r="FH316" s="517"/>
      <c r="FI316" s="517"/>
      <c r="FJ316" s="517"/>
      <c r="FK316" s="517"/>
      <c r="FL316" s="517"/>
      <c r="FM316" s="517"/>
      <c r="FN316" s="517"/>
      <c r="FO316" s="517"/>
      <c r="FP316" s="517"/>
      <c r="FQ316" s="517"/>
      <c r="FR316" s="517"/>
      <c r="FS316" s="517"/>
      <c r="FT316" s="517"/>
      <c r="FU316" s="517"/>
      <c r="FV316" s="517"/>
      <c r="FW316" s="517"/>
      <c r="FX316" s="517"/>
      <c r="FY316" s="517"/>
      <c r="FZ316" s="517"/>
      <c r="GA316" s="517"/>
      <c r="GB316" s="517"/>
      <c r="GC316" s="517"/>
      <c r="GD316" s="517"/>
      <c r="GE316" s="517"/>
      <c r="GF316" s="517"/>
      <c r="GG316" s="517"/>
      <c r="GH316" s="517"/>
      <c r="GI316" s="517"/>
      <c r="GJ316" s="517"/>
      <c r="GK316" s="517"/>
      <c r="GL316" s="517"/>
      <c r="GM316" s="517"/>
      <c r="GN316" s="517"/>
      <c r="GO316" s="517"/>
      <c r="GP316" s="517"/>
      <c r="GQ316" s="517"/>
      <c r="GR316" s="517"/>
      <c r="GS316" s="517"/>
      <c r="GT316" s="517"/>
      <c r="GU316" s="517"/>
      <c r="GV316" s="517"/>
      <c r="GW316" s="517"/>
      <c r="GX316" s="517"/>
      <c r="GY316" s="517"/>
      <c r="GZ316" s="517"/>
      <c r="HA316" s="517"/>
      <c r="HB316" s="517"/>
      <c r="HC316" s="517"/>
      <c r="HD316" s="517"/>
      <c r="HE316" s="517"/>
      <c r="HF316" s="517"/>
      <c r="HG316" s="517"/>
      <c r="HH316" s="517"/>
      <c r="HI316" s="517"/>
      <c r="HJ316" s="517"/>
      <c r="HK316" s="517"/>
      <c r="HL316" s="517"/>
      <c r="HM316" s="517"/>
      <c r="HN316" s="517"/>
      <c r="HO316" s="517"/>
      <c r="HP316" s="517"/>
      <c r="HQ316" s="517"/>
      <c r="HR316" s="517"/>
      <c r="HS316" s="517"/>
      <c r="HT316" s="517"/>
      <c r="HU316" s="517"/>
      <c r="HV316" s="517"/>
      <c r="HW316" s="517"/>
      <c r="HX316" s="517"/>
      <c r="HY316" s="517"/>
      <c r="HZ316" s="517"/>
      <c r="IA316" s="517"/>
      <c r="IB316" s="517"/>
      <c r="IC316" s="517"/>
      <c r="ID316" s="517"/>
      <c r="IE316" s="517"/>
      <c r="IF316" s="517"/>
      <c r="IG316" s="517"/>
      <c r="IH316" s="517"/>
      <c r="II316" s="517"/>
      <c r="IJ316" s="517"/>
      <c r="IK316" s="517"/>
      <c r="IL316" s="517"/>
      <c r="IM316" s="517"/>
      <c r="IN316" s="517"/>
      <c r="IO316" s="517"/>
      <c r="IP316" s="517"/>
      <c r="IQ316" s="517"/>
      <c r="IR316" s="517"/>
      <c r="IS316" s="517"/>
      <c r="IT316" s="517"/>
      <c r="IU316" s="517"/>
      <c r="IV316" s="517"/>
      <c r="BFO316" s="77"/>
    </row>
    <row r="317" spans="1:256 1523:1523" s="67" customFormat="1" ht="22.5" customHeight="1">
      <c r="A317" s="75"/>
      <c r="B317" s="266" t="s">
        <v>1526</v>
      </c>
      <c r="C317" s="1131" t="s">
        <v>2631</v>
      </c>
      <c r="D317" s="1130"/>
      <c r="E317" s="1130"/>
      <c r="F317" s="1130"/>
      <c r="G317" s="4136" t="s">
        <v>2632</v>
      </c>
      <c r="H317" s="4136"/>
      <c r="I317" s="4136"/>
      <c r="J317" s="4136"/>
      <c r="K317" s="4136"/>
      <c r="L317" s="4136"/>
      <c r="M317" s="4136"/>
      <c r="N317" s="4136"/>
      <c r="O317" s="246"/>
      <c r="P317" s="517"/>
      <c r="Q317" s="517"/>
      <c r="R317" s="229"/>
      <c r="S317" s="1046"/>
      <c r="T317" s="1046"/>
      <c r="U317" s="1046"/>
      <c r="V317" s="1046"/>
      <c r="W317" s="1046"/>
      <c r="X317" s="1046"/>
      <c r="Y317" s="1046"/>
      <c r="Z317" s="1046"/>
      <c r="AA317" s="1046"/>
      <c r="AB317" s="1046"/>
      <c r="AC317" s="1046"/>
      <c r="AD317" s="1046"/>
      <c r="AE317" s="1046"/>
      <c r="AF317" s="1046"/>
      <c r="AG317" s="1046"/>
      <c r="AH317" s="1046"/>
      <c r="AI317" s="1046"/>
      <c r="AJ317" s="1046"/>
      <c r="AK317" s="1046"/>
      <c r="AL317" s="1046"/>
      <c r="AM317" s="1046"/>
      <c r="AN317" s="1046"/>
      <c r="AO317" s="1046"/>
      <c r="AP317" s="1046"/>
      <c r="AQ317" s="1046"/>
      <c r="AR317" s="1046"/>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2468</v>
      </c>
      <c r="C318" s="4024"/>
      <c r="D318" s="4025"/>
      <c r="E318" s="4025"/>
      <c r="F318" s="4025"/>
      <c r="G318" s="4025"/>
      <c r="H318" s="4025"/>
      <c r="I318" s="4025"/>
      <c r="J318" s="4025"/>
      <c r="K318" s="4025"/>
      <c r="L318" s="4025"/>
      <c r="M318" s="4025"/>
      <c r="N318" s="4026"/>
      <c r="O318" s="84" t="s">
        <v>2633</v>
      </c>
      <c r="P318" s="1374"/>
      <c r="Q318" s="1375"/>
      <c r="R318" s="229"/>
      <c r="S318" s="1046"/>
      <c r="T318" s="1046"/>
      <c r="U318" s="1046"/>
      <c r="V318" s="1046"/>
      <c r="W318" s="1046"/>
      <c r="X318" s="1046"/>
      <c r="Y318" s="1046"/>
      <c r="Z318" s="1046"/>
      <c r="AA318" s="1046"/>
      <c r="AB318" s="1046"/>
      <c r="AC318" s="1046"/>
      <c r="AD318" s="1046"/>
      <c r="AE318" s="1046"/>
      <c r="AF318" s="1046"/>
      <c r="AG318" s="1046"/>
      <c r="AH318" s="1046"/>
      <c r="AI318" s="1046"/>
      <c r="AJ318" s="1046"/>
      <c r="AK318" s="1046"/>
      <c r="AL318" s="1046"/>
      <c r="AM318" s="1046"/>
      <c r="AN318" s="1046"/>
      <c r="AO318" s="1046"/>
      <c r="AP318" s="1046"/>
      <c r="AQ318" s="1046"/>
      <c r="AR318" s="1046"/>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2470</v>
      </c>
      <c r="C319" s="4043"/>
      <c r="D319" s="4044"/>
      <c r="E319" s="4044"/>
      <c r="F319" s="4044"/>
      <c r="G319" s="4044"/>
      <c r="H319" s="4044"/>
      <c r="I319" s="4044"/>
      <c r="J319" s="4044"/>
      <c r="K319" s="4044"/>
      <c r="L319" s="4044"/>
      <c r="M319" s="4044"/>
      <c r="N319" s="4045"/>
      <c r="O319" s="84" t="s">
        <v>2634</v>
      </c>
      <c r="P319" s="2583"/>
      <c r="Q319" s="2581"/>
      <c r="R319" s="229"/>
      <c r="S319" s="1046"/>
      <c r="T319" s="1046"/>
      <c r="U319" s="1046"/>
      <c r="V319" s="1046"/>
      <c r="W319" s="1046"/>
      <c r="X319" s="1046"/>
      <c r="Y319" s="1046"/>
      <c r="Z319" s="1046"/>
      <c r="AA319" s="1046"/>
      <c r="AB319" s="1046"/>
      <c r="AC319" s="1046"/>
      <c r="AD319" s="1046"/>
      <c r="AE319" s="1046"/>
      <c r="AF319" s="1046"/>
      <c r="AG319" s="1046"/>
      <c r="AH319" s="1046"/>
      <c r="AI319" s="1046"/>
      <c r="AJ319" s="1046"/>
      <c r="AK319" s="1046"/>
      <c r="AL319" s="1046"/>
      <c r="AM319" s="1046"/>
      <c r="AN319" s="1046"/>
      <c r="AO319" s="1046"/>
      <c r="AP319" s="1046"/>
      <c r="AQ319" s="1046"/>
      <c r="AR319" s="1046"/>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232</v>
      </c>
      <c r="B320" s="3998" t="s">
        <v>2635</v>
      </c>
      <c r="C320" s="3998"/>
      <c r="D320" s="3998"/>
      <c r="E320" s="3998"/>
      <c r="F320" s="3998"/>
      <c r="G320" s="3998"/>
      <c r="H320" s="3998"/>
      <c r="I320" s="3998"/>
      <c r="J320" s="3998"/>
      <c r="K320" s="3998"/>
      <c r="L320" s="3998"/>
      <c r="M320" s="3998"/>
      <c r="N320" s="3998"/>
      <c r="O320" s="84" t="s">
        <v>232</v>
      </c>
      <c r="P320" s="2583"/>
      <c r="Q320" s="2581"/>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7"/>
      <c r="B321" s="517"/>
      <c r="C321" s="517"/>
      <c r="D321" s="517"/>
      <c r="E321" s="517"/>
      <c r="F321" s="517"/>
      <c r="G321" s="517"/>
      <c r="H321" s="517"/>
      <c r="I321" s="517"/>
      <c r="J321" s="517"/>
      <c r="K321" s="517"/>
      <c r="L321" s="517"/>
      <c r="M321" s="517"/>
      <c r="N321" s="517"/>
      <c r="O321" s="517"/>
      <c r="P321" s="517"/>
      <c r="Q321" s="517"/>
      <c r="R321" s="517"/>
      <c r="S321" s="1053"/>
      <c r="T321" s="1053"/>
      <c r="U321" s="1053"/>
      <c r="V321" s="1053"/>
      <c r="W321" s="1053"/>
      <c r="X321" s="1053"/>
      <c r="Y321" s="1053"/>
      <c r="Z321" s="1053"/>
      <c r="AA321" s="1053"/>
      <c r="AB321" s="1053"/>
      <c r="AC321" s="1053"/>
      <c r="AD321" s="1053"/>
      <c r="AE321" s="1053"/>
      <c r="AF321" s="1053"/>
      <c r="AG321" s="1053"/>
      <c r="AH321" s="1053"/>
      <c r="AI321" s="1053"/>
      <c r="AJ321" s="1053"/>
      <c r="AK321" s="1053"/>
      <c r="AL321" s="1053"/>
      <c r="AM321" s="1053"/>
      <c r="AN321" s="1053"/>
      <c r="AO321" s="1053"/>
      <c r="AP321" s="1053"/>
      <c r="AQ321" s="1053"/>
      <c r="AR321" s="1053"/>
      <c r="AS321" s="517"/>
      <c r="AT321" s="517"/>
      <c r="AU321" s="517"/>
      <c r="AV321" s="517"/>
      <c r="AW321" s="517"/>
      <c r="AX321" s="517"/>
      <c r="AY321" s="517"/>
      <c r="AZ321" s="517"/>
      <c r="BA321" s="517"/>
      <c r="BB321" s="517"/>
      <c r="BC321" s="517"/>
      <c r="BD321" s="517"/>
      <c r="BE321" s="517"/>
      <c r="BF321" s="517"/>
      <c r="BG321" s="517"/>
      <c r="BH321" s="517"/>
      <c r="BI321" s="517"/>
      <c r="BJ321" s="517"/>
      <c r="BK321" s="517"/>
      <c r="BL321" s="517"/>
      <c r="BM321" s="517"/>
      <c r="BN321" s="517"/>
      <c r="BO321" s="517"/>
      <c r="BP321" s="517"/>
      <c r="BQ321" s="517"/>
      <c r="BR321" s="517"/>
      <c r="BS321" s="517"/>
      <c r="BT321" s="517"/>
      <c r="BU321" s="517"/>
      <c r="BV321" s="517"/>
      <c r="BW321" s="517"/>
      <c r="BX321" s="517"/>
      <c r="BY321" s="517"/>
      <c r="BZ321" s="517"/>
      <c r="CA321" s="517"/>
      <c r="CB321" s="517"/>
      <c r="CC321" s="517"/>
      <c r="CD321" s="517"/>
      <c r="CE321" s="517"/>
      <c r="CF321" s="517"/>
      <c r="CG321" s="517"/>
      <c r="CH321" s="517"/>
      <c r="CI321" s="517"/>
      <c r="CJ321" s="517"/>
      <c r="CK321" s="517"/>
      <c r="CL321" s="517"/>
      <c r="CM321" s="517"/>
      <c r="CN321" s="517"/>
      <c r="CO321" s="517"/>
      <c r="CP321" s="517"/>
      <c r="CQ321" s="517"/>
      <c r="CR321" s="517"/>
      <c r="CS321" s="517"/>
      <c r="CT321" s="517"/>
      <c r="CU321" s="517"/>
      <c r="CV321" s="517"/>
      <c r="CW321" s="517"/>
      <c r="CX321" s="517"/>
      <c r="CY321" s="517"/>
      <c r="CZ321" s="517"/>
      <c r="DA321" s="517"/>
      <c r="DB321" s="517"/>
      <c r="DC321" s="517"/>
      <c r="DD321" s="517"/>
      <c r="DE321" s="517"/>
      <c r="DF321" s="517"/>
      <c r="DG321" s="517"/>
      <c r="DH321" s="517"/>
      <c r="DI321" s="517"/>
      <c r="DJ321" s="517"/>
      <c r="DK321" s="517"/>
      <c r="DL321" s="517"/>
      <c r="DM321" s="517"/>
      <c r="DN321" s="517"/>
      <c r="DO321" s="517"/>
      <c r="DP321" s="517"/>
      <c r="DQ321" s="517"/>
      <c r="DR321" s="517"/>
      <c r="DS321" s="517"/>
      <c r="DT321" s="517"/>
      <c r="DU321" s="517"/>
      <c r="DV321" s="517"/>
      <c r="DW321" s="517"/>
      <c r="DX321" s="517"/>
      <c r="DY321" s="517"/>
      <c r="DZ321" s="517"/>
      <c r="EA321" s="517"/>
      <c r="EB321" s="517"/>
      <c r="EC321" s="517"/>
      <c r="ED321" s="517"/>
      <c r="EE321" s="517"/>
      <c r="EF321" s="517"/>
      <c r="EG321" s="517"/>
      <c r="EH321" s="517"/>
      <c r="EI321" s="517"/>
      <c r="EJ321" s="517"/>
      <c r="EK321" s="517"/>
      <c r="EL321" s="517"/>
      <c r="EM321" s="517"/>
      <c r="EN321" s="517"/>
      <c r="EO321" s="517"/>
      <c r="EP321" s="517"/>
      <c r="EQ321" s="517"/>
      <c r="ER321" s="517"/>
      <c r="ES321" s="517"/>
      <c r="ET321" s="517"/>
      <c r="EU321" s="517"/>
      <c r="EV321" s="517"/>
      <c r="EW321" s="517"/>
      <c r="EX321" s="517"/>
      <c r="EY321" s="517"/>
      <c r="EZ321" s="517"/>
      <c r="FA321" s="517"/>
      <c r="FB321" s="517"/>
      <c r="FC321" s="517"/>
      <c r="FD321" s="517"/>
      <c r="FE321" s="517"/>
      <c r="FF321" s="517"/>
      <c r="FG321" s="517"/>
      <c r="FH321" s="517"/>
      <c r="FI321" s="517"/>
      <c r="FJ321" s="517"/>
      <c r="FK321" s="517"/>
      <c r="FL321" s="517"/>
      <c r="FM321" s="517"/>
      <c r="FN321" s="517"/>
      <c r="FO321" s="517"/>
      <c r="FP321" s="517"/>
      <c r="FQ321" s="517"/>
      <c r="FR321" s="517"/>
      <c r="FS321" s="517"/>
      <c r="FT321" s="517"/>
      <c r="FU321" s="517"/>
      <c r="FV321" s="517"/>
      <c r="FW321" s="517"/>
      <c r="FX321" s="517"/>
      <c r="FY321" s="517"/>
      <c r="FZ321" s="517"/>
      <c r="GA321" s="517"/>
      <c r="GB321" s="517"/>
      <c r="GC321" s="517"/>
      <c r="GD321" s="517"/>
      <c r="GE321" s="517"/>
      <c r="GF321" s="517"/>
      <c r="GG321" s="517"/>
      <c r="GH321" s="517"/>
      <c r="GI321" s="517"/>
      <c r="GJ321" s="517"/>
      <c r="GK321" s="517"/>
      <c r="GL321" s="517"/>
      <c r="GM321" s="517"/>
      <c r="GN321" s="517"/>
      <c r="GO321" s="517"/>
      <c r="GP321" s="517"/>
      <c r="GQ321" s="517"/>
      <c r="GR321" s="517"/>
      <c r="GS321" s="517"/>
      <c r="GT321" s="517"/>
      <c r="GU321" s="517"/>
      <c r="GV321" s="517"/>
      <c r="GW321" s="517"/>
      <c r="GX321" s="517"/>
      <c r="GY321" s="517"/>
      <c r="GZ321" s="517"/>
      <c r="HA321" s="517"/>
      <c r="HB321" s="517"/>
      <c r="HC321" s="517"/>
      <c r="HD321" s="517"/>
      <c r="HE321" s="517"/>
      <c r="HF321" s="517"/>
      <c r="HG321" s="517"/>
      <c r="HH321" s="517"/>
      <c r="HI321" s="517"/>
      <c r="HJ321" s="517"/>
      <c r="HK321" s="517"/>
      <c r="HL321" s="517"/>
      <c r="HM321" s="517"/>
      <c r="HN321" s="517"/>
      <c r="HO321" s="517"/>
      <c r="HP321" s="517"/>
      <c r="HQ321" s="517"/>
      <c r="HR321" s="517"/>
      <c r="HS321" s="517"/>
      <c r="HT321" s="517"/>
      <c r="HU321" s="517"/>
      <c r="HV321" s="517"/>
      <c r="HW321" s="517"/>
      <c r="HX321" s="517"/>
      <c r="HY321" s="517"/>
      <c r="HZ321" s="517"/>
      <c r="IA321" s="517"/>
      <c r="IB321" s="517"/>
      <c r="IC321" s="517"/>
      <c r="ID321" s="517"/>
      <c r="IE321" s="517"/>
      <c r="IF321" s="517"/>
      <c r="IG321" s="517"/>
      <c r="IH321" s="517"/>
      <c r="II321" s="517"/>
      <c r="IJ321" s="517"/>
      <c r="IK321" s="517"/>
      <c r="IL321" s="517"/>
      <c r="IM321" s="517"/>
      <c r="IN321" s="517"/>
      <c r="IO321" s="517"/>
      <c r="IP321" s="517"/>
      <c r="IQ321" s="517"/>
      <c r="IR321" s="517"/>
      <c r="IS321" s="517"/>
      <c r="IT321" s="517"/>
      <c r="IU321" s="517"/>
      <c r="IV321" s="517"/>
    </row>
    <row r="322" spans="1:256" ht="11.25" customHeight="1">
      <c r="A322" s="77"/>
      <c r="B322" s="74" t="s">
        <v>1450</v>
      </c>
      <c r="C322" s="77"/>
      <c r="D322" s="74"/>
      <c r="E322" s="74"/>
      <c r="F322" s="74"/>
      <c r="G322" s="74"/>
      <c r="H322" s="16"/>
      <c r="I322" s="2584"/>
      <c r="J322" s="2584"/>
      <c r="K322" s="2584"/>
      <c r="L322" s="517"/>
      <c r="M322" s="517"/>
      <c r="N322" s="517"/>
      <c r="O322" s="517"/>
      <c r="P322" s="517"/>
      <c r="Q322" s="517"/>
      <c r="R322" s="77"/>
      <c r="S322" s="1045"/>
      <c r="T322" s="1045"/>
      <c r="U322" s="1045"/>
      <c r="V322" s="1045"/>
      <c r="W322" s="1045"/>
      <c r="X322" s="1045"/>
      <c r="Y322" s="1045"/>
      <c r="Z322" s="1045"/>
      <c r="AA322" s="1045"/>
      <c r="AB322" s="1045"/>
      <c r="AC322" s="1045"/>
      <c r="AD322" s="1045"/>
      <c r="AE322" s="1045"/>
      <c r="AF322" s="1045"/>
      <c r="AG322" s="1045"/>
      <c r="AH322" s="1045"/>
      <c r="AI322" s="1045"/>
      <c r="AJ322" s="1045"/>
      <c r="AK322" s="1045"/>
      <c r="AL322" s="1045"/>
      <c r="AM322" s="1045"/>
      <c r="AN322" s="1045"/>
      <c r="AO322" s="1045"/>
      <c r="AP322" s="1045"/>
      <c r="AQ322" s="1045"/>
      <c r="AR322" s="1045"/>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65" customHeight="1">
      <c r="A323" s="3995"/>
      <c r="B323" s="3996"/>
      <c r="C323" s="3996"/>
      <c r="D323" s="3996"/>
      <c r="E323" s="3996"/>
      <c r="F323" s="3996"/>
      <c r="G323" s="3996"/>
      <c r="H323" s="3996"/>
      <c r="I323" s="3996"/>
      <c r="J323" s="3996"/>
      <c r="K323" s="3996"/>
      <c r="L323" s="3996"/>
      <c r="M323" s="3996"/>
      <c r="N323" s="3996"/>
      <c r="O323" s="3996"/>
      <c r="P323" s="3996"/>
      <c r="Q323" s="3997"/>
      <c r="R323" s="260" t="s">
        <v>2401</v>
      </c>
      <c r="S323" s="1054"/>
      <c r="T323" s="1045"/>
      <c r="U323" s="1044"/>
      <c r="V323" s="1044"/>
      <c r="W323" s="1044"/>
      <c r="X323" s="1044"/>
      <c r="Y323" s="1044"/>
      <c r="Z323" s="1044"/>
      <c r="AA323" s="1044"/>
      <c r="AB323" s="1044"/>
      <c r="AC323" s="1044"/>
      <c r="AD323" s="1044"/>
      <c r="AE323" s="1044"/>
      <c r="AF323" s="1045"/>
      <c r="AG323" s="1045"/>
      <c r="AH323" s="1045"/>
      <c r="AI323" s="1045"/>
      <c r="AJ323" s="1045"/>
      <c r="AK323" s="1045"/>
      <c r="AL323" s="1045"/>
      <c r="AM323" s="1045"/>
      <c r="AN323" s="1045"/>
      <c r="AO323" s="1045"/>
      <c r="AP323" s="1045"/>
      <c r="AQ323" s="1045"/>
      <c r="AR323" s="1045"/>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1447</v>
      </c>
      <c r="C324" s="71"/>
      <c r="D324" s="2574"/>
      <c r="E324" s="2574"/>
      <c r="F324" s="2574"/>
      <c r="G324" s="2574"/>
      <c r="H324" s="2574"/>
      <c r="I324" s="2574"/>
      <c r="J324" s="2574"/>
      <c r="K324" s="2574"/>
      <c r="L324" s="2574"/>
      <c r="M324" s="2574"/>
      <c r="N324" s="2574"/>
      <c r="O324" s="2574"/>
      <c r="P324" s="2574"/>
      <c r="Q324" s="2574"/>
      <c r="R324" s="77"/>
      <c r="S324" s="1045"/>
      <c r="T324" s="1045"/>
      <c r="U324" s="1045"/>
      <c r="V324" s="1045"/>
      <c r="W324" s="1045"/>
      <c r="X324" s="1045"/>
      <c r="Y324" s="1045"/>
      <c r="Z324" s="1045"/>
      <c r="AA324" s="1045"/>
      <c r="AB324" s="1045"/>
      <c r="AC324" s="1045"/>
      <c r="AD324" s="1045"/>
      <c r="AE324" s="1045"/>
      <c r="AF324" s="1045"/>
      <c r="AG324" s="1045"/>
      <c r="AH324" s="1045"/>
      <c r="AI324" s="1045"/>
      <c r="AJ324" s="1045"/>
      <c r="AK324" s="1045"/>
      <c r="AL324" s="1045"/>
      <c r="AM324" s="1045"/>
      <c r="AN324" s="1045"/>
      <c r="AO324" s="1045"/>
      <c r="AP324" s="1045"/>
      <c r="AQ324" s="1045"/>
      <c r="AR324" s="1045"/>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65" customHeight="1">
      <c r="A325" s="3999"/>
      <c r="B325" s="4000"/>
      <c r="C325" s="4000"/>
      <c r="D325" s="4000"/>
      <c r="E325" s="4000"/>
      <c r="F325" s="4000"/>
      <c r="G325" s="4000"/>
      <c r="H325" s="4000"/>
      <c r="I325" s="4000"/>
      <c r="J325" s="4000"/>
      <c r="K325" s="4000"/>
      <c r="L325" s="4000"/>
      <c r="M325" s="4000"/>
      <c r="N325" s="4000"/>
      <c r="O325" s="4000"/>
      <c r="P325" s="4000"/>
      <c r="Q325" s="4001"/>
      <c r="R325" s="77"/>
      <c r="S325" s="1045"/>
      <c r="T325" s="1045"/>
      <c r="U325" s="1045"/>
      <c r="V325" s="1045"/>
      <c r="W325" s="1045"/>
      <c r="X325" s="1045"/>
      <c r="Y325" s="1045"/>
      <c r="Z325" s="1045"/>
      <c r="AA325" s="1045"/>
      <c r="AB325" s="1045"/>
      <c r="AC325" s="1045"/>
      <c r="AD325" s="1045"/>
      <c r="AE325" s="1045"/>
      <c r="AF325" s="1045"/>
      <c r="AG325" s="1045"/>
      <c r="AH325" s="1045"/>
      <c r="AI325" s="1045"/>
      <c r="AJ325" s="1045"/>
      <c r="AK325" s="1045"/>
      <c r="AL325" s="1045"/>
      <c r="AM325" s="1045"/>
      <c r="AN325" s="1045"/>
      <c r="AO325" s="1045"/>
      <c r="AP325" s="1045"/>
      <c r="AQ325" s="1045"/>
      <c r="AR325" s="1045"/>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536" t="s">
        <v>1601</v>
      </c>
      <c r="B326" s="104" t="s">
        <v>2636</v>
      </c>
      <c r="C326" s="2536"/>
      <c r="D326" s="2574"/>
      <c r="E326" s="2574"/>
      <c r="F326" s="2574"/>
      <c r="G326" s="2574"/>
      <c r="H326" s="2574"/>
      <c r="I326" s="77"/>
      <c r="J326" s="77"/>
      <c r="K326" s="77"/>
      <c r="L326" s="77"/>
      <c r="M326" s="77"/>
      <c r="N326" s="643" t="s">
        <v>2453</v>
      </c>
      <c r="O326" s="66" t="s">
        <v>1444</v>
      </c>
      <c r="P326" s="4014"/>
      <c r="Q326" s="4003"/>
      <c r="R326" s="645" t="s">
        <v>2454</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65" customHeight="1">
      <c r="A327" s="22" t="s">
        <v>197</v>
      </c>
      <c r="B327" s="25" t="s">
        <v>2637</v>
      </c>
      <c r="C327" s="77"/>
      <c r="D327" s="77"/>
      <c r="E327" s="77"/>
      <c r="F327" s="77"/>
      <c r="G327" s="77"/>
      <c r="H327" s="77"/>
      <c r="I327" s="77"/>
      <c r="J327" s="77"/>
      <c r="K327" s="77"/>
      <c r="L327" s="77"/>
      <c r="M327" s="77"/>
      <c r="N327" s="77"/>
      <c r="O327" s="84" t="s">
        <v>197</v>
      </c>
      <c r="P327" s="935"/>
      <c r="Q327" s="936"/>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65" customHeight="1">
      <c r="A328" s="75" t="s">
        <v>209</v>
      </c>
      <c r="B328" s="25" t="s">
        <v>2638</v>
      </c>
      <c r="C328" s="77"/>
      <c r="D328" s="77"/>
      <c r="E328" s="77"/>
      <c r="F328" s="77"/>
      <c r="G328" s="77"/>
      <c r="H328" s="77"/>
      <c r="I328" s="77"/>
      <c r="J328" s="77"/>
      <c r="K328" s="77"/>
      <c r="L328" s="77"/>
      <c r="M328" s="77"/>
      <c r="N328" s="77"/>
      <c r="O328" s="84" t="s">
        <v>209</v>
      </c>
      <c r="P328" s="1326"/>
      <c r="Q328" s="2591"/>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65" customHeight="1">
      <c r="A329" s="75" t="s">
        <v>230</v>
      </c>
      <c r="B329" s="25" t="s">
        <v>2639</v>
      </c>
      <c r="C329" s="77"/>
      <c r="D329" s="77"/>
      <c r="E329" s="77"/>
      <c r="F329" s="77"/>
      <c r="G329" s="77"/>
      <c r="H329" s="77"/>
      <c r="I329" s="77"/>
      <c r="J329" s="77"/>
      <c r="K329" s="143"/>
      <c r="L329" s="77"/>
      <c r="M329" s="84" t="s">
        <v>230</v>
      </c>
      <c r="N329" s="4107" t="s">
        <v>730</v>
      </c>
      <c r="O329" s="4108"/>
      <c r="P329" s="4109" t="s">
        <v>730</v>
      </c>
      <c r="Q329" s="4110"/>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65" customHeight="1">
      <c r="A330" s="22" t="s">
        <v>232</v>
      </c>
      <c r="B330" s="25" t="s">
        <v>2640</v>
      </c>
      <c r="C330" s="77"/>
      <c r="D330" s="77"/>
      <c r="E330" s="77"/>
      <c r="F330" s="77"/>
      <c r="G330" s="77"/>
      <c r="H330" s="77"/>
      <c r="I330" s="77"/>
      <c r="J330" s="77"/>
      <c r="K330" s="77"/>
      <c r="L330" s="77"/>
      <c r="M330" s="77"/>
      <c r="N330" s="77"/>
      <c r="O330" s="28" t="s">
        <v>232</v>
      </c>
      <c r="P330" s="1032"/>
      <c r="Q330" s="1031"/>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65" customHeight="1">
      <c r="A331" s="75" t="s">
        <v>239</v>
      </c>
      <c r="B331" s="25" t="s">
        <v>2641</v>
      </c>
      <c r="C331" s="77"/>
      <c r="D331" s="77"/>
      <c r="E331" s="77"/>
      <c r="F331" s="77"/>
      <c r="G331" s="77"/>
      <c r="H331" s="77"/>
      <c r="I331" s="77"/>
      <c r="J331" s="77"/>
      <c r="K331" s="77"/>
      <c r="L331" s="77"/>
      <c r="M331" s="77"/>
      <c r="N331" s="84" t="s">
        <v>239</v>
      </c>
      <c r="O331" s="4101" t="s">
        <v>82</v>
      </c>
      <c r="P331" s="4102"/>
      <c r="Q331" s="4103"/>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65" customHeight="1">
      <c r="A332" s="75" t="s">
        <v>241</v>
      </c>
      <c r="B332" s="39" t="s">
        <v>2642</v>
      </c>
      <c r="C332" s="77"/>
      <c r="D332" s="77"/>
      <c r="E332" s="77"/>
      <c r="F332" s="77"/>
      <c r="G332" s="77"/>
      <c r="H332" s="77"/>
      <c r="I332" s="77"/>
      <c r="J332" s="77"/>
      <c r="K332" s="77"/>
      <c r="L332" s="77"/>
      <c r="M332" s="77"/>
      <c r="N332" s="84" t="s">
        <v>241</v>
      </c>
      <c r="O332" s="4063" t="s">
        <v>82</v>
      </c>
      <c r="P332" s="4064"/>
      <c r="Q332" s="4065"/>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1450</v>
      </c>
      <c r="C333" s="77"/>
      <c r="D333" s="74"/>
      <c r="E333" s="74"/>
      <c r="F333" s="74"/>
      <c r="G333" s="74"/>
      <c r="H333" s="16"/>
      <c r="I333" s="2584"/>
      <c r="J333" s="2584"/>
      <c r="K333" s="2584"/>
      <c r="L333" s="517"/>
      <c r="M333" s="517"/>
      <c r="N333" s="517"/>
      <c r="O333" s="517"/>
      <c r="P333" s="517"/>
      <c r="Q333" s="517"/>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995"/>
      <c r="B334" s="3996"/>
      <c r="C334" s="3996"/>
      <c r="D334" s="3996"/>
      <c r="E334" s="3996"/>
      <c r="F334" s="3996"/>
      <c r="G334" s="3996"/>
      <c r="H334" s="3996"/>
      <c r="I334" s="3996"/>
      <c r="J334" s="3996"/>
      <c r="K334" s="3996"/>
      <c r="L334" s="3996"/>
      <c r="M334" s="3996"/>
      <c r="N334" s="3996"/>
      <c r="O334" s="3996"/>
      <c r="P334" s="3996"/>
      <c r="Q334" s="3997"/>
      <c r="R334" s="248" t="s">
        <v>2401</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1447</v>
      </c>
      <c r="C335" s="71"/>
      <c r="D335" s="2574"/>
      <c r="E335" s="2574"/>
      <c r="F335" s="2574"/>
      <c r="G335" s="2574"/>
      <c r="H335" s="2574"/>
      <c r="I335" s="2574"/>
      <c r="J335" s="2574"/>
      <c r="K335" s="2574"/>
      <c r="L335" s="2574"/>
      <c r="M335" s="2574"/>
      <c r="N335" s="2574"/>
      <c r="O335" s="2574"/>
      <c r="P335" s="2574"/>
      <c r="Q335" s="257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999"/>
      <c r="B336" s="4000"/>
      <c r="C336" s="4000"/>
      <c r="D336" s="4000"/>
      <c r="E336" s="4000"/>
      <c r="F336" s="4000"/>
      <c r="G336" s="4000"/>
      <c r="H336" s="4000"/>
      <c r="I336" s="4000"/>
      <c r="J336" s="4000"/>
      <c r="K336" s="4000"/>
      <c r="L336" s="4000"/>
      <c r="M336" s="4000"/>
      <c r="N336" s="4000"/>
      <c r="O336" s="4000"/>
      <c r="P336" s="4000"/>
      <c r="Q336" s="4001"/>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7"/>
      <c r="B337" s="2584"/>
      <c r="C337" s="2574"/>
      <c r="D337" s="2574"/>
      <c r="E337" s="2574"/>
      <c r="F337" s="2574"/>
      <c r="G337" s="2574"/>
      <c r="H337" s="2574"/>
      <c r="I337" s="2574"/>
      <c r="J337" s="2574"/>
      <c r="K337" s="2574"/>
      <c r="L337" s="2574"/>
      <c r="M337" s="2574"/>
      <c r="N337" s="2574"/>
      <c r="O337" s="2574"/>
      <c r="P337" s="2574"/>
      <c r="Q337" s="517"/>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536" t="s">
        <v>1606</v>
      </c>
      <c r="B338" s="3" t="s">
        <v>1590</v>
      </c>
      <c r="C338" s="3"/>
      <c r="D338" s="3"/>
      <c r="E338" s="3"/>
      <c r="F338" s="3"/>
      <c r="G338" s="3"/>
      <c r="H338" s="2574"/>
      <c r="I338" s="2574"/>
      <c r="J338" s="2574"/>
      <c r="K338" s="2574"/>
      <c r="L338" s="2574"/>
      <c r="M338" s="2574"/>
      <c r="N338" s="85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1444</v>
      </c>
      <c r="P338" s="4014"/>
      <c r="Q338" s="4003"/>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536"/>
      <c r="B339" s="13" t="s">
        <v>2643</v>
      </c>
      <c r="C339" s="3"/>
      <c r="D339" s="3"/>
      <c r="E339" s="3"/>
      <c r="F339" s="3"/>
      <c r="G339" s="3"/>
      <c r="H339" s="2574"/>
      <c r="I339" s="2574"/>
      <c r="J339" s="2574"/>
      <c r="K339" s="2574"/>
      <c r="L339" s="2574"/>
      <c r="M339" s="2574"/>
      <c r="N339" s="288"/>
      <c r="O339" s="77"/>
      <c r="P339" s="66"/>
      <c r="Q339" s="1476"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536"/>
      <c r="B340" s="13" t="s">
        <v>2644</v>
      </c>
      <c r="C340" s="3"/>
      <c r="D340" s="3"/>
      <c r="E340" s="3"/>
      <c r="F340" s="3"/>
      <c r="G340" s="3"/>
      <c r="H340" s="2574"/>
      <c r="I340" s="2574"/>
      <c r="J340" s="2574"/>
      <c r="K340" s="2574"/>
      <c r="L340" s="2574"/>
      <c r="M340" s="2574"/>
      <c r="N340" s="288"/>
      <c r="O340" s="66"/>
      <c r="P340" s="267"/>
      <c r="Q340" s="306"/>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197</v>
      </c>
      <c r="B341" s="3998" t="s">
        <v>2645</v>
      </c>
      <c r="C341" s="3998"/>
      <c r="D341" s="3998"/>
      <c r="E341" s="3998"/>
      <c r="F341" s="3998"/>
      <c r="G341" s="3998"/>
      <c r="H341" s="3998"/>
      <c r="I341" s="3998"/>
      <c r="J341" s="3998"/>
      <c r="K341" s="3998"/>
      <c r="L341" s="3998"/>
      <c r="M341" s="3998"/>
      <c r="N341" s="3998"/>
      <c r="O341" s="84" t="s">
        <v>197</v>
      </c>
      <c r="P341" s="1374"/>
      <c r="Q341" s="137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1521</v>
      </c>
      <c r="C342" s="13" t="s">
        <v>2646</v>
      </c>
      <c r="D342" s="13"/>
      <c r="E342" s="13"/>
      <c r="F342" s="13"/>
      <c r="G342" s="13"/>
      <c r="H342" s="13"/>
      <c r="I342" s="13"/>
      <c r="J342" s="13"/>
      <c r="K342" s="43"/>
      <c r="L342" s="43"/>
      <c r="M342" s="43"/>
      <c r="N342" s="43"/>
      <c r="O342" s="28" t="s">
        <v>2532</v>
      </c>
      <c r="P342" s="1376"/>
      <c r="Q342" s="137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6"/>
      <c r="C343" s="13" t="s">
        <v>1226</v>
      </c>
      <c r="D343" s="13"/>
      <c r="E343" s="1133" t="e">
        <f>#REF!</f>
        <v>#REF!</v>
      </c>
      <c r="F343" s="13" t="s">
        <v>2647</v>
      </c>
      <c r="G343" s="1134" t="e">
        <f>#REF!</f>
        <v>#REF!</v>
      </c>
      <c r="H343" s="43"/>
      <c r="I343" s="13" t="s">
        <v>1236</v>
      </c>
      <c r="J343" s="43"/>
      <c r="K343" s="43"/>
      <c r="L343" s="1133" t="e">
        <f>#REF!</f>
        <v>#REF!</v>
      </c>
      <c r="M343" s="28" t="s">
        <v>2648</v>
      </c>
      <c r="N343" s="1132" t="e">
        <f>IF(E343=0,"",(G343+L343)/E343)</f>
        <v>#REF!</v>
      </c>
      <c r="P343" s="73"/>
      <c r="Q343" s="73"/>
      <c r="S343" s="1045"/>
      <c r="T343" s="1045"/>
      <c r="U343" s="1045"/>
      <c r="V343" s="1045"/>
      <c r="W343" s="1045"/>
      <c r="X343" s="1045"/>
      <c r="Y343" s="1045"/>
      <c r="Z343" s="1045"/>
      <c r="AA343" s="1045"/>
      <c r="AB343" s="1045"/>
      <c r="AC343" s="1045"/>
      <c r="AD343" s="1045"/>
      <c r="AE343" s="1045"/>
      <c r="AF343" s="1045"/>
      <c r="AG343" s="1045"/>
      <c r="AH343" s="1045"/>
      <c r="AI343" s="1045"/>
      <c r="AJ343" s="1045"/>
      <c r="AK343" s="1045"/>
      <c r="AL343" s="1045"/>
      <c r="AM343" s="1045"/>
      <c r="AN343" s="1045"/>
      <c r="AO343" s="1045"/>
      <c r="AP343" s="1045"/>
      <c r="AQ343" s="1045"/>
      <c r="AR343" s="1045"/>
    </row>
    <row r="344" spans="1:44">
      <c r="A344" s="75" t="s">
        <v>209</v>
      </c>
      <c r="B344" s="3998" t="s">
        <v>2649</v>
      </c>
      <c r="C344" s="3998"/>
      <c r="D344" s="3998"/>
      <c r="E344" s="3998"/>
      <c r="F344" s="3998"/>
      <c r="G344" s="3998"/>
      <c r="H344" s="3998"/>
      <c r="I344" s="3998"/>
      <c r="J344" s="3998"/>
      <c r="K344" s="3998"/>
      <c r="L344" s="3998"/>
      <c r="M344" s="3998"/>
      <c r="N344" s="3998"/>
      <c r="O344" s="84" t="s">
        <v>209</v>
      </c>
      <c r="P344" s="674"/>
      <c r="Q344" s="675"/>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6"/>
      <c r="C345" s="13" t="s">
        <v>1226</v>
      </c>
      <c r="D345" s="13"/>
      <c r="E345" s="1133" t="e">
        <f>#REF!</f>
        <v>#REF!</v>
      </c>
      <c r="F345" s="13" t="s">
        <v>2650</v>
      </c>
      <c r="H345" s="43"/>
      <c r="L345" s="1495"/>
      <c r="M345" s="28" t="s">
        <v>2648</v>
      </c>
      <c r="N345" s="1132" t="e">
        <f>IF(E345=0,"",L345/E345)</f>
        <v>#REF!</v>
      </c>
      <c r="P345" s="73"/>
      <c r="Q345" s="73"/>
      <c r="S345" s="1045"/>
      <c r="T345" s="1045"/>
      <c r="U345" s="1045"/>
      <c r="V345" s="1045"/>
      <c r="W345" s="1045"/>
      <c r="X345" s="1045"/>
      <c r="Y345" s="1045"/>
      <c r="Z345" s="1045"/>
      <c r="AA345" s="1045"/>
      <c r="AB345" s="1045"/>
      <c r="AC345" s="1045"/>
      <c r="AD345" s="1045"/>
      <c r="AE345" s="1045"/>
      <c r="AF345" s="1045"/>
      <c r="AG345" s="1045"/>
      <c r="AH345" s="1045"/>
      <c r="AI345" s="1045"/>
      <c r="AJ345" s="1045"/>
      <c r="AK345" s="1045"/>
      <c r="AL345" s="1045"/>
      <c r="AM345" s="1045"/>
      <c r="AN345" s="1045"/>
      <c r="AO345" s="1045"/>
      <c r="AP345" s="1045"/>
      <c r="AQ345" s="1045"/>
      <c r="AR345" s="1045"/>
    </row>
    <row r="346" spans="1:44" ht="21.75" customHeight="1">
      <c r="A346" s="75" t="s">
        <v>230</v>
      </c>
      <c r="B346" s="3998" t="s">
        <v>2651</v>
      </c>
      <c r="C346" s="3998"/>
      <c r="D346" s="3998"/>
      <c r="E346" s="3998"/>
      <c r="F346" s="3998"/>
      <c r="G346" s="3998"/>
      <c r="H346" s="3998"/>
      <c r="I346" s="3998"/>
      <c r="J346" s="3998"/>
      <c r="K346" s="3998"/>
      <c r="L346" s="3998"/>
      <c r="M346" s="3998"/>
      <c r="N346" s="3998"/>
      <c r="O346" s="84" t="s">
        <v>230</v>
      </c>
      <c r="P346" s="1374"/>
      <c r="Q346" s="137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521"/>
      <c r="B347" s="264" t="s">
        <v>1521</v>
      </c>
      <c r="C347" s="25" t="s">
        <v>2652</v>
      </c>
      <c r="D347" s="6"/>
      <c r="E347" s="6"/>
      <c r="F347" s="6"/>
      <c r="G347" s="6"/>
      <c r="H347" s="2576"/>
      <c r="I347" s="2576"/>
      <c r="J347" s="2576"/>
      <c r="K347" s="2576"/>
      <c r="L347" s="2576"/>
      <c r="M347" s="2576"/>
      <c r="N347" s="1373"/>
      <c r="O347" s="28" t="s">
        <v>2586</v>
      </c>
      <c r="P347" s="1378"/>
      <c r="Q347" s="137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6"/>
      <c r="C348" s="13" t="s">
        <v>1226</v>
      </c>
      <c r="D348" s="13"/>
      <c r="E348" s="1133" t="e">
        <f>#REF!</f>
        <v>#REF!</v>
      </c>
      <c r="F348" s="13" t="s">
        <v>2647</v>
      </c>
      <c r="G348" s="1134" t="e">
        <f>#REF!</f>
        <v>#REF!</v>
      </c>
      <c r="H348" s="43"/>
      <c r="I348" s="13" t="s">
        <v>1236</v>
      </c>
      <c r="J348" s="43"/>
      <c r="K348" s="43"/>
      <c r="L348" s="1133" t="e">
        <f>#REF!</f>
        <v>#REF!</v>
      </c>
      <c r="M348" s="28" t="s">
        <v>2648</v>
      </c>
      <c r="N348" s="1132" t="e">
        <f>IF(E348=0,"",(G348+L348)/E348)</f>
        <v>#REF!</v>
      </c>
      <c r="P348" s="73"/>
      <c r="Q348" s="73"/>
      <c r="S348" s="1045"/>
      <c r="T348" s="1045"/>
      <c r="U348" s="1045"/>
      <c r="V348" s="1045"/>
      <c r="W348" s="1045"/>
      <c r="X348" s="1045"/>
      <c r="Y348" s="1045"/>
      <c r="Z348" s="1045"/>
      <c r="AA348" s="1045"/>
      <c r="AB348" s="1045"/>
      <c r="AC348" s="1045"/>
      <c r="AD348" s="1045"/>
      <c r="AE348" s="1045"/>
      <c r="AF348" s="1045"/>
      <c r="AG348" s="1045"/>
      <c r="AH348" s="1045"/>
      <c r="AI348" s="1045"/>
      <c r="AJ348" s="1045"/>
      <c r="AK348" s="1045"/>
      <c r="AL348" s="1045"/>
      <c r="AM348" s="1045"/>
      <c r="AN348" s="1045"/>
      <c r="AO348" s="1045"/>
      <c r="AP348" s="1045"/>
      <c r="AQ348" s="1045"/>
      <c r="AR348" s="1045"/>
    </row>
    <row r="349" spans="1:44" ht="10.5" customHeight="1">
      <c r="A349" s="77"/>
      <c r="B349" s="74" t="s">
        <v>1450</v>
      </c>
      <c r="C349" s="77"/>
      <c r="D349" s="74"/>
      <c r="E349" s="74"/>
      <c r="F349" s="74"/>
      <c r="G349" s="74"/>
      <c r="H349" s="16"/>
      <c r="I349" s="2584"/>
      <c r="J349" s="2584"/>
      <c r="K349" s="2584"/>
      <c r="L349" s="517"/>
      <c r="M349" s="517"/>
      <c r="N349" s="517"/>
      <c r="O349" s="517"/>
      <c r="P349" s="517"/>
      <c r="Q349" s="517"/>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995"/>
      <c r="B350" s="3996"/>
      <c r="C350" s="3996"/>
      <c r="D350" s="3996"/>
      <c r="E350" s="3996"/>
      <c r="F350" s="3996"/>
      <c r="G350" s="3996"/>
      <c r="H350" s="3996"/>
      <c r="I350" s="3996"/>
      <c r="J350" s="3996"/>
      <c r="K350" s="3996"/>
      <c r="L350" s="3996"/>
      <c r="M350" s="3996"/>
      <c r="N350" s="3996"/>
      <c r="O350" s="3996"/>
      <c r="P350" s="3996"/>
      <c r="Q350" s="3997"/>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1447</v>
      </c>
      <c r="C351" s="71"/>
      <c r="D351" s="2574"/>
      <c r="E351" s="2574"/>
      <c r="F351" s="2574"/>
      <c r="G351" s="2574"/>
      <c r="H351" s="2574"/>
      <c r="I351" s="2574"/>
      <c r="J351" s="2574"/>
      <c r="K351" s="2574"/>
      <c r="L351" s="2574"/>
      <c r="M351" s="2574"/>
      <c r="N351" s="2574"/>
      <c r="O351" s="2574"/>
      <c r="P351" s="2574"/>
      <c r="Q351" s="257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999"/>
      <c r="B352" s="4000"/>
      <c r="C352" s="4000"/>
      <c r="D352" s="4000"/>
      <c r="E352" s="4000"/>
      <c r="F352" s="4000"/>
      <c r="G352" s="4000"/>
      <c r="H352" s="4000"/>
      <c r="I352" s="4000"/>
      <c r="J352" s="4000"/>
      <c r="K352" s="4000"/>
      <c r="L352" s="4000"/>
      <c r="M352" s="4000"/>
      <c r="N352" s="4000"/>
      <c r="O352" s="4000"/>
      <c r="P352" s="4000"/>
      <c r="Q352" s="4001"/>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7"/>
      <c r="B353" s="2584"/>
      <c r="C353" s="2574"/>
      <c r="D353" s="2574"/>
      <c r="E353" s="2574"/>
      <c r="F353" s="2574"/>
      <c r="G353" s="2574"/>
      <c r="H353" s="2574"/>
      <c r="I353" s="2574"/>
      <c r="J353" s="2574"/>
      <c r="K353" s="2574"/>
      <c r="L353" s="2574"/>
      <c r="M353" s="2574"/>
      <c r="N353" s="2574"/>
      <c r="O353" s="2574"/>
      <c r="P353" s="2574"/>
      <c r="Q353" s="517"/>
      <c r="R353" s="77"/>
      <c r="S353" s="77"/>
      <c r="T353" s="77"/>
      <c r="U353" s="77"/>
      <c r="V353" s="77"/>
      <c r="W353" s="77"/>
      <c r="X353" s="77"/>
      <c r="Y353" s="77"/>
      <c r="Z353" s="77"/>
      <c r="AA353" s="77"/>
      <c r="AB353" s="77"/>
      <c r="AC353" s="77"/>
      <c r="AD353" s="77"/>
      <c r="AE353" s="77"/>
    </row>
    <row r="354" spans="1:31" ht="14.1" customHeight="1">
      <c r="A354" s="2536" t="s">
        <v>1613</v>
      </c>
      <c r="B354" s="3" t="s">
        <v>1602</v>
      </c>
      <c r="C354" s="3"/>
      <c r="D354" s="3"/>
      <c r="E354" s="3"/>
      <c r="F354" s="3"/>
      <c r="G354" s="3"/>
      <c r="H354" s="2574"/>
      <c r="I354" s="2574"/>
      <c r="J354" s="2574"/>
      <c r="K354" s="2574"/>
      <c r="L354" s="2574"/>
      <c r="M354" s="2574"/>
      <c r="N354" s="288" t="str">
        <f>IF('Part VIII Scoring Criteria OLD'!$P$42="yes","Applicant has applied for Nonprofit Setaside.","Applicant has NOT applied for Nonprofit Setaside.")</f>
        <v>Applicant has NOT applied for Nonprofit Setaside.</v>
      </c>
      <c r="O354" s="66" t="s">
        <v>1444</v>
      </c>
      <c r="P354" s="4002"/>
      <c r="Q354" s="4003"/>
      <c r="R354" s="77"/>
      <c r="S354" s="77"/>
      <c r="T354" s="77"/>
      <c r="U354" s="77"/>
      <c r="V354" s="77"/>
      <c r="W354" s="77"/>
      <c r="X354" s="77"/>
      <c r="Y354" s="77"/>
      <c r="Z354" s="77"/>
      <c r="AA354" s="77"/>
      <c r="AB354" s="77"/>
      <c r="AC354" s="77"/>
      <c r="AD354" s="77"/>
      <c r="AE354" s="77"/>
    </row>
    <row r="355" spans="1:31" ht="10.5" customHeight="1">
      <c r="A355" s="22" t="s">
        <v>197</v>
      </c>
      <c r="B355" s="13" t="s">
        <v>1603</v>
      </c>
      <c r="C355" s="77"/>
      <c r="D355" s="78"/>
      <c r="E355" s="78"/>
      <c r="F355" s="78"/>
      <c r="G355" s="78"/>
      <c r="H355" s="28" t="s">
        <v>197</v>
      </c>
      <c r="I355" s="4007"/>
      <c r="J355" s="4008"/>
      <c r="K355" s="4008"/>
      <c r="L355" s="4008"/>
      <c r="M355" s="4008"/>
      <c r="N355" s="4008"/>
      <c r="O355" s="4008"/>
      <c r="P355" s="4009"/>
      <c r="Q355" s="936"/>
      <c r="R355" s="77"/>
      <c r="S355" s="77"/>
      <c r="T355" s="77"/>
      <c r="U355" s="77"/>
      <c r="V355" s="77"/>
      <c r="W355" s="77"/>
      <c r="X355" s="77"/>
      <c r="Y355" s="77"/>
      <c r="Z355" s="77"/>
      <c r="AA355" s="77"/>
      <c r="AB355" s="77"/>
      <c r="AC355" s="77"/>
      <c r="AD355" s="77"/>
      <c r="AE355" s="77"/>
    </row>
    <row r="356" spans="1:31" ht="10.5" customHeight="1">
      <c r="A356" s="75" t="s">
        <v>209</v>
      </c>
      <c r="B356" s="13" t="s">
        <v>1604</v>
      </c>
      <c r="C356" s="77"/>
      <c r="D356" s="78"/>
      <c r="E356" s="78"/>
      <c r="F356" s="78"/>
      <c r="G356" s="78"/>
      <c r="H356" s="84" t="s">
        <v>209</v>
      </c>
      <c r="I356" s="4004"/>
      <c r="J356" s="4005"/>
      <c r="K356" s="4005"/>
      <c r="L356" s="4005"/>
      <c r="M356" s="4005"/>
      <c r="N356" s="4005"/>
      <c r="O356" s="4005"/>
      <c r="P356" s="4006"/>
      <c r="Q356" s="308"/>
      <c r="R356" s="77"/>
      <c r="S356" s="77"/>
      <c r="T356" s="77"/>
      <c r="U356" s="77"/>
      <c r="V356" s="77"/>
      <c r="W356" s="77"/>
      <c r="X356" s="77"/>
      <c r="Y356" s="77"/>
      <c r="Z356" s="77"/>
      <c r="AA356" s="77"/>
      <c r="AB356" s="77"/>
      <c r="AC356" s="77"/>
      <c r="AD356" s="77"/>
      <c r="AE356" s="77"/>
    </row>
    <row r="357" spans="1:31" ht="21.75" customHeight="1">
      <c r="A357" s="75" t="s">
        <v>230</v>
      </c>
      <c r="B357" s="4134" t="s">
        <v>2653</v>
      </c>
      <c r="C357" s="4134"/>
      <c r="D357" s="4134"/>
      <c r="E357" s="4134"/>
      <c r="F357" s="4134"/>
      <c r="G357" s="4134"/>
      <c r="H357" s="4134"/>
      <c r="I357" s="4134"/>
      <c r="J357" s="4134"/>
      <c r="K357" s="4134"/>
      <c r="L357" s="4134"/>
      <c r="M357" s="4134"/>
      <c r="N357" s="4134"/>
      <c r="O357" s="84" t="s">
        <v>230</v>
      </c>
      <c r="P357" s="2588"/>
      <c r="Q357" s="1375"/>
      <c r="R357" s="77"/>
      <c r="S357" s="77"/>
      <c r="T357" s="77"/>
      <c r="U357" s="77"/>
      <c r="V357" s="77"/>
      <c r="W357" s="77"/>
      <c r="X357" s="77"/>
      <c r="Y357" s="77"/>
      <c r="Z357" s="77"/>
      <c r="AA357" s="77"/>
      <c r="AB357" s="77"/>
      <c r="AC357" s="77"/>
      <c r="AD357" s="77"/>
      <c r="AE357" s="77"/>
    </row>
    <row r="358" spans="1:31" ht="21.75" customHeight="1">
      <c r="A358" s="75" t="s">
        <v>232</v>
      </c>
      <c r="B358" s="3998" t="s">
        <v>2654</v>
      </c>
      <c r="C358" s="3998"/>
      <c r="D358" s="3998"/>
      <c r="E358" s="3998"/>
      <c r="F358" s="3998"/>
      <c r="G358" s="3998"/>
      <c r="H358" s="3998"/>
      <c r="I358" s="3998"/>
      <c r="J358" s="3998"/>
      <c r="K358" s="3998"/>
      <c r="L358" s="3998"/>
      <c r="M358" s="3998"/>
      <c r="N358" s="3998"/>
      <c r="O358" s="84" t="s">
        <v>232</v>
      </c>
      <c r="P358" s="2582"/>
      <c r="Q358" s="2580"/>
      <c r="R358" s="77"/>
      <c r="S358" s="77"/>
      <c r="T358" s="77"/>
      <c r="U358" s="77"/>
      <c r="V358" s="77"/>
      <c r="W358" s="77"/>
      <c r="X358" s="77"/>
      <c r="Y358" s="77"/>
      <c r="Z358" s="77"/>
      <c r="AA358" s="77"/>
      <c r="AB358" s="77"/>
      <c r="AC358" s="77"/>
      <c r="AD358" s="77"/>
      <c r="AE358" s="77"/>
    </row>
    <row r="359" spans="1:31" ht="10.5" customHeight="1">
      <c r="A359" s="75" t="s">
        <v>239</v>
      </c>
      <c r="B359" s="13" t="s">
        <v>2655</v>
      </c>
      <c r="C359" s="77"/>
      <c r="D359" s="13"/>
      <c r="E359" s="13"/>
      <c r="F359" s="13"/>
      <c r="G359" s="13"/>
      <c r="H359" s="13"/>
      <c r="I359" s="13"/>
      <c r="J359" s="13"/>
      <c r="K359" s="13"/>
      <c r="L359" s="13"/>
      <c r="M359" s="13"/>
      <c r="N359" s="77"/>
      <c r="O359" s="84" t="s">
        <v>239</v>
      </c>
      <c r="P359" s="202"/>
      <c r="Q359" s="307"/>
      <c r="R359" s="77"/>
      <c r="S359" s="77"/>
      <c r="T359" s="77"/>
      <c r="U359" s="77"/>
      <c r="V359" s="77"/>
      <c r="W359" s="77"/>
      <c r="X359" s="77"/>
      <c r="Y359" s="77"/>
      <c r="Z359" s="77"/>
      <c r="AA359" s="77"/>
      <c r="AB359" s="77"/>
      <c r="AC359" s="77"/>
      <c r="AD359" s="77"/>
      <c r="AE359" s="77"/>
    </row>
    <row r="360" spans="1:31" s="67" customFormat="1" ht="21.75" customHeight="1">
      <c r="A360" s="75" t="s">
        <v>241</v>
      </c>
      <c r="B360" s="3998" t="s">
        <v>2656</v>
      </c>
      <c r="C360" s="3998"/>
      <c r="D360" s="3998"/>
      <c r="E360" s="3998"/>
      <c r="F360" s="3998"/>
      <c r="G360" s="3998"/>
      <c r="H360" s="3998"/>
      <c r="I360" s="3998"/>
      <c r="J360" s="3998"/>
      <c r="K360" s="3998"/>
      <c r="L360" s="3998"/>
      <c r="M360" s="3998"/>
      <c r="N360" s="3998"/>
      <c r="O360" s="84" t="s">
        <v>241</v>
      </c>
      <c r="P360" s="2587"/>
      <c r="Q360" s="2585"/>
      <c r="R360" s="229"/>
      <c r="S360" s="229"/>
      <c r="T360" s="229"/>
      <c r="U360" s="229"/>
      <c r="V360" s="229"/>
      <c r="W360" s="229"/>
      <c r="X360" s="229"/>
      <c r="Y360" s="229"/>
      <c r="Z360" s="229"/>
      <c r="AA360" s="229"/>
      <c r="AB360" s="229"/>
      <c r="AC360" s="229"/>
      <c r="AD360" s="229"/>
      <c r="AE360" s="229"/>
    </row>
    <row r="361" spans="1:31" s="67" customFormat="1" ht="10.5" customHeight="1">
      <c r="A361" s="75" t="s">
        <v>2437</v>
      </c>
      <c r="B361" s="73" t="s">
        <v>2657</v>
      </c>
      <c r="C361" s="229"/>
      <c r="D361" s="337"/>
      <c r="E361" s="337"/>
      <c r="F361" s="337"/>
      <c r="G361" s="337"/>
      <c r="H361" s="337"/>
      <c r="I361" s="337"/>
      <c r="J361" s="337"/>
      <c r="K361" s="337"/>
      <c r="L361" s="337"/>
      <c r="M361" s="337"/>
      <c r="N361" s="337"/>
      <c r="O361" s="84" t="s">
        <v>2437</v>
      </c>
      <c r="P361" s="1374"/>
      <c r="Q361" s="137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6" t="s">
        <v>2658</v>
      </c>
      <c r="D362" s="229"/>
      <c r="E362" s="2574"/>
      <c r="F362" s="2574"/>
      <c r="G362" s="2574"/>
      <c r="H362" s="2574"/>
      <c r="I362" s="2574"/>
      <c r="J362" s="2574"/>
      <c r="K362" s="2574"/>
      <c r="L362" s="2574"/>
      <c r="M362" s="2574"/>
      <c r="N362" s="2574"/>
      <c r="O362" s="229"/>
      <c r="P362" s="2583"/>
      <c r="Q362" s="2581"/>
      <c r="R362" s="229"/>
      <c r="S362" s="229"/>
      <c r="T362" s="229"/>
      <c r="U362" s="229"/>
      <c r="V362" s="229"/>
      <c r="W362" s="229"/>
      <c r="X362" s="229"/>
      <c r="Y362" s="229"/>
      <c r="Z362" s="229"/>
      <c r="AA362" s="229"/>
      <c r="AB362" s="229"/>
      <c r="AC362" s="229"/>
      <c r="AD362" s="229"/>
      <c r="AE362" s="229"/>
    </row>
    <row r="363" spans="1:31" ht="21.75" customHeight="1">
      <c r="A363" s="75" t="s">
        <v>2439</v>
      </c>
      <c r="B363" s="3998" t="s">
        <v>2659</v>
      </c>
      <c r="C363" s="3998"/>
      <c r="D363" s="3998"/>
      <c r="E363" s="3998"/>
      <c r="F363" s="3998"/>
      <c r="G363" s="3998"/>
      <c r="H363" s="3998"/>
      <c r="I363" s="3998"/>
      <c r="J363" s="3998"/>
      <c r="K363" s="3998"/>
      <c r="L363" s="3998"/>
      <c r="M363" s="3998"/>
      <c r="N363" s="3998"/>
      <c r="O363" s="84" t="s">
        <v>2439</v>
      </c>
      <c r="P363" s="1374"/>
      <c r="Q363" s="1375"/>
      <c r="R363" s="77"/>
      <c r="S363" s="77"/>
      <c r="T363" s="77"/>
      <c r="U363" s="77"/>
      <c r="V363" s="77"/>
      <c r="W363" s="77"/>
      <c r="X363" s="77"/>
      <c r="Y363" s="77"/>
      <c r="Z363" s="77"/>
      <c r="AA363" s="77"/>
      <c r="AB363" s="77"/>
      <c r="AC363" s="77"/>
      <c r="AD363" s="77"/>
      <c r="AE363" s="77"/>
    </row>
    <row r="364" spans="1:31" ht="33" customHeight="1">
      <c r="A364" s="75" t="s">
        <v>21</v>
      </c>
      <c r="B364" s="3998" t="s">
        <v>2660</v>
      </c>
      <c r="C364" s="3998"/>
      <c r="D364" s="3998"/>
      <c r="E364" s="3998"/>
      <c r="F364" s="3998"/>
      <c r="G364" s="3998"/>
      <c r="H364" s="3998"/>
      <c r="I364" s="3998"/>
      <c r="J364" s="3998"/>
      <c r="K364" s="3998"/>
      <c r="L364" s="3998"/>
      <c r="M364" s="3998"/>
      <c r="N364" s="3998"/>
      <c r="O364" s="84" t="s">
        <v>21</v>
      </c>
      <c r="P364" s="2583"/>
      <c r="Q364" s="2581"/>
      <c r="R364" s="77"/>
      <c r="S364" s="77"/>
      <c r="T364" s="77"/>
      <c r="U364" s="77"/>
      <c r="V364" s="77"/>
      <c r="W364" s="77"/>
      <c r="X364" s="77"/>
      <c r="Y364" s="77"/>
      <c r="Z364" s="77"/>
      <c r="AA364" s="77"/>
      <c r="AB364" s="77"/>
      <c r="AC364" s="77"/>
      <c r="AD364" s="77"/>
      <c r="AE364" s="77"/>
    </row>
    <row r="365" spans="1:31" ht="10.5" customHeight="1">
      <c r="A365" s="77"/>
      <c r="B365" s="74" t="s">
        <v>1450</v>
      </c>
      <c r="C365" s="77"/>
      <c r="D365" s="74"/>
      <c r="E365" s="74"/>
      <c r="F365" s="74"/>
      <c r="G365" s="74"/>
      <c r="H365" s="16"/>
      <c r="I365" s="2584"/>
      <c r="J365" s="2584"/>
      <c r="K365" s="2584"/>
      <c r="L365" s="517"/>
      <c r="M365" s="517"/>
      <c r="N365" s="517"/>
      <c r="O365" s="517"/>
      <c r="P365" s="517"/>
      <c r="Q365" s="517"/>
      <c r="R365" s="77"/>
      <c r="S365" s="77"/>
      <c r="T365" s="77"/>
      <c r="U365" s="77"/>
      <c r="V365" s="77"/>
      <c r="W365" s="77"/>
      <c r="X365" s="77"/>
      <c r="Y365" s="77"/>
      <c r="Z365" s="77"/>
      <c r="AA365" s="77"/>
      <c r="AB365" s="77"/>
      <c r="AC365" s="77"/>
      <c r="AD365" s="77"/>
      <c r="AE365" s="77"/>
    </row>
    <row r="366" spans="1:31" ht="31.5" customHeight="1">
      <c r="A366" s="3995"/>
      <c r="B366" s="3996"/>
      <c r="C366" s="3996"/>
      <c r="D366" s="3996"/>
      <c r="E366" s="3996"/>
      <c r="F366" s="3996"/>
      <c r="G366" s="3996"/>
      <c r="H366" s="3996"/>
      <c r="I366" s="3996"/>
      <c r="J366" s="3996"/>
      <c r="K366" s="3996"/>
      <c r="L366" s="3996"/>
      <c r="M366" s="3996"/>
      <c r="N366" s="3996"/>
      <c r="O366" s="3996"/>
      <c r="P366" s="3996"/>
      <c r="Q366" s="3997"/>
      <c r="R366" s="77"/>
      <c r="S366" s="77"/>
      <c r="T366" s="77"/>
      <c r="U366" s="69"/>
      <c r="V366" s="69"/>
      <c r="W366" s="69"/>
      <c r="X366" s="69"/>
      <c r="Y366" s="69"/>
      <c r="Z366" s="69"/>
      <c r="AA366" s="69"/>
      <c r="AB366" s="69"/>
      <c r="AC366" s="69"/>
      <c r="AD366" s="69"/>
      <c r="AE366" s="69"/>
    </row>
    <row r="367" spans="1:31" ht="10.5" customHeight="1">
      <c r="A367" s="77"/>
      <c r="B367" s="70" t="s">
        <v>1447</v>
      </c>
      <c r="C367" s="71"/>
      <c r="D367" s="2574"/>
      <c r="E367" s="2574"/>
      <c r="F367" s="2574"/>
      <c r="G367" s="2574"/>
      <c r="H367" s="2574"/>
      <c r="I367" s="2574"/>
      <c r="J367" s="2574"/>
      <c r="K367" s="2574"/>
      <c r="L367" s="2574"/>
      <c r="M367" s="2574"/>
      <c r="N367" s="2574"/>
      <c r="O367" s="2574"/>
      <c r="P367" s="2574"/>
      <c r="Q367" s="2574"/>
      <c r="R367" s="77"/>
      <c r="S367" s="77"/>
      <c r="T367" s="77"/>
      <c r="U367" s="77"/>
      <c r="V367" s="77"/>
      <c r="W367" s="77"/>
      <c r="X367" s="77"/>
      <c r="Y367" s="77"/>
      <c r="Z367" s="77"/>
      <c r="AA367" s="77"/>
      <c r="AB367" s="77"/>
      <c r="AC367" s="77"/>
      <c r="AD367" s="77"/>
      <c r="AE367" s="77"/>
    </row>
    <row r="368" spans="1:31" ht="23.25" customHeight="1">
      <c r="A368" s="3999"/>
      <c r="B368" s="4000"/>
      <c r="C368" s="4000"/>
      <c r="D368" s="4000"/>
      <c r="E368" s="4000"/>
      <c r="F368" s="4000"/>
      <c r="G368" s="4000"/>
      <c r="H368" s="4000"/>
      <c r="I368" s="4000"/>
      <c r="J368" s="4000"/>
      <c r="K368" s="4000"/>
      <c r="L368" s="4000"/>
      <c r="M368" s="4000"/>
      <c r="N368" s="4000"/>
      <c r="O368" s="4000"/>
      <c r="P368" s="4000"/>
      <c r="Q368" s="4001"/>
      <c r="R368" s="77"/>
      <c r="S368" s="77"/>
      <c r="T368" s="77"/>
      <c r="U368" s="77"/>
      <c r="V368" s="77"/>
      <c r="W368" s="77"/>
      <c r="X368" s="77"/>
      <c r="Y368" s="77"/>
      <c r="Z368" s="77"/>
      <c r="AA368" s="77"/>
      <c r="AB368" s="77"/>
      <c r="AC368" s="77"/>
      <c r="AD368" s="77"/>
      <c r="AE368" s="77"/>
    </row>
    <row r="369" spans="1:31" ht="3" customHeight="1">
      <c r="A369" s="517"/>
      <c r="B369" s="2584"/>
      <c r="C369" s="2574"/>
      <c r="D369" s="2574"/>
      <c r="E369" s="2574"/>
      <c r="F369" s="2574"/>
      <c r="G369" s="2574"/>
      <c r="H369" s="2574"/>
      <c r="I369" s="2574"/>
      <c r="J369" s="2574"/>
      <c r="K369" s="2574"/>
      <c r="L369" s="2574"/>
      <c r="M369" s="2574"/>
      <c r="N369" s="77"/>
      <c r="O369" s="77"/>
      <c r="P369" s="77"/>
      <c r="Q369" s="517"/>
      <c r="R369" s="77"/>
      <c r="S369" s="77"/>
      <c r="T369" s="77"/>
      <c r="U369" s="77"/>
      <c r="V369" s="77"/>
      <c r="W369" s="77"/>
      <c r="X369" s="77"/>
      <c r="Y369" s="77"/>
      <c r="Z369" s="77"/>
      <c r="AA369" s="77"/>
      <c r="AB369" s="77"/>
      <c r="AC369" s="77"/>
      <c r="AD369" s="77"/>
      <c r="AE369" s="77"/>
    </row>
    <row r="370" spans="1:31" ht="3" customHeight="1">
      <c r="A370" s="517"/>
      <c r="B370" s="2584"/>
      <c r="C370" s="2574"/>
      <c r="D370" s="2574"/>
      <c r="E370" s="2574"/>
      <c r="F370" s="2574"/>
      <c r="G370" s="2574"/>
      <c r="H370" s="2574"/>
      <c r="I370" s="2574"/>
      <c r="J370" s="2574"/>
      <c r="K370" s="2574"/>
      <c r="L370" s="2574"/>
      <c r="M370" s="2574"/>
      <c r="N370" s="77"/>
      <c r="O370" s="77"/>
      <c r="P370" s="77"/>
      <c r="Q370" s="517"/>
      <c r="R370" s="77"/>
      <c r="S370" s="77"/>
      <c r="T370" s="77"/>
      <c r="U370" s="77"/>
      <c r="V370" s="77"/>
      <c r="W370" s="77"/>
      <c r="X370" s="77"/>
      <c r="Y370" s="77"/>
      <c r="Z370" s="77"/>
      <c r="AA370" s="77"/>
      <c r="AB370" s="77"/>
      <c r="AC370" s="77"/>
      <c r="AD370" s="77"/>
      <c r="AE370" s="77"/>
    </row>
    <row r="371" spans="1:31" ht="14.1" customHeight="1">
      <c r="A371" s="2536" t="s">
        <v>1620</v>
      </c>
      <c r="B371" s="3" t="s">
        <v>2661</v>
      </c>
      <c r="C371" s="3"/>
      <c r="D371" s="3"/>
      <c r="E371" s="3"/>
      <c r="F371" s="3"/>
      <c r="G371" s="3"/>
      <c r="H371" s="2574"/>
      <c r="I371" s="2574"/>
      <c r="J371" s="2574"/>
      <c r="K371" s="77"/>
      <c r="L371" s="77"/>
      <c r="M371" s="77"/>
      <c r="N371" s="288" t="str">
        <f>IF('Part VIII Scoring Criteria OLD'!$P$48="yes","Applicant has applied for CHDO Setaside.","Applicant has NOT applied for CHDO Setaside.")</f>
        <v>Applicant has NOT applied for CHDO Setaside.</v>
      </c>
      <c r="O371" s="66" t="s">
        <v>1444</v>
      </c>
      <c r="P371" s="4014"/>
      <c r="Q371" s="4003"/>
      <c r="R371" s="77"/>
      <c r="S371" s="77"/>
      <c r="T371" s="77"/>
      <c r="U371" s="77"/>
      <c r="V371" s="77"/>
      <c r="W371" s="77"/>
      <c r="X371" s="77"/>
      <c r="Y371" s="77"/>
      <c r="Z371" s="77"/>
      <c r="AA371" s="77"/>
      <c r="AB371" s="77"/>
      <c r="AC371" s="77"/>
      <c r="AD371" s="77"/>
      <c r="AE371" s="77"/>
    </row>
    <row r="372" spans="1:31" ht="11.65" customHeight="1">
      <c r="A372" s="22" t="s">
        <v>197</v>
      </c>
      <c r="B372" s="13" t="s">
        <v>2662</v>
      </c>
      <c r="C372" s="77"/>
      <c r="D372" s="77"/>
      <c r="E372" s="4057"/>
      <c r="F372" s="4058"/>
      <c r="G372" s="4058"/>
      <c r="H372" s="4058"/>
      <c r="I372" s="4059"/>
      <c r="J372" s="4117" t="s">
        <v>2663</v>
      </c>
      <c r="K372" s="4118"/>
      <c r="L372" s="4119"/>
      <c r="M372" s="4057"/>
      <c r="N372" s="4058"/>
      <c r="O372" s="4058"/>
      <c r="P372" s="4058"/>
      <c r="Q372" s="4059"/>
      <c r="R372" s="77"/>
      <c r="S372" s="77"/>
      <c r="T372" s="77"/>
      <c r="U372" s="77"/>
      <c r="V372" s="77"/>
      <c r="W372" s="77"/>
      <c r="X372" s="77"/>
      <c r="Y372" s="77"/>
      <c r="Z372" s="77"/>
      <c r="AA372" s="77"/>
      <c r="AB372" s="77"/>
      <c r="AC372" s="77"/>
      <c r="AD372" s="77"/>
      <c r="AE372" s="77"/>
    </row>
    <row r="373" spans="1:31" s="67" customFormat="1" ht="22.5" customHeight="1">
      <c r="A373" s="75" t="s">
        <v>209</v>
      </c>
      <c r="B373" s="3998" t="s">
        <v>2664</v>
      </c>
      <c r="C373" s="3998"/>
      <c r="D373" s="3998"/>
      <c r="E373" s="3998"/>
      <c r="F373" s="3998"/>
      <c r="G373" s="3998"/>
      <c r="H373" s="3998"/>
      <c r="I373" s="3998"/>
      <c r="J373" s="3998"/>
      <c r="K373" s="3998"/>
      <c r="L373" s="3998"/>
      <c r="M373" s="3998"/>
      <c r="N373" s="3998"/>
      <c r="O373" s="84" t="s">
        <v>209</v>
      </c>
      <c r="P373" s="2582"/>
      <c r="Q373" s="2580"/>
      <c r="R373" s="229"/>
      <c r="S373" s="229"/>
      <c r="T373" s="229"/>
      <c r="U373" s="229"/>
      <c r="V373" s="229"/>
      <c r="W373" s="229"/>
      <c r="X373" s="229"/>
      <c r="Y373" s="229"/>
      <c r="Z373" s="229"/>
      <c r="AA373" s="229"/>
      <c r="AB373" s="229"/>
      <c r="AC373" s="229"/>
      <c r="AD373" s="229"/>
      <c r="AE373" s="229"/>
    </row>
    <row r="374" spans="1:31">
      <c r="A374" s="75" t="s">
        <v>230</v>
      </c>
      <c r="B374" s="25" t="s">
        <v>2665</v>
      </c>
      <c r="C374" s="77"/>
      <c r="D374" s="77"/>
      <c r="E374" s="77"/>
      <c r="F374" s="77"/>
      <c r="G374" s="2578"/>
      <c r="H374" s="2578"/>
      <c r="I374" s="2578"/>
      <c r="J374" s="16" t="s">
        <v>2666</v>
      </c>
      <c r="K374" s="77"/>
      <c r="L374" s="2578"/>
      <c r="M374" s="4120" t="e">
        <f>#REF!</f>
        <v>#REF!</v>
      </c>
      <c r="N374" s="4121"/>
      <c r="O374" s="84" t="s">
        <v>230</v>
      </c>
      <c r="P374" s="118"/>
      <c r="Q374" s="308"/>
      <c r="R374" s="77"/>
      <c r="S374" s="77"/>
      <c r="T374" s="77"/>
      <c r="U374" s="77"/>
      <c r="V374" s="77"/>
      <c r="W374" s="77"/>
      <c r="X374" s="77"/>
      <c r="Y374" s="77"/>
      <c r="Z374" s="77"/>
      <c r="AA374" s="77"/>
      <c r="AB374" s="77"/>
      <c r="AC374" s="77"/>
      <c r="AD374" s="77"/>
      <c r="AE374" s="77"/>
    </row>
    <row r="375" spans="1:31" ht="11.25" customHeight="1">
      <c r="A375" s="77"/>
      <c r="B375" s="74" t="s">
        <v>1450</v>
      </c>
      <c r="C375" s="77"/>
      <c r="D375" s="74"/>
      <c r="E375" s="74"/>
      <c r="F375" s="74"/>
      <c r="G375" s="74"/>
      <c r="H375" s="16"/>
      <c r="I375" s="2584"/>
      <c r="J375" s="2584"/>
      <c r="K375" s="2584"/>
      <c r="L375" s="517"/>
      <c r="M375" s="517"/>
      <c r="N375" s="517"/>
      <c r="O375" s="517"/>
      <c r="P375" s="517"/>
      <c r="Q375" s="517"/>
      <c r="R375" s="77"/>
      <c r="S375" s="77"/>
      <c r="T375" s="77"/>
      <c r="U375" s="77"/>
      <c r="V375" s="77"/>
      <c r="W375" s="77"/>
      <c r="X375" s="77"/>
      <c r="Y375" s="77"/>
      <c r="Z375" s="77"/>
      <c r="AA375" s="77"/>
      <c r="AB375" s="77"/>
      <c r="AC375" s="77"/>
      <c r="AD375" s="77"/>
      <c r="AE375" s="77"/>
    </row>
    <row r="376" spans="1:31" ht="11.65" customHeight="1">
      <c r="A376" s="3995"/>
      <c r="B376" s="3996"/>
      <c r="C376" s="3996"/>
      <c r="D376" s="3996"/>
      <c r="E376" s="3996"/>
      <c r="F376" s="3996"/>
      <c r="G376" s="3996"/>
      <c r="H376" s="3996"/>
      <c r="I376" s="3996"/>
      <c r="J376" s="3996"/>
      <c r="K376" s="3996"/>
      <c r="L376" s="3996"/>
      <c r="M376" s="3996"/>
      <c r="N376" s="3996"/>
      <c r="O376" s="3996"/>
      <c r="P376" s="3996"/>
      <c r="Q376" s="3997"/>
      <c r="R376" s="77"/>
      <c r="S376" s="77"/>
      <c r="T376" s="77"/>
      <c r="U376" s="69"/>
      <c r="V376" s="69"/>
      <c r="W376" s="69"/>
      <c r="X376" s="69"/>
      <c r="Y376" s="69"/>
      <c r="Z376" s="69"/>
      <c r="AA376" s="69"/>
      <c r="AB376" s="69"/>
      <c r="AC376" s="69"/>
      <c r="AD376" s="69"/>
      <c r="AE376" s="69"/>
    </row>
    <row r="377" spans="1:31" ht="11.25" customHeight="1">
      <c r="A377" s="77"/>
      <c r="B377" s="70" t="s">
        <v>1447</v>
      </c>
      <c r="C377" s="71"/>
      <c r="D377" s="2574"/>
      <c r="E377" s="2574"/>
      <c r="F377" s="2574"/>
      <c r="G377" s="2574"/>
      <c r="H377" s="2574"/>
      <c r="I377" s="2574"/>
      <c r="J377" s="2574"/>
      <c r="K377" s="2574"/>
      <c r="L377" s="2574"/>
      <c r="M377" s="2574"/>
      <c r="N377" s="2574"/>
      <c r="O377" s="2574"/>
      <c r="P377" s="2574"/>
      <c r="Q377" s="2574"/>
      <c r="R377" s="77"/>
      <c r="S377" s="77"/>
      <c r="T377" s="77"/>
      <c r="U377" s="77"/>
      <c r="V377" s="77"/>
      <c r="W377" s="77"/>
      <c r="X377" s="77"/>
      <c r="Y377" s="77"/>
      <c r="Z377" s="77"/>
      <c r="AA377" s="77"/>
      <c r="AB377" s="77"/>
      <c r="AC377" s="77"/>
      <c r="AD377" s="77"/>
      <c r="AE377" s="77"/>
    </row>
    <row r="378" spans="1:31" ht="11.65" customHeight="1">
      <c r="A378" s="3999"/>
      <c r="B378" s="4000"/>
      <c r="C378" s="4000"/>
      <c r="D378" s="4000"/>
      <c r="E378" s="4000"/>
      <c r="F378" s="4000"/>
      <c r="G378" s="4000"/>
      <c r="H378" s="4000"/>
      <c r="I378" s="4000"/>
      <c r="J378" s="4000"/>
      <c r="K378" s="4000"/>
      <c r="L378" s="4000"/>
      <c r="M378" s="4000"/>
      <c r="N378" s="4000"/>
      <c r="O378" s="4000"/>
      <c r="P378" s="4000"/>
      <c r="Q378" s="4001"/>
      <c r="R378" s="77"/>
      <c r="S378" s="77"/>
      <c r="T378" s="77"/>
      <c r="U378" s="77"/>
      <c r="V378" s="77"/>
      <c r="W378" s="77"/>
      <c r="X378" s="77"/>
      <c r="Y378" s="77"/>
      <c r="Z378" s="77"/>
      <c r="AA378" s="77"/>
      <c r="AB378" s="77"/>
      <c r="AC378" s="77"/>
      <c r="AD378" s="77"/>
      <c r="AE378" s="77"/>
    </row>
    <row r="379" spans="1:31" ht="3.6" customHeight="1">
      <c r="A379" s="517"/>
      <c r="B379" s="2584"/>
      <c r="C379" s="2574"/>
      <c r="D379" s="2574"/>
      <c r="E379" s="2574"/>
      <c r="F379" s="2574"/>
      <c r="G379" s="2574"/>
      <c r="H379" s="2574"/>
      <c r="I379" s="2574"/>
      <c r="J379" s="2574"/>
      <c r="K379" s="2574"/>
      <c r="L379" s="2574"/>
      <c r="M379" s="2574"/>
      <c r="N379" s="77"/>
      <c r="O379" s="77"/>
      <c r="P379" s="77"/>
      <c r="Q379" s="517"/>
      <c r="R379" s="77"/>
      <c r="S379" s="77"/>
      <c r="T379" s="77"/>
      <c r="U379" s="77"/>
      <c r="V379" s="77"/>
      <c r="W379" s="77"/>
      <c r="X379" s="77"/>
      <c r="Y379" s="77"/>
      <c r="Z379" s="77"/>
      <c r="AA379" s="77"/>
      <c r="AB379" s="77"/>
      <c r="AC379" s="77"/>
      <c r="AD379" s="77"/>
      <c r="AE379" s="77"/>
    </row>
    <row r="380" spans="1:31" ht="14.1" customHeight="1">
      <c r="A380" s="2536" t="s">
        <v>1625</v>
      </c>
      <c r="B380" s="3" t="s">
        <v>1607</v>
      </c>
      <c r="C380" s="3"/>
      <c r="D380" s="3"/>
      <c r="E380" s="2574"/>
      <c r="F380" s="77"/>
      <c r="G380" s="73" t="s">
        <v>1608</v>
      </c>
      <c r="H380" s="2574"/>
      <c r="I380" s="2574"/>
      <c r="J380" s="2574"/>
      <c r="K380" s="2574"/>
      <c r="L380" s="2574"/>
      <c r="M380" s="2574"/>
      <c r="N380" s="77"/>
      <c r="O380" s="66" t="s">
        <v>1444</v>
      </c>
      <c r="P380" s="4014"/>
      <c r="Q380" s="4730"/>
      <c r="R380" s="77"/>
      <c r="S380" s="77"/>
      <c r="T380" s="77"/>
      <c r="U380" s="77"/>
      <c r="V380" s="77"/>
      <c r="W380" s="77"/>
      <c r="X380" s="77"/>
      <c r="Y380" s="77"/>
      <c r="Z380" s="77"/>
      <c r="AA380" s="77"/>
      <c r="AB380" s="77"/>
      <c r="AC380" s="77"/>
      <c r="AD380" s="77"/>
      <c r="AE380" s="77"/>
    </row>
    <row r="381" spans="1:31" ht="12" customHeight="1">
      <c r="A381" s="22" t="s">
        <v>197</v>
      </c>
      <c r="B381" s="13" t="s">
        <v>1609</v>
      </c>
      <c r="C381" s="77"/>
      <c r="D381" s="337"/>
      <c r="E381" s="337"/>
      <c r="F381" s="77"/>
      <c r="G381" s="77"/>
      <c r="H381" s="77"/>
      <c r="I381" s="77"/>
      <c r="J381" s="77"/>
      <c r="K381" s="77"/>
      <c r="L381" s="77"/>
      <c r="M381" s="77"/>
      <c r="N381" s="77"/>
      <c r="O381" s="28" t="s">
        <v>197</v>
      </c>
      <c r="P381" s="935"/>
      <c r="Q381" s="936"/>
      <c r="R381" s="77"/>
      <c r="S381" s="77"/>
      <c r="T381" s="77"/>
      <c r="U381" s="77"/>
      <c r="V381" s="77"/>
      <c r="W381" s="77"/>
      <c r="X381" s="77"/>
      <c r="Y381" s="77"/>
      <c r="Z381" s="77"/>
      <c r="AA381" s="77"/>
      <c r="AB381" s="77"/>
      <c r="AC381" s="77"/>
      <c r="AD381" s="77"/>
      <c r="AE381" s="77"/>
    </row>
    <row r="382" spans="1:31" ht="12" customHeight="1">
      <c r="A382" s="22" t="s">
        <v>209</v>
      </c>
      <c r="B382" s="13" t="s">
        <v>1610</v>
      </c>
      <c r="C382" s="77"/>
      <c r="D382" s="337"/>
      <c r="E382" s="337"/>
      <c r="F382" s="77"/>
      <c r="G382" s="77"/>
      <c r="H382" s="77"/>
      <c r="I382" s="77"/>
      <c r="J382" s="77"/>
      <c r="K382" s="77"/>
      <c r="L382" s="77"/>
      <c r="M382" s="77"/>
      <c r="N382" s="77"/>
      <c r="O382" s="28" t="s">
        <v>209</v>
      </c>
      <c r="P382" s="202"/>
      <c r="Q382" s="307"/>
      <c r="R382" s="77"/>
      <c r="S382" s="77"/>
      <c r="T382" s="77"/>
      <c r="U382" s="77"/>
      <c r="V382" s="77"/>
      <c r="W382" s="77"/>
      <c r="X382" s="77"/>
      <c r="Y382" s="77"/>
      <c r="Z382" s="77"/>
      <c r="AA382" s="77"/>
      <c r="AB382" s="77"/>
      <c r="AC382" s="77"/>
      <c r="AD382" s="77"/>
      <c r="AE382" s="77"/>
    </row>
    <row r="383" spans="1:31" ht="12" customHeight="1">
      <c r="A383" s="22" t="s">
        <v>230</v>
      </c>
      <c r="B383" s="13" t="s">
        <v>2667</v>
      </c>
      <c r="C383" s="77"/>
      <c r="D383" s="337"/>
      <c r="E383" s="337"/>
      <c r="F383" s="77"/>
      <c r="G383" s="77"/>
      <c r="H383" s="77"/>
      <c r="I383" s="77"/>
      <c r="J383" s="77"/>
      <c r="K383" s="77"/>
      <c r="L383" s="77"/>
      <c r="M383" s="77"/>
      <c r="N383" s="77"/>
      <c r="O383" s="28" t="s">
        <v>230</v>
      </c>
      <c r="P383" s="202"/>
      <c r="Q383" s="307"/>
      <c r="R383" s="77"/>
      <c r="S383" s="77"/>
      <c r="T383" s="77"/>
      <c r="U383" s="77"/>
      <c r="V383" s="77"/>
      <c r="W383" s="77"/>
      <c r="X383" s="77"/>
      <c r="Y383" s="77"/>
      <c r="Z383" s="77"/>
      <c r="AA383" s="77"/>
      <c r="AB383" s="77"/>
      <c r="AC383" s="77"/>
      <c r="AD383" s="77"/>
      <c r="AE383" s="77"/>
    </row>
    <row r="384" spans="1:31" ht="12" customHeight="1">
      <c r="A384" s="22" t="s">
        <v>232</v>
      </c>
      <c r="B384" s="13" t="s">
        <v>2668</v>
      </c>
      <c r="C384" s="77"/>
      <c r="D384" s="77"/>
      <c r="E384" s="73"/>
      <c r="F384" s="77"/>
      <c r="G384" s="77"/>
      <c r="H384" s="77"/>
      <c r="I384" s="77"/>
      <c r="J384" s="77"/>
      <c r="K384" s="77"/>
      <c r="L384" s="77"/>
      <c r="M384" s="77"/>
      <c r="N384" s="77"/>
      <c r="O384" s="28" t="s">
        <v>232</v>
      </c>
      <c r="P384" s="202"/>
      <c r="Q384" s="307"/>
      <c r="R384" s="77"/>
      <c r="S384" s="77"/>
      <c r="T384" s="77"/>
      <c r="U384" s="77"/>
      <c r="V384" s="77"/>
      <c r="W384" s="77"/>
      <c r="X384" s="77"/>
      <c r="Y384" s="77"/>
      <c r="Z384" s="77"/>
      <c r="AA384" s="77"/>
      <c r="AB384" s="77"/>
      <c r="AC384" s="77"/>
      <c r="AD384" s="77"/>
      <c r="AE384" s="77"/>
    </row>
    <row r="385" spans="1:31" ht="12" customHeight="1">
      <c r="A385" s="22" t="s">
        <v>239</v>
      </c>
      <c r="B385" s="13" t="s">
        <v>2669</v>
      </c>
      <c r="C385" s="77"/>
      <c r="D385" s="77"/>
      <c r="E385" s="73"/>
      <c r="F385" s="77"/>
      <c r="G385" s="28" t="s">
        <v>239</v>
      </c>
      <c r="H385" s="4150"/>
      <c r="I385" s="4151"/>
      <c r="J385" s="4151"/>
      <c r="K385" s="4151"/>
      <c r="L385" s="4151"/>
      <c r="M385" s="4151"/>
      <c r="N385" s="4151"/>
      <c r="O385" s="4152"/>
      <c r="P385" s="118"/>
      <c r="Q385" s="308"/>
      <c r="R385" s="77"/>
      <c r="S385" s="77"/>
      <c r="T385" s="77"/>
      <c r="U385" s="77"/>
      <c r="V385" s="77"/>
      <c r="W385" s="77"/>
      <c r="X385" s="77"/>
      <c r="Y385" s="77"/>
      <c r="Z385" s="77"/>
      <c r="AA385" s="77"/>
      <c r="AB385" s="77"/>
      <c r="AC385" s="77"/>
      <c r="AD385" s="77"/>
      <c r="AE385" s="77"/>
    </row>
    <row r="386" spans="1:31" ht="11.25" customHeight="1">
      <c r="A386" s="77"/>
      <c r="B386" s="74" t="s">
        <v>1450</v>
      </c>
      <c r="C386" s="77"/>
      <c r="D386" s="74"/>
      <c r="E386" s="74"/>
      <c r="F386" s="74"/>
      <c r="G386" s="74"/>
      <c r="H386" s="16"/>
      <c r="I386" s="2584"/>
      <c r="J386" s="2584"/>
      <c r="K386" s="2584"/>
      <c r="L386" s="517"/>
      <c r="M386" s="517"/>
      <c r="N386" s="517"/>
      <c r="O386" s="517"/>
      <c r="P386" s="517"/>
      <c r="Q386" s="517"/>
      <c r="R386" s="77"/>
      <c r="S386" s="77"/>
      <c r="T386" s="77"/>
      <c r="U386" s="77"/>
      <c r="V386" s="77"/>
      <c r="W386" s="77"/>
      <c r="X386" s="77"/>
      <c r="Y386" s="77"/>
      <c r="Z386" s="77"/>
      <c r="AA386" s="77"/>
      <c r="AB386" s="77"/>
      <c r="AC386" s="77"/>
      <c r="AD386" s="77"/>
      <c r="AE386" s="77"/>
    </row>
    <row r="387" spans="1:31" ht="11.65" customHeight="1">
      <c r="A387" s="3995"/>
      <c r="B387" s="3996"/>
      <c r="C387" s="3996"/>
      <c r="D387" s="3996"/>
      <c r="E387" s="3996"/>
      <c r="F387" s="3996"/>
      <c r="G387" s="3996"/>
      <c r="H387" s="3996"/>
      <c r="I387" s="3996"/>
      <c r="J387" s="3996"/>
      <c r="K387" s="3996"/>
      <c r="L387" s="3996"/>
      <c r="M387" s="3996"/>
      <c r="N387" s="3996"/>
      <c r="O387" s="3996"/>
      <c r="P387" s="3996"/>
      <c r="Q387" s="3997"/>
      <c r="R387" s="77"/>
      <c r="S387" s="77"/>
      <c r="T387" s="77"/>
      <c r="U387" s="69"/>
      <c r="V387" s="69"/>
      <c r="W387" s="69"/>
      <c r="X387" s="69"/>
      <c r="Y387" s="69"/>
      <c r="Z387" s="69"/>
      <c r="AA387" s="69"/>
      <c r="AB387" s="69"/>
      <c r="AC387" s="69"/>
      <c r="AD387" s="69"/>
      <c r="AE387" s="69"/>
    </row>
    <row r="388" spans="1:31" ht="11.25" customHeight="1">
      <c r="A388" s="77"/>
      <c r="B388" s="70" t="s">
        <v>1447</v>
      </c>
      <c r="C388" s="71"/>
      <c r="D388" s="2574"/>
      <c r="E388" s="2574"/>
      <c r="F388" s="2574"/>
      <c r="G388" s="2574"/>
      <c r="H388" s="2574"/>
      <c r="I388" s="2574"/>
      <c r="J388" s="2574"/>
      <c r="K388" s="2574"/>
      <c r="L388" s="2574"/>
      <c r="M388" s="2574"/>
      <c r="N388" s="2574"/>
      <c r="O388" s="2574"/>
      <c r="P388" s="2574"/>
      <c r="Q388" s="2574"/>
      <c r="R388" s="77"/>
      <c r="S388" s="77"/>
      <c r="T388" s="77"/>
      <c r="U388" s="77"/>
      <c r="V388" s="77"/>
      <c r="W388" s="77"/>
      <c r="X388" s="77"/>
      <c r="Y388" s="77"/>
      <c r="Z388" s="77"/>
      <c r="AA388" s="77"/>
      <c r="AB388" s="77"/>
      <c r="AC388" s="77"/>
      <c r="AD388" s="77"/>
      <c r="AE388" s="77"/>
    </row>
    <row r="389" spans="1:31" ht="11.65" customHeight="1">
      <c r="A389" s="3999"/>
      <c r="B389" s="4000"/>
      <c r="C389" s="4000"/>
      <c r="D389" s="4000"/>
      <c r="E389" s="4000"/>
      <c r="F389" s="4000"/>
      <c r="G389" s="4000"/>
      <c r="H389" s="4000"/>
      <c r="I389" s="4000"/>
      <c r="J389" s="4000"/>
      <c r="K389" s="4000"/>
      <c r="L389" s="4000"/>
      <c r="M389" s="4000"/>
      <c r="N389" s="4000"/>
      <c r="O389" s="4000"/>
      <c r="P389" s="4000"/>
      <c r="Q389" s="4001"/>
      <c r="R389" s="77"/>
      <c r="S389" s="77"/>
      <c r="T389" s="77"/>
      <c r="U389" s="77"/>
      <c r="V389" s="77"/>
      <c r="W389" s="77"/>
      <c r="X389" s="77"/>
      <c r="Y389" s="77"/>
      <c r="Z389" s="77"/>
      <c r="AA389" s="77"/>
      <c r="AB389" s="77"/>
      <c r="AC389" s="77"/>
      <c r="AD389" s="77"/>
      <c r="AE389" s="77"/>
    </row>
    <row r="390" spans="1:31" ht="3" customHeight="1">
      <c r="A390" s="517"/>
      <c r="B390" s="2584"/>
      <c r="C390" s="2574"/>
      <c r="D390" s="2574"/>
      <c r="E390" s="2574"/>
      <c r="F390" s="2574"/>
      <c r="G390" s="2574"/>
      <c r="H390" s="2574"/>
      <c r="I390" s="2574"/>
      <c r="J390" s="2574"/>
      <c r="K390" s="2574"/>
      <c r="L390" s="2574"/>
      <c r="M390" s="2574"/>
      <c r="N390" s="2574"/>
      <c r="O390" s="2574"/>
      <c r="P390" s="2574"/>
      <c r="Q390" s="517"/>
      <c r="R390" s="77"/>
      <c r="S390" s="77"/>
      <c r="T390" s="77"/>
      <c r="U390" s="77"/>
      <c r="V390" s="77"/>
      <c r="W390" s="77"/>
      <c r="X390" s="77"/>
      <c r="Y390" s="77"/>
      <c r="Z390" s="77"/>
      <c r="AA390" s="77"/>
      <c r="AB390" s="77"/>
      <c r="AC390" s="77"/>
      <c r="AD390" s="77"/>
      <c r="AE390" s="77"/>
    </row>
    <row r="391" spans="1:31" ht="14.1" customHeight="1">
      <c r="A391" s="2536" t="s">
        <v>1632</v>
      </c>
      <c r="B391" s="3" t="s">
        <v>1614</v>
      </c>
      <c r="C391" s="3"/>
      <c r="D391" s="3"/>
      <c r="E391" s="3"/>
      <c r="F391" s="3"/>
      <c r="G391" s="3"/>
      <c r="H391" s="2574"/>
      <c r="I391" s="2574"/>
      <c r="J391" s="2574"/>
      <c r="K391" s="2574"/>
      <c r="L391" s="2574"/>
      <c r="M391" s="2574"/>
      <c r="N391" s="77"/>
      <c r="O391" s="66" t="s">
        <v>1444</v>
      </c>
      <c r="P391" s="4014"/>
      <c r="Q391" s="4003"/>
      <c r="R391" s="77"/>
      <c r="S391" s="77"/>
      <c r="T391" s="77"/>
      <c r="U391" s="77"/>
      <c r="V391" s="77"/>
      <c r="W391" s="77"/>
      <c r="X391" s="77"/>
      <c r="Y391" s="77"/>
      <c r="Z391" s="77"/>
      <c r="AA391" s="77"/>
      <c r="AB391" s="77"/>
      <c r="AC391" s="77"/>
      <c r="AD391" s="77"/>
      <c r="AE391" s="77"/>
    </row>
    <row r="392" spans="1:31" ht="12" customHeight="1">
      <c r="A392" s="77"/>
      <c r="B392" s="25" t="s">
        <v>1615</v>
      </c>
      <c r="C392" s="77"/>
      <c r="D392" s="77"/>
      <c r="E392" s="77"/>
      <c r="F392" s="77"/>
      <c r="G392" s="77"/>
      <c r="H392" s="77"/>
      <c r="I392" s="77"/>
      <c r="J392" s="77"/>
      <c r="K392" s="77"/>
      <c r="L392" s="77"/>
      <c r="M392" s="77"/>
      <c r="N392" s="77"/>
      <c r="O392" s="28"/>
      <c r="P392" s="267"/>
      <c r="Q392" s="306"/>
      <c r="R392" s="77"/>
      <c r="S392" s="77"/>
      <c r="T392" s="77"/>
      <c r="U392" s="77"/>
      <c r="V392" s="77"/>
      <c r="W392" s="77"/>
      <c r="X392" s="77"/>
      <c r="Y392" s="77"/>
      <c r="Z392" s="77"/>
      <c r="AA392" s="77"/>
      <c r="AB392" s="77"/>
      <c r="AC392" s="77"/>
      <c r="AD392" s="77"/>
      <c r="AE392" s="77"/>
    </row>
    <row r="393" spans="1:31" ht="12" customHeight="1">
      <c r="A393" s="22" t="s">
        <v>197</v>
      </c>
      <c r="B393" s="38" t="s">
        <v>2670</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9" t="s">
        <v>212</v>
      </c>
      <c r="C394" s="25" t="s">
        <v>1616</v>
      </c>
      <c r="D394" s="43"/>
      <c r="E394" s="43"/>
      <c r="F394" s="43"/>
      <c r="G394" s="43"/>
      <c r="H394" s="43"/>
      <c r="I394" s="43"/>
      <c r="J394" s="43"/>
      <c r="K394" s="43"/>
      <c r="L394" s="43"/>
      <c r="M394" s="43"/>
      <c r="N394" s="43"/>
      <c r="O394" s="28">
        <v>1</v>
      </c>
      <c r="P394" s="2799"/>
      <c r="Q394" s="1356"/>
      <c r="R394" s="77"/>
      <c r="S394" s="77"/>
      <c r="T394" s="77"/>
      <c r="U394" s="77"/>
      <c r="V394" s="77"/>
      <c r="W394" s="77"/>
      <c r="X394" s="77"/>
      <c r="Y394" s="77"/>
      <c r="Z394" s="77"/>
      <c r="AA394" s="77"/>
      <c r="AB394" s="77"/>
      <c r="AC394" s="77"/>
      <c r="AD394" s="77"/>
      <c r="AE394" s="77"/>
    </row>
    <row r="395" spans="1:31" ht="12" customHeight="1">
      <c r="A395" s="77"/>
      <c r="B395" s="13"/>
      <c r="C395" s="13" t="s">
        <v>2671</v>
      </c>
      <c r="D395" s="25" t="s">
        <v>2672</v>
      </c>
      <c r="E395" s="43"/>
      <c r="F395" s="43"/>
      <c r="G395" s="43"/>
      <c r="H395" s="43"/>
      <c r="I395" s="43"/>
      <c r="J395" s="43"/>
      <c r="K395" s="43"/>
      <c r="L395" s="43"/>
      <c r="M395" s="43"/>
      <c r="N395" s="43"/>
      <c r="O395" s="28" t="s">
        <v>2671</v>
      </c>
      <c r="P395" s="4090"/>
      <c r="Q395" s="4088"/>
      <c r="R395" s="77"/>
      <c r="S395" s="77"/>
      <c r="T395" s="77"/>
      <c r="U395" s="77"/>
      <c r="V395" s="77"/>
      <c r="W395" s="77"/>
      <c r="X395" s="77"/>
      <c r="Y395" s="77"/>
      <c r="Z395" s="77"/>
      <c r="AA395" s="77"/>
      <c r="AB395" s="77"/>
      <c r="AC395" s="77"/>
      <c r="AD395" s="77"/>
      <c r="AE395" s="77"/>
    </row>
    <row r="396" spans="1:31" ht="12" customHeight="1">
      <c r="A396" s="22"/>
      <c r="B396" s="77"/>
      <c r="C396" s="77"/>
      <c r="D396" s="13" t="s">
        <v>2673</v>
      </c>
      <c r="E396" s="13"/>
      <c r="F396" s="13"/>
      <c r="G396" s="13"/>
      <c r="H396" s="13"/>
      <c r="I396" s="13"/>
      <c r="J396" s="13"/>
      <c r="K396" s="13"/>
      <c r="L396" s="13"/>
      <c r="M396" s="13"/>
      <c r="N396" s="43"/>
      <c r="O396" s="2755"/>
      <c r="P396" s="4091"/>
      <c r="Q396" s="4089"/>
      <c r="R396" s="77"/>
      <c r="S396" s="77"/>
      <c r="T396" s="77"/>
      <c r="U396" s="77"/>
      <c r="V396" s="77"/>
      <c r="W396" s="77"/>
      <c r="X396" s="77"/>
      <c r="Y396" s="77"/>
      <c r="Z396" s="77"/>
      <c r="AA396" s="77"/>
      <c r="AB396" s="77"/>
      <c r="AC396" s="77"/>
      <c r="AD396" s="77"/>
      <c r="AE396" s="77"/>
    </row>
    <row r="397" spans="1:31" ht="12" customHeight="1">
      <c r="A397" s="77"/>
      <c r="B397" s="77"/>
      <c r="C397" s="13" t="s">
        <v>2470</v>
      </c>
      <c r="D397" s="13" t="s">
        <v>2674</v>
      </c>
      <c r="E397" s="13"/>
      <c r="F397" s="13"/>
      <c r="G397" s="13"/>
      <c r="H397" s="13"/>
      <c r="I397" s="13"/>
      <c r="J397" s="13"/>
      <c r="K397" s="13"/>
      <c r="L397" s="13"/>
      <c r="M397" s="13"/>
      <c r="N397" s="43"/>
      <c r="O397" s="28" t="s">
        <v>2470</v>
      </c>
      <c r="P397" s="605"/>
      <c r="Q397" s="2592"/>
      <c r="R397" s="77"/>
      <c r="S397" s="77"/>
      <c r="T397" s="77"/>
      <c r="U397" s="77"/>
      <c r="V397" s="77"/>
      <c r="W397" s="77"/>
      <c r="X397" s="77"/>
      <c r="Y397" s="77"/>
      <c r="Z397" s="77"/>
      <c r="AA397" s="77"/>
      <c r="AB397" s="77"/>
      <c r="AC397" s="77"/>
      <c r="AD397" s="77"/>
      <c r="AE397" s="77"/>
    </row>
    <row r="398" spans="1:31" s="77" customFormat="1" ht="12" customHeight="1">
      <c r="A398" s="22"/>
      <c r="C398" s="13" t="s">
        <v>2675</v>
      </c>
      <c r="D398" s="13" t="s">
        <v>2676</v>
      </c>
      <c r="E398" s="13"/>
      <c r="F398" s="13"/>
      <c r="G398" s="13"/>
      <c r="H398" s="13"/>
      <c r="I398" s="13"/>
      <c r="J398" s="13"/>
      <c r="K398" s="13"/>
      <c r="L398" s="13"/>
      <c r="M398" s="13"/>
      <c r="N398" s="43"/>
      <c r="O398" s="28" t="s">
        <v>2677</v>
      </c>
      <c r="P398" s="1326"/>
      <c r="Q398" s="2591"/>
    </row>
    <row r="399" spans="1:31" ht="12" customHeight="1">
      <c r="A399" s="22"/>
      <c r="B399" s="959" t="s">
        <v>220</v>
      </c>
      <c r="C399" s="13" t="s">
        <v>2678</v>
      </c>
      <c r="D399" s="77"/>
      <c r="E399" s="13"/>
      <c r="F399" s="13"/>
      <c r="G399" s="13"/>
      <c r="H399" s="13"/>
      <c r="I399" s="13"/>
      <c r="J399" s="13"/>
      <c r="K399" s="13"/>
      <c r="L399" s="13"/>
      <c r="M399" s="13"/>
      <c r="N399" s="13"/>
      <c r="O399" s="28">
        <v>2</v>
      </c>
      <c r="P399" s="267"/>
      <c r="Q399" s="306"/>
      <c r="R399" s="77"/>
      <c r="S399" s="77"/>
      <c r="T399" s="77"/>
      <c r="U399" s="77"/>
      <c r="V399" s="77"/>
      <c r="W399" s="77"/>
      <c r="X399" s="77"/>
      <c r="Y399" s="77"/>
      <c r="Z399" s="77"/>
      <c r="AA399" s="77"/>
      <c r="AB399" s="77"/>
      <c r="AC399" s="77"/>
      <c r="AD399" s="77"/>
      <c r="AE399" s="77"/>
    </row>
    <row r="400" spans="1:31" ht="12" customHeight="1">
      <c r="A400" s="22"/>
      <c r="B400" s="959" t="s">
        <v>224</v>
      </c>
      <c r="C400" s="3998" t="s">
        <v>2679</v>
      </c>
      <c r="D400" s="3998"/>
      <c r="E400" s="3998"/>
      <c r="F400" s="3998"/>
      <c r="G400" s="13" t="s">
        <v>2680</v>
      </c>
      <c r="H400" s="77"/>
      <c r="I400" s="77"/>
      <c r="J400" s="2800"/>
      <c r="K400" s="2801"/>
      <c r="L400" s="77"/>
      <c r="M400" s="13" t="s">
        <v>2681</v>
      </c>
      <c r="N400" s="77"/>
      <c r="O400" s="77"/>
      <c r="P400" s="1327"/>
      <c r="Q400" s="1328"/>
      <c r="R400" s="77"/>
      <c r="S400" s="77"/>
      <c r="T400" s="77"/>
      <c r="U400" s="77"/>
      <c r="V400" s="77"/>
      <c r="W400" s="77"/>
      <c r="X400" s="77"/>
      <c r="Y400" s="77"/>
      <c r="Z400" s="77"/>
      <c r="AA400" s="77"/>
      <c r="AB400" s="77"/>
      <c r="AC400" s="77"/>
      <c r="AD400" s="77"/>
      <c r="AE400" s="77"/>
    </row>
    <row r="401" spans="1:44" ht="12" customHeight="1">
      <c r="A401" s="22"/>
      <c r="B401" s="77"/>
      <c r="C401" s="3998"/>
      <c r="D401" s="3998"/>
      <c r="E401" s="3998"/>
      <c r="F401" s="3998"/>
      <c r="G401" s="13" t="s">
        <v>2682</v>
      </c>
      <c r="H401" s="77"/>
      <c r="I401" s="77"/>
      <c r="J401" s="541"/>
      <c r="K401" s="310"/>
      <c r="L401" s="77"/>
      <c r="M401" s="13" t="s">
        <v>2683</v>
      </c>
      <c r="N401" s="77"/>
      <c r="O401" s="77"/>
      <c r="P401" s="541"/>
      <c r="Q401" s="310"/>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998"/>
      <c r="D402" s="3998"/>
      <c r="E402" s="3998"/>
      <c r="F402" s="3998"/>
      <c r="G402" s="77"/>
      <c r="H402" s="77"/>
      <c r="I402" s="77"/>
      <c r="J402" s="2794"/>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67"/>
      <c r="E403" s="667"/>
      <c r="F403" s="667"/>
      <c r="G403" s="667"/>
      <c r="H403" s="667"/>
      <c r="I403" s="4053" t="s">
        <v>2684</v>
      </c>
      <c r="J403" s="4053" t="s">
        <v>2685</v>
      </c>
      <c r="K403" s="4053" t="s">
        <v>2686</v>
      </c>
      <c r="L403" s="4053"/>
      <c r="M403" s="4053"/>
      <c r="N403" s="4122" t="s">
        <v>2687</v>
      </c>
      <c r="O403" s="28"/>
      <c r="P403" s="3990" t="s">
        <v>2688</v>
      </c>
      <c r="Q403" s="3990"/>
      <c r="S403" s="1048"/>
      <c r="T403" s="1048"/>
      <c r="U403" s="1048"/>
      <c r="V403" s="1048"/>
      <c r="W403" s="1048"/>
      <c r="X403" s="1048"/>
      <c r="Y403" s="1048"/>
      <c r="Z403" s="1048"/>
      <c r="AA403" s="1048"/>
      <c r="AB403" s="1048"/>
      <c r="AC403" s="1048"/>
      <c r="AD403" s="1048"/>
      <c r="AE403" s="1048"/>
      <c r="AF403" s="1048"/>
      <c r="AG403" s="1048"/>
      <c r="AH403" s="1048"/>
      <c r="AI403" s="1048"/>
      <c r="AJ403" s="1048"/>
      <c r="AK403" s="1048"/>
      <c r="AL403" s="1048"/>
      <c r="AM403" s="1048"/>
      <c r="AN403" s="1048"/>
      <c r="AO403" s="1048"/>
      <c r="AP403" s="1048"/>
      <c r="AQ403" s="1048"/>
      <c r="AR403" s="1048"/>
    </row>
    <row r="404" spans="1:44" s="43" customFormat="1" ht="12.75" customHeight="1">
      <c r="A404" s="72"/>
      <c r="B404" s="104"/>
      <c r="D404" s="667"/>
      <c r="E404" s="667"/>
      <c r="F404" s="667"/>
      <c r="G404" s="667"/>
      <c r="H404" s="667"/>
      <c r="I404" s="4054"/>
      <c r="J404" s="4053"/>
      <c r="K404" s="4053"/>
      <c r="L404" s="4053"/>
      <c r="M404" s="4053"/>
      <c r="N404" s="4123"/>
      <c r="O404" s="28"/>
      <c r="P404" s="3991"/>
      <c r="Q404" s="3991"/>
      <c r="S404" s="1048"/>
      <c r="T404" s="1048"/>
      <c r="U404" s="1048"/>
      <c r="V404" s="1048"/>
      <c r="W404" s="1048"/>
      <c r="X404" s="1048"/>
      <c r="Y404" s="1048"/>
      <c r="Z404" s="1048"/>
      <c r="AA404" s="1048"/>
      <c r="AB404" s="1048"/>
      <c r="AC404" s="1048"/>
      <c r="AD404" s="1048"/>
      <c r="AE404" s="1048"/>
      <c r="AF404" s="1048"/>
      <c r="AG404" s="1048"/>
      <c r="AH404" s="1048"/>
      <c r="AI404" s="1048"/>
      <c r="AJ404" s="1048"/>
      <c r="AK404" s="1048"/>
      <c r="AL404" s="1048"/>
      <c r="AM404" s="1048"/>
      <c r="AN404" s="1048"/>
      <c r="AO404" s="1048"/>
      <c r="AP404" s="1048"/>
      <c r="AQ404" s="1048"/>
      <c r="AR404" s="1048"/>
    </row>
    <row r="405" spans="1:44" s="43" customFormat="1" ht="12.75" customHeight="1">
      <c r="A405" s="102"/>
      <c r="B405" s="266"/>
      <c r="C405" s="3998" t="s">
        <v>2689</v>
      </c>
      <c r="D405" s="3998"/>
      <c r="E405" s="3998"/>
      <c r="F405" s="3998"/>
      <c r="G405" s="3998"/>
      <c r="H405" s="3998"/>
      <c r="I405" s="259">
        <f>K290</f>
        <v>0</v>
      </c>
      <c r="J405" s="1329"/>
      <c r="K405" s="4124"/>
      <c r="L405" s="4124"/>
      <c r="M405" s="4125"/>
      <c r="N405" s="1178">
        <f>MAX(J405,K405)</f>
        <v>0</v>
      </c>
      <c r="O405" s="28" t="s">
        <v>2690</v>
      </c>
      <c r="P405" s="267"/>
      <c r="Q405" s="306"/>
      <c r="S405" s="1048"/>
      <c r="T405" s="1048"/>
      <c r="U405" s="1048"/>
      <c r="V405" s="1048"/>
      <c r="W405" s="1048"/>
      <c r="X405" s="1048"/>
      <c r="Y405" s="1048"/>
      <c r="Z405" s="1048"/>
      <c r="AA405" s="1048"/>
      <c r="AB405" s="1048"/>
      <c r="AC405" s="1048"/>
      <c r="AD405" s="1048"/>
      <c r="AE405" s="1048"/>
      <c r="AF405" s="1048"/>
      <c r="AG405" s="1048"/>
      <c r="AH405" s="1048"/>
      <c r="AI405" s="1048"/>
      <c r="AJ405" s="1048"/>
      <c r="AK405" s="1048"/>
      <c r="AL405" s="1048"/>
      <c r="AM405" s="1048"/>
      <c r="AN405" s="1048"/>
      <c r="AO405" s="1048"/>
      <c r="AP405" s="1048"/>
      <c r="AQ405" s="1048"/>
      <c r="AR405" s="1048"/>
    </row>
    <row r="406" spans="1:44" s="95" customFormat="1" ht="12.75" customHeight="1">
      <c r="A406" s="155"/>
      <c r="B406" s="2519"/>
      <c r="C406" s="3998"/>
      <c r="D406" s="3998"/>
      <c r="E406" s="3998"/>
      <c r="F406" s="3998"/>
      <c r="G406" s="3998"/>
      <c r="H406" s="3998"/>
      <c r="I406" s="2518"/>
      <c r="J406" s="1330"/>
      <c r="K406" s="4126"/>
      <c r="L406" s="4126"/>
      <c r="M406" s="4127"/>
      <c r="N406" s="1178">
        <f>MAX(J406,K406)</f>
        <v>0</v>
      </c>
      <c r="O406" s="2512"/>
      <c r="P406" s="2518"/>
      <c r="Q406" s="2512"/>
      <c r="R406" s="251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519"/>
      <c r="C407" s="337"/>
      <c r="D407" s="337"/>
      <c r="E407" s="337"/>
      <c r="F407" s="337"/>
      <c r="G407" s="337"/>
      <c r="H407" s="337"/>
      <c r="I407" s="13"/>
      <c r="J407" s="13"/>
      <c r="K407" s="2512"/>
      <c r="L407" s="2512"/>
      <c r="M407" s="667"/>
      <c r="N407" s="1179"/>
      <c r="O407" s="28"/>
      <c r="P407" s="2512"/>
      <c r="Q407" s="2512"/>
      <c r="R407" s="2512"/>
      <c r="S407" s="166"/>
      <c r="T407" s="166"/>
      <c r="U407" s="166"/>
      <c r="V407" s="1049"/>
      <c r="W407" s="166"/>
      <c r="X407" s="1049"/>
      <c r="Y407" s="166"/>
      <c r="Z407" s="1050" t="str">
        <f t="shared" ref="Z407:AG407" si="3">IF(AA407="","",IF(AA407&lt;AC407,"Check!!!",""))</f>
        <v/>
      </c>
      <c r="AA407" s="1050" t="str">
        <f t="shared" si="3"/>
        <v/>
      </c>
      <c r="AB407" s="1050" t="str">
        <f t="shared" si="3"/>
        <v/>
      </c>
      <c r="AC407" s="1050" t="str">
        <f t="shared" si="3"/>
        <v/>
      </c>
      <c r="AD407" s="1050" t="str">
        <f t="shared" si="3"/>
        <v/>
      </c>
      <c r="AE407" s="1050" t="str">
        <f t="shared" si="3"/>
        <v/>
      </c>
      <c r="AF407" s="1050" t="str">
        <f t="shared" si="3"/>
        <v/>
      </c>
      <c r="AG407" s="1050" t="str">
        <f t="shared" si="3"/>
        <v/>
      </c>
      <c r="AH407" s="166"/>
      <c r="AI407" s="166"/>
      <c r="AJ407" s="166"/>
      <c r="AK407" s="166"/>
      <c r="AL407" s="166"/>
      <c r="AM407" s="166"/>
      <c r="AN407" s="166"/>
      <c r="AO407" s="166"/>
      <c r="AP407" s="166"/>
      <c r="AQ407" s="166"/>
      <c r="AR407" s="166"/>
    </row>
    <row r="408" spans="1:44" s="43" customFormat="1" ht="12.75" customHeight="1">
      <c r="A408" s="75"/>
      <c r="B408" s="266"/>
      <c r="D408" s="73" t="s">
        <v>2691</v>
      </c>
      <c r="E408" s="73"/>
      <c r="F408" s="73"/>
      <c r="G408" s="73"/>
      <c r="H408" s="73"/>
      <c r="I408" s="259">
        <f>K291</f>
        <v>0</v>
      </c>
      <c r="J408" s="1329"/>
      <c r="K408" s="4124"/>
      <c r="L408" s="4124"/>
      <c r="M408" s="4125"/>
      <c r="N408" s="1178">
        <f>MAX(J408,K408)</f>
        <v>0</v>
      </c>
      <c r="O408" s="28"/>
      <c r="P408" s="674"/>
      <c r="Q408" s="960"/>
      <c r="S408" s="1048"/>
      <c r="T408" s="1051"/>
      <c r="U408" s="1051"/>
      <c r="V408" s="1051"/>
      <c r="W408" s="1051"/>
      <c r="X408" s="1051"/>
      <c r="Y408" s="1051"/>
      <c r="Z408" s="1051"/>
      <c r="AA408" s="1051"/>
      <c r="AB408" s="1051"/>
      <c r="AC408" s="1051"/>
      <c r="AD408" s="1051"/>
      <c r="AE408" s="1051"/>
      <c r="AF408" s="1051"/>
      <c r="AG408" s="1051"/>
      <c r="AH408" s="1048"/>
      <c r="AI408" s="1048"/>
      <c r="AJ408" s="1048"/>
      <c r="AK408" s="1048"/>
      <c r="AL408" s="1048"/>
      <c r="AM408" s="1048"/>
      <c r="AN408" s="1048"/>
      <c r="AO408" s="1048"/>
      <c r="AP408" s="1048"/>
      <c r="AQ408" s="1048"/>
      <c r="AR408" s="1048"/>
    </row>
    <row r="409" spans="1:44" s="95" customFormat="1" ht="12.75" customHeight="1">
      <c r="A409" s="155"/>
      <c r="B409" s="2519"/>
      <c r="C409" s="337"/>
      <c r="D409" s="73"/>
      <c r="E409" s="73"/>
      <c r="F409" s="73"/>
      <c r="G409" s="73"/>
      <c r="H409" s="73"/>
      <c r="I409" s="2512"/>
      <c r="J409" s="1330"/>
      <c r="K409" s="4126"/>
      <c r="L409" s="4126"/>
      <c r="M409" s="4127"/>
      <c r="N409" s="1178">
        <f>MAX(J409,K409)</f>
        <v>0</v>
      </c>
      <c r="O409" s="16"/>
      <c r="P409" s="16"/>
      <c r="Q409" s="16"/>
      <c r="R409" s="2512"/>
      <c r="S409" s="166"/>
      <c r="T409" s="166"/>
      <c r="U409" s="166"/>
      <c r="V409" s="1049"/>
      <c r="W409" s="1052"/>
      <c r="X409" s="1049"/>
      <c r="Y409" s="166"/>
      <c r="Z409" s="1050" t="str">
        <f t="shared" ref="Z409:AG409" si="4">IF(AA409="","",IF(AA409&lt;AC409,"Check!!!",""))</f>
        <v/>
      </c>
      <c r="AA409" s="1050" t="str">
        <f t="shared" si="4"/>
        <v/>
      </c>
      <c r="AB409" s="1050" t="str">
        <f t="shared" si="4"/>
        <v/>
      </c>
      <c r="AC409" s="1050" t="str">
        <f t="shared" si="4"/>
        <v/>
      </c>
      <c r="AD409" s="1050" t="str">
        <f t="shared" si="4"/>
        <v/>
      </c>
      <c r="AE409" s="1050" t="str">
        <f t="shared" si="4"/>
        <v/>
      </c>
      <c r="AF409" s="1050" t="str">
        <f t="shared" si="4"/>
        <v/>
      </c>
      <c r="AG409" s="1050" t="str">
        <f t="shared" si="4"/>
        <v/>
      </c>
      <c r="AH409" s="166"/>
      <c r="AI409" s="166"/>
      <c r="AJ409" s="166"/>
      <c r="AK409" s="166"/>
      <c r="AL409" s="166"/>
      <c r="AM409" s="166"/>
      <c r="AN409" s="166"/>
      <c r="AO409" s="166"/>
      <c r="AP409" s="166"/>
      <c r="AQ409" s="166"/>
      <c r="AR409" s="166"/>
    </row>
    <row r="410" spans="1:44" s="95" customFormat="1" ht="9" customHeight="1">
      <c r="A410" s="155"/>
      <c r="B410" s="2519"/>
      <c r="C410" s="337"/>
      <c r="D410" s="73"/>
      <c r="E410" s="73"/>
      <c r="F410" s="73"/>
      <c r="G410" s="73"/>
      <c r="H410" s="73"/>
      <c r="I410" s="2512"/>
      <c r="J410" s="2512"/>
      <c r="K410" s="2512"/>
      <c r="L410" s="2512"/>
      <c r="M410" s="667"/>
      <c r="N410" s="1179"/>
      <c r="O410" s="16"/>
      <c r="P410" s="16"/>
      <c r="Q410" s="16"/>
      <c r="R410" s="2512"/>
      <c r="S410" s="166"/>
      <c r="T410" s="166"/>
      <c r="U410" s="166"/>
      <c r="V410" s="1049"/>
      <c r="W410" s="1052"/>
      <c r="X410" s="1049"/>
      <c r="Y410" s="166"/>
      <c r="Z410" s="1050"/>
      <c r="AA410" s="1050"/>
      <c r="AB410" s="1050"/>
      <c r="AC410" s="1050"/>
      <c r="AD410" s="1050"/>
      <c r="AE410" s="1050"/>
      <c r="AF410" s="1050"/>
      <c r="AG410" s="1050"/>
      <c r="AH410" s="166"/>
      <c r="AI410" s="166"/>
      <c r="AJ410" s="166"/>
      <c r="AK410" s="166"/>
      <c r="AL410" s="166"/>
      <c r="AM410" s="166"/>
      <c r="AN410" s="166"/>
      <c r="AO410" s="166"/>
      <c r="AP410" s="166"/>
      <c r="AQ410" s="166"/>
      <c r="AR410" s="166"/>
    </row>
    <row r="411" spans="1:44" s="43" customFormat="1" ht="12.75" customHeight="1">
      <c r="A411" s="22"/>
      <c r="B411" s="16"/>
      <c r="C411" s="3998" t="s">
        <v>2692</v>
      </c>
      <c r="D411" s="3998"/>
      <c r="E411" s="3998"/>
      <c r="F411" s="3998"/>
      <c r="G411" s="3998"/>
      <c r="H411" s="3998"/>
      <c r="I411" s="259">
        <f>K293</f>
        <v>0</v>
      </c>
      <c r="J411" s="1329"/>
      <c r="K411" s="4124"/>
      <c r="L411" s="4124"/>
      <c r="M411" s="4125"/>
      <c r="N411" s="1178">
        <f>MAX(J411,K411)</f>
        <v>0</v>
      </c>
      <c r="O411" s="28" t="s">
        <v>2693</v>
      </c>
      <c r="P411" s="267"/>
      <c r="Q411" s="306"/>
      <c r="S411" s="1048"/>
      <c r="T411" s="1049"/>
      <c r="U411" s="1049"/>
      <c r="V411" s="1049"/>
      <c r="W411" s="1049"/>
      <c r="X411" s="1049"/>
      <c r="Y411" s="1049"/>
      <c r="Z411" s="1049"/>
      <c r="AA411" s="1049"/>
      <c r="AB411" s="1049"/>
      <c r="AC411" s="1049"/>
      <c r="AD411" s="1049"/>
      <c r="AE411" s="1049"/>
      <c r="AF411" s="1049"/>
      <c r="AG411" s="1049"/>
      <c r="AH411" s="1048"/>
      <c r="AI411" s="1048"/>
      <c r="AJ411" s="1048"/>
      <c r="AK411" s="1048"/>
      <c r="AL411" s="1048"/>
      <c r="AM411" s="1048"/>
      <c r="AN411" s="1048"/>
      <c r="AO411" s="1048"/>
      <c r="AP411" s="1048"/>
      <c r="AQ411" s="1048"/>
      <c r="AR411" s="1048"/>
    </row>
    <row r="412" spans="1:44" s="95" customFormat="1" ht="12.75" customHeight="1">
      <c r="A412" s="155"/>
      <c r="B412" s="2512"/>
      <c r="C412" s="3998"/>
      <c r="D412" s="3998"/>
      <c r="E412" s="3998"/>
      <c r="F412" s="3998"/>
      <c r="G412" s="3998"/>
      <c r="H412" s="3998"/>
      <c r="I412" s="2512"/>
      <c r="J412" s="1330"/>
      <c r="K412" s="4126"/>
      <c r="L412" s="4126"/>
      <c r="M412" s="4127"/>
      <c r="N412" s="1178">
        <f>MAX(J412,K412)</f>
        <v>0</v>
      </c>
      <c r="O412" s="13"/>
      <c r="P412" s="2584"/>
      <c r="Q412" s="13"/>
      <c r="R412" s="2512"/>
      <c r="S412" s="166"/>
      <c r="T412" s="1049"/>
      <c r="U412" s="1052"/>
      <c r="V412" s="1049"/>
      <c r="W412" s="1052"/>
      <c r="X412" s="1049"/>
      <c r="Y412" s="1049"/>
      <c r="Z412" s="1049"/>
      <c r="AA412" s="1049"/>
      <c r="AB412" s="1049"/>
      <c r="AC412" s="1049"/>
      <c r="AD412" s="1049"/>
      <c r="AE412" s="1049"/>
      <c r="AF412" s="1049"/>
      <c r="AG412" s="1049"/>
      <c r="AH412" s="166"/>
      <c r="AI412" s="166"/>
      <c r="AJ412" s="166"/>
      <c r="AK412" s="166"/>
      <c r="AL412" s="166"/>
      <c r="AM412" s="166"/>
      <c r="AN412" s="166"/>
      <c r="AO412" s="166"/>
      <c r="AP412" s="166"/>
      <c r="AQ412" s="166"/>
      <c r="AR412" s="166"/>
    </row>
    <row r="413" spans="1:44" s="95" customFormat="1" ht="3" customHeight="1">
      <c r="A413" s="155"/>
      <c r="B413" s="2512"/>
      <c r="C413" s="2574"/>
      <c r="D413" s="2574"/>
      <c r="E413" s="2574"/>
      <c r="F413" s="2574"/>
      <c r="G413" s="2574"/>
      <c r="H413" s="2574"/>
      <c r="I413" s="2512"/>
      <c r="J413" s="2512"/>
      <c r="K413" s="2512"/>
      <c r="L413" s="2512"/>
      <c r="M413" s="2512"/>
      <c r="N413" s="2512"/>
      <c r="O413" s="16"/>
      <c r="P413" s="28"/>
      <c r="Q413" s="2512"/>
      <c r="R413" s="2512"/>
      <c r="S413" s="166"/>
      <c r="T413" s="166"/>
      <c r="U413" s="166"/>
      <c r="V413" s="1049"/>
      <c r="W413" s="1052"/>
      <c r="X413" s="1049"/>
      <c r="Y413" s="166"/>
      <c r="Z413" s="1050"/>
      <c r="AA413" s="1050"/>
      <c r="AB413" s="1050"/>
      <c r="AC413" s="1050"/>
      <c r="AD413" s="1050"/>
      <c r="AE413" s="1050"/>
      <c r="AF413" s="1050"/>
      <c r="AG413" s="1050"/>
      <c r="AH413" s="166"/>
      <c r="AI413" s="166"/>
      <c r="AJ413" s="166"/>
      <c r="AK413" s="166"/>
      <c r="AL413" s="166"/>
      <c r="AM413" s="166"/>
      <c r="AN413" s="166"/>
      <c r="AO413" s="166"/>
      <c r="AP413" s="166"/>
      <c r="AQ413" s="166"/>
      <c r="AR413" s="166"/>
    </row>
    <row r="414" spans="1:44" ht="12" customHeight="1">
      <c r="A414" s="22"/>
      <c r="B414" s="959" t="s">
        <v>264</v>
      </c>
      <c r="C414" s="16" t="s">
        <v>2694</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2695</v>
      </c>
      <c r="D415" s="77"/>
      <c r="E415" s="16"/>
      <c r="F415" s="16"/>
      <c r="G415" s="77"/>
      <c r="H415" s="77"/>
      <c r="I415" s="77"/>
      <c r="J415" s="77"/>
      <c r="K415" s="77"/>
      <c r="L415" s="16"/>
      <c r="M415" s="16"/>
      <c r="N415" s="77"/>
      <c r="O415" s="28" t="s">
        <v>2468</v>
      </c>
      <c r="P415" s="267" t="s">
        <v>730</v>
      </c>
      <c r="Q415" s="306" t="s">
        <v>730</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149" t="s">
        <v>2696</v>
      </c>
      <c r="E416" s="246" t="s">
        <v>2697</v>
      </c>
      <c r="F416" s="25" t="s">
        <v>2698</v>
      </c>
      <c r="G416" s="3394"/>
      <c r="H416" s="3395"/>
      <c r="I416" s="3395"/>
      <c r="J416" s="3395"/>
      <c r="K416" s="3396"/>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149"/>
      <c r="E417" s="246" t="s">
        <v>2699</v>
      </c>
      <c r="F417" s="25" t="s">
        <v>2700</v>
      </c>
      <c r="G417" s="4114" t="s">
        <v>2701</v>
      </c>
      <c r="H417" s="4115"/>
      <c r="I417" s="4116"/>
      <c r="J417" s="25" t="s">
        <v>2702</v>
      </c>
      <c r="K417" s="77"/>
      <c r="L417" s="77"/>
      <c r="M417" s="3394"/>
      <c r="N417" s="3395"/>
      <c r="O417" s="3395"/>
      <c r="P417" s="3395"/>
      <c r="Q417" s="3396"/>
      <c r="R417" s="77"/>
      <c r="S417" s="77"/>
      <c r="T417" s="77"/>
      <c r="U417" s="77"/>
      <c r="V417" s="77"/>
      <c r="W417" s="77"/>
      <c r="X417" s="77"/>
      <c r="Y417" s="77"/>
      <c r="Z417" s="77"/>
      <c r="AA417" s="77"/>
      <c r="AB417" s="77"/>
      <c r="AC417" s="77"/>
      <c r="AD417" s="77"/>
      <c r="AE417" s="77"/>
    </row>
    <row r="418" spans="1:31" ht="12" customHeight="1">
      <c r="A418" s="43"/>
      <c r="B418" s="77"/>
      <c r="C418" s="25" t="s">
        <v>2703</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65" customHeight="1">
      <c r="A419" s="77"/>
      <c r="B419" s="4128"/>
      <c r="C419" s="4129"/>
      <c r="D419" s="4129"/>
      <c r="E419" s="4129"/>
      <c r="F419" s="4129"/>
      <c r="G419" s="4129"/>
      <c r="H419" s="4129"/>
      <c r="I419" s="4129"/>
      <c r="J419" s="4129"/>
      <c r="K419" s="4129"/>
      <c r="L419" s="4129"/>
      <c r="M419" s="4129"/>
      <c r="N419" s="4129"/>
      <c r="O419" s="4129"/>
      <c r="P419" s="4129"/>
      <c r="Q419" s="4130"/>
      <c r="R419" s="248" t="s">
        <v>2704</v>
      </c>
      <c r="S419" s="77"/>
      <c r="T419" s="77"/>
      <c r="U419" s="69"/>
      <c r="V419" s="69"/>
      <c r="W419" s="69"/>
      <c r="X419" s="69"/>
      <c r="Y419" s="69"/>
      <c r="Z419" s="69"/>
      <c r="AA419" s="69"/>
      <c r="AB419" s="69"/>
      <c r="AC419" s="69"/>
      <c r="AD419" s="69"/>
      <c r="AE419" s="69"/>
    </row>
    <row r="420" spans="1:31" s="77" customFormat="1" ht="3" customHeight="1">
      <c r="A420" s="359"/>
      <c r="B420" s="359"/>
      <c r="C420" s="359"/>
      <c r="D420" s="359"/>
      <c r="E420" s="359"/>
      <c r="F420" s="359"/>
      <c r="G420" s="359"/>
      <c r="H420" s="359"/>
      <c r="I420" s="359"/>
      <c r="J420" s="359"/>
      <c r="K420" s="359"/>
      <c r="L420" s="359"/>
      <c r="M420" s="359"/>
      <c r="N420" s="359"/>
      <c r="O420" s="359"/>
      <c r="P420" s="359"/>
      <c r="Q420" s="359"/>
    </row>
    <row r="421" spans="1:31" s="77" customFormat="1">
      <c r="A421" s="75" t="s">
        <v>209</v>
      </c>
      <c r="B421" s="4148" t="s">
        <v>2705</v>
      </c>
      <c r="C421" s="3998"/>
      <c r="D421" s="3998"/>
      <c r="E421" s="3998"/>
      <c r="F421" s="3998"/>
      <c r="G421" s="3998"/>
      <c r="H421" s="3998"/>
      <c r="I421" s="3998"/>
      <c r="J421" s="3998"/>
      <c r="K421" s="3998"/>
      <c r="L421" s="3998"/>
      <c r="M421" s="3998"/>
      <c r="N421" s="3998"/>
    </row>
    <row r="422" spans="1:31" s="77" customFormat="1" ht="45" customHeight="1">
      <c r="B422" s="3998" t="s">
        <v>2706</v>
      </c>
      <c r="C422" s="3998"/>
      <c r="D422" s="3998"/>
      <c r="E422" s="3998"/>
      <c r="F422" s="3998"/>
      <c r="G422" s="3998"/>
      <c r="H422" s="3998"/>
      <c r="I422" s="3998"/>
      <c r="J422" s="3998"/>
      <c r="K422" s="3998"/>
      <c r="L422" s="3998"/>
      <c r="M422" s="3998"/>
      <c r="N422" s="3998"/>
      <c r="O422" s="84" t="s">
        <v>209</v>
      </c>
      <c r="P422" s="674"/>
      <c r="Q422" s="675"/>
    </row>
    <row r="423" spans="1:31" ht="12" customHeight="1">
      <c r="A423" s="77"/>
      <c r="B423" s="74" t="s">
        <v>1450</v>
      </c>
      <c r="C423" s="77"/>
      <c r="D423" s="74"/>
      <c r="E423" s="74"/>
      <c r="F423" s="74"/>
      <c r="G423" s="74"/>
      <c r="H423" s="16"/>
      <c r="I423" s="2584"/>
      <c r="J423" s="2584"/>
      <c r="K423" s="2584"/>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995"/>
      <c r="B424" s="3996"/>
      <c r="C424" s="3996"/>
      <c r="D424" s="3996"/>
      <c r="E424" s="3996"/>
      <c r="F424" s="3996"/>
      <c r="G424" s="3996"/>
      <c r="H424" s="3996"/>
      <c r="I424" s="3996"/>
      <c r="J424" s="3996"/>
      <c r="K424" s="3996"/>
      <c r="L424" s="3996"/>
      <c r="M424" s="3996"/>
      <c r="N424" s="3996"/>
      <c r="O424" s="3996"/>
      <c r="P424" s="3996"/>
      <c r="Q424" s="3997"/>
      <c r="R424" s="77"/>
      <c r="S424" s="77"/>
      <c r="T424" s="77"/>
      <c r="U424" s="69"/>
      <c r="V424" s="69"/>
      <c r="W424" s="69"/>
      <c r="X424" s="69"/>
      <c r="Y424" s="69"/>
      <c r="Z424" s="69"/>
      <c r="AA424" s="69"/>
      <c r="AB424" s="69"/>
      <c r="AC424" s="69"/>
      <c r="AD424" s="69"/>
      <c r="AE424" s="69"/>
    </row>
    <row r="425" spans="1:31" ht="12" customHeight="1">
      <c r="A425" s="77"/>
      <c r="B425" s="70" t="s">
        <v>1447</v>
      </c>
      <c r="C425" s="71"/>
      <c r="D425" s="2574"/>
      <c r="E425" s="2574"/>
      <c r="F425" s="2574"/>
      <c r="G425" s="2574"/>
      <c r="H425" s="2574"/>
      <c r="I425" s="2574"/>
      <c r="J425" s="2574"/>
      <c r="K425" s="2574"/>
      <c r="L425" s="2574"/>
      <c r="M425" s="2574"/>
      <c r="N425" s="2574"/>
      <c r="O425" s="2574"/>
      <c r="P425" s="2574"/>
      <c r="Q425" s="2574"/>
      <c r="R425" s="77"/>
      <c r="S425" s="77"/>
      <c r="T425" s="77"/>
      <c r="U425" s="77"/>
      <c r="V425" s="77"/>
      <c r="W425" s="77"/>
      <c r="X425" s="77"/>
      <c r="Y425" s="77"/>
      <c r="Z425" s="77"/>
      <c r="AA425" s="77"/>
      <c r="AB425" s="77"/>
      <c r="AC425" s="77"/>
      <c r="AD425" s="77"/>
      <c r="AE425" s="77"/>
    </row>
    <row r="426" spans="1:31" ht="33.6" customHeight="1">
      <c r="A426" s="3999"/>
      <c r="B426" s="4000"/>
      <c r="C426" s="4000"/>
      <c r="D426" s="4000"/>
      <c r="E426" s="4000"/>
      <c r="F426" s="4000"/>
      <c r="G426" s="4000"/>
      <c r="H426" s="4000"/>
      <c r="I426" s="4000"/>
      <c r="J426" s="4000"/>
      <c r="K426" s="4000"/>
      <c r="L426" s="4000"/>
      <c r="M426" s="4000"/>
      <c r="N426" s="4000"/>
      <c r="O426" s="4000"/>
      <c r="P426" s="4000"/>
      <c r="Q426" s="4001"/>
      <c r="R426" s="77"/>
      <c r="S426" s="77"/>
      <c r="T426" s="77"/>
      <c r="U426" s="77"/>
      <c r="V426" s="77"/>
      <c r="W426" s="77"/>
      <c r="X426" s="77"/>
      <c r="Y426" s="77"/>
      <c r="Z426" s="77"/>
      <c r="AA426" s="77"/>
      <c r="AB426" s="77"/>
      <c r="AC426" s="77"/>
      <c r="AD426" s="77"/>
      <c r="AE426" s="77"/>
    </row>
    <row r="427" spans="1:31" ht="3" customHeight="1">
      <c r="A427" s="517"/>
      <c r="B427" s="2584"/>
      <c r="C427" s="2574"/>
      <c r="D427" s="2574"/>
      <c r="E427" s="2574"/>
      <c r="F427" s="2574"/>
      <c r="G427" s="2574"/>
      <c r="H427" s="2574"/>
      <c r="I427" s="2574"/>
      <c r="J427" s="2574"/>
      <c r="K427" s="2574"/>
      <c r="L427" s="2574"/>
      <c r="M427" s="2574"/>
      <c r="N427" s="77"/>
      <c r="O427" s="77"/>
      <c r="P427" s="77"/>
      <c r="Q427" s="517"/>
      <c r="R427" s="77"/>
      <c r="S427" s="77"/>
      <c r="T427" s="77"/>
      <c r="U427" s="77"/>
      <c r="V427" s="77"/>
      <c r="W427" s="77"/>
      <c r="X427" s="77"/>
      <c r="Y427" s="77"/>
      <c r="Z427" s="77"/>
      <c r="AA427" s="77"/>
      <c r="AB427" s="77"/>
      <c r="AC427" s="77"/>
      <c r="AD427" s="77"/>
      <c r="AE427" s="77"/>
    </row>
    <row r="428" spans="1:31" ht="14.1" customHeight="1">
      <c r="A428" s="2536" t="s">
        <v>1636</v>
      </c>
      <c r="B428" s="3" t="s">
        <v>1621</v>
      </c>
      <c r="C428" s="3"/>
      <c r="D428" s="38"/>
      <c r="E428" s="2574"/>
      <c r="F428" s="2574"/>
      <c r="G428" s="2574"/>
      <c r="H428" s="2574"/>
      <c r="I428" s="77"/>
      <c r="J428" s="77"/>
      <c r="K428" s="77"/>
      <c r="L428" s="77"/>
      <c r="M428" s="77"/>
      <c r="N428" s="77"/>
      <c r="O428" s="66" t="s">
        <v>1444</v>
      </c>
      <c r="P428" s="4014"/>
      <c r="Q428" s="4003"/>
      <c r="R428" s="77"/>
      <c r="S428" s="77"/>
      <c r="T428" s="77"/>
      <c r="U428" s="77"/>
      <c r="V428" s="77"/>
      <c r="W428" s="77"/>
      <c r="X428" s="77"/>
      <c r="Y428" s="77"/>
      <c r="Z428" s="77"/>
      <c r="AA428" s="77"/>
      <c r="AB428" s="77"/>
      <c r="AC428" s="77"/>
      <c r="AD428" s="77"/>
      <c r="AE428" s="77"/>
    </row>
    <row r="429" spans="1:31" ht="14.1" customHeight="1">
      <c r="A429" s="77"/>
      <c r="B429" s="38" t="s">
        <v>2707</v>
      </c>
      <c r="C429" s="3"/>
      <c r="D429" s="38"/>
      <c r="E429" s="2574"/>
      <c r="F429" s="2574"/>
      <c r="G429" s="2574"/>
      <c r="H429" s="257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197</v>
      </c>
      <c r="B430" s="3998" t="s">
        <v>2708</v>
      </c>
      <c r="C430" s="3998"/>
      <c r="D430" s="3998"/>
      <c r="E430" s="3998"/>
      <c r="F430" s="3998"/>
      <c r="G430" s="3998"/>
      <c r="H430" s="3998"/>
      <c r="I430" s="3998"/>
      <c r="J430" s="3998"/>
      <c r="K430" s="3998"/>
      <c r="L430" s="3998"/>
      <c r="M430" s="3998"/>
      <c r="N430" s="3998"/>
      <c r="O430" s="84" t="s">
        <v>197</v>
      </c>
      <c r="P430" s="1374"/>
      <c r="Q430" s="1375"/>
      <c r="R430" s="229"/>
      <c r="S430" s="229"/>
      <c r="T430" s="229"/>
      <c r="U430" s="229"/>
      <c r="V430" s="229"/>
      <c r="W430" s="229"/>
      <c r="X430" s="229"/>
      <c r="Y430" s="229"/>
      <c r="Z430" s="229"/>
      <c r="AA430" s="229"/>
      <c r="AB430" s="229"/>
      <c r="AC430" s="229"/>
      <c r="AD430" s="229"/>
      <c r="AE430" s="229"/>
    </row>
    <row r="431" spans="1:31" s="67" customFormat="1" ht="22.5" customHeight="1">
      <c r="A431" s="75" t="s">
        <v>209</v>
      </c>
      <c r="B431" s="3998" t="s">
        <v>2709</v>
      </c>
      <c r="C431" s="3998"/>
      <c r="D431" s="3998"/>
      <c r="E431" s="3998"/>
      <c r="F431" s="3998"/>
      <c r="G431" s="3998"/>
      <c r="H431" s="3998"/>
      <c r="I431" s="3998"/>
      <c r="J431" s="3998"/>
      <c r="K431" s="3998"/>
      <c r="L431" s="3998"/>
      <c r="M431" s="3998"/>
      <c r="N431" s="3998"/>
      <c r="O431" s="84" t="s">
        <v>209</v>
      </c>
      <c r="P431" s="2582"/>
      <c r="Q431" s="2580"/>
      <c r="R431" s="229"/>
      <c r="S431" s="229"/>
      <c r="T431" s="229"/>
      <c r="U431" s="229"/>
      <c r="V431" s="229"/>
      <c r="W431" s="229"/>
      <c r="X431" s="229"/>
      <c r="Y431" s="229"/>
      <c r="Z431" s="229"/>
      <c r="AA431" s="229"/>
      <c r="AB431" s="229"/>
      <c r="AC431" s="229"/>
      <c r="AD431" s="229"/>
      <c r="AE431" s="229"/>
    </row>
    <row r="432" spans="1:31" s="67" customFormat="1" ht="22.5" customHeight="1">
      <c r="A432" s="229"/>
      <c r="B432" s="266" t="s">
        <v>1521</v>
      </c>
      <c r="C432" s="3998" t="s">
        <v>2710</v>
      </c>
      <c r="D432" s="3998"/>
      <c r="E432" s="3998"/>
      <c r="F432" s="3998"/>
      <c r="G432" s="3998"/>
      <c r="H432" s="3998"/>
      <c r="I432" s="3998"/>
      <c r="J432" s="3998"/>
      <c r="K432" s="3998"/>
      <c r="L432" s="3998"/>
      <c r="M432" s="3998"/>
      <c r="N432" s="3998"/>
      <c r="O432" s="84" t="s">
        <v>1521</v>
      </c>
      <c r="P432" s="2582"/>
      <c r="Q432" s="2580"/>
      <c r="R432" s="229"/>
      <c r="S432" s="229"/>
      <c r="T432" s="229"/>
      <c r="U432" s="229"/>
      <c r="V432" s="229"/>
      <c r="W432" s="229"/>
      <c r="X432" s="229"/>
      <c r="Y432" s="229"/>
      <c r="Z432" s="229"/>
      <c r="AA432" s="229"/>
      <c r="AB432" s="229"/>
      <c r="AC432" s="229"/>
      <c r="AD432" s="229"/>
      <c r="AE432" s="229"/>
    </row>
    <row r="433" spans="1:31" s="18" customFormat="1" ht="12" customHeight="1">
      <c r="A433" s="43"/>
      <c r="B433" s="266" t="s">
        <v>1524</v>
      </c>
      <c r="C433" s="13" t="s">
        <v>2711</v>
      </c>
      <c r="D433" s="68"/>
      <c r="E433" s="68"/>
      <c r="F433" s="68"/>
      <c r="G433" s="68"/>
      <c r="H433" s="68"/>
      <c r="I433" s="68"/>
      <c r="J433" s="68"/>
      <c r="K433" s="68"/>
      <c r="L433" s="68"/>
      <c r="M433" s="68"/>
      <c r="N433" s="68"/>
      <c r="O433" s="28" t="s">
        <v>1524</v>
      </c>
      <c r="P433" s="202"/>
      <c r="Q433" s="307"/>
      <c r="R433" s="43"/>
      <c r="S433" s="43"/>
      <c r="T433" s="43"/>
      <c r="U433" s="43"/>
      <c r="V433" s="43"/>
      <c r="W433" s="43"/>
      <c r="X433" s="43"/>
      <c r="Y433" s="43"/>
      <c r="Z433" s="43"/>
      <c r="AA433" s="43"/>
      <c r="AB433" s="43"/>
      <c r="AC433" s="43"/>
      <c r="AD433" s="43"/>
      <c r="AE433" s="43"/>
    </row>
    <row r="434" spans="1:31" s="67" customFormat="1" ht="33" customHeight="1">
      <c r="A434" s="229"/>
      <c r="B434" s="266" t="s">
        <v>1526</v>
      </c>
      <c r="C434" s="3998" t="s">
        <v>2712</v>
      </c>
      <c r="D434" s="3998"/>
      <c r="E434" s="3998"/>
      <c r="F434" s="3998"/>
      <c r="G434" s="3998"/>
      <c r="H434" s="3998"/>
      <c r="I434" s="3998"/>
      <c r="J434" s="3998"/>
      <c r="K434" s="3998"/>
      <c r="L434" s="3998"/>
      <c r="M434" s="3998"/>
      <c r="N434" s="3998"/>
      <c r="O434" s="84" t="s">
        <v>1526</v>
      </c>
      <c r="P434" s="2582"/>
      <c r="Q434" s="2580"/>
      <c r="R434" s="229"/>
      <c r="S434" s="229"/>
      <c r="T434" s="229"/>
      <c r="U434" s="229"/>
      <c r="V434" s="229"/>
      <c r="W434" s="229"/>
      <c r="X434" s="229"/>
      <c r="Y434" s="229"/>
      <c r="Z434" s="229"/>
      <c r="AA434" s="229"/>
      <c r="AB434" s="229"/>
      <c r="AC434" s="229"/>
      <c r="AD434" s="229"/>
      <c r="AE434" s="229"/>
    </row>
    <row r="435" spans="1:31" s="67" customFormat="1" ht="22.5" customHeight="1">
      <c r="A435" s="229"/>
      <c r="B435" s="266" t="s">
        <v>1528</v>
      </c>
      <c r="C435" s="3998" t="s">
        <v>2713</v>
      </c>
      <c r="D435" s="3998"/>
      <c r="E435" s="3998"/>
      <c r="F435" s="3998"/>
      <c r="G435" s="3998"/>
      <c r="H435" s="3998"/>
      <c r="I435" s="3998"/>
      <c r="J435" s="3998"/>
      <c r="K435" s="3998"/>
      <c r="L435" s="3998"/>
      <c r="M435" s="3998"/>
      <c r="N435" s="3998"/>
      <c r="O435" s="84" t="s">
        <v>1528</v>
      </c>
      <c r="P435" s="2582"/>
      <c r="Q435" s="2580"/>
      <c r="R435" s="229"/>
      <c r="S435" s="229"/>
      <c r="T435" s="229"/>
      <c r="U435" s="229"/>
      <c r="V435" s="229"/>
      <c r="W435" s="229"/>
      <c r="X435" s="229"/>
      <c r="Y435" s="229"/>
      <c r="Z435" s="229"/>
      <c r="AA435" s="229"/>
      <c r="AB435" s="229"/>
      <c r="AC435" s="229"/>
      <c r="AD435" s="229"/>
      <c r="AE435" s="229"/>
    </row>
    <row r="436" spans="1:31" s="67" customFormat="1" ht="22.5" customHeight="1">
      <c r="A436" s="75" t="s">
        <v>230</v>
      </c>
      <c r="B436" s="3998" t="s">
        <v>2714</v>
      </c>
      <c r="C436" s="3998"/>
      <c r="D436" s="3998"/>
      <c r="E436" s="3998"/>
      <c r="F436" s="3998"/>
      <c r="G436" s="3998"/>
      <c r="H436" s="3998"/>
      <c r="I436" s="3998"/>
      <c r="J436" s="3998"/>
      <c r="K436" s="3998"/>
      <c r="L436" s="3998"/>
      <c r="M436" s="3998"/>
      <c r="N436" s="3998"/>
      <c r="O436" s="84" t="s">
        <v>230</v>
      </c>
      <c r="P436" s="2582"/>
      <c r="Q436" s="2580"/>
      <c r="R436" s="229"/>
      <c r="S436" s="229"/>
      <c r="T436" s="229"/>
      <c r="U436" s="229"/>
      <c r="V436" s="229"/>
      <c r="W436" s="229"/>
      <c r="X436" s="229"/>
      <c r="Y436" s="229"/>
      <c r="Z436" s="229"/>
      <c r="AA436" s="229"/>
      <c r="AB436" s="229"/>
      <c r="AC436" s="229"/>
      <c r="AD436" s="229"/>
      <c r="AE436" s="229"/>
    </row>
    <row r="437" spans="1:31" s="67" customFormat="1" ht="22.5" customHeight="1">
      <c r="A437" s="75" t="s">
        <v>232</v>
      </c>
      <c r="B437" s="3998" t="s">
        <v>2715</v>
      </c>
      <c r="C437" s="3998"/>
      <c r="D437" s="3998"/>
      <c r="E437" s="3998"/>
      <c r="F437" s="3998"/>
      <c r="G437" s="3998"/>
      <c r="H437" s="3998"/>
      <c r="I437" s="3998"/>
      <c r="J437" s="3998"/>
      <c r="K437" s="3998"/>
      <c r="L437" s="3998"/>
      <c r="M437" s="3998"/>
      <c r="N437" s="3998"/>
      <c r="O437" s="84" t="s">
        <v>232</v>
      </c>
      <c r="P437" s="2582"/>
      <c r="Q437" s="2580"/>
      <c r="R437" s="229"/>
      <c r="S437" s="229"/>
      <c r="T437" s="229"/>
      <c r="U437" s="229"/>
      <c r="V437" s="229"/>
      <c r="W437" s="229"/>
      <c r="X437" s="229"/>
      <c r="Y437" s="229"/>
      <c r="Z437" s="229"/>
      <c r="AA437" s="229"/>
      <c r="AB437" s="229"/>
      <c r="AC437" s="229"/>
      <c r="AD437" s="229"/>
      <c r="AE437" s="229"/>
    </row>
    <row r="438" spans="1:31" s="67" customFormat="1" ht="21.75" customHeight="1">
      <c r="A438" s="75" t="s">
        <v>239</v>
      </c>
      <c r="B438" s="3998" t="s">
        <v>2716</v>
      </c>
      <c r="C438" s="3998"/>
      <c r="D438" s="3998"/>
      <c r="E438" s="3998"/>
      <c r="F438" s="3998"/>
      <c r="G438" s="3998"/>
      <c r="H438" s="3998"/>
      <c r="I438" s="3998"/>
      <c r="J438" s="3998"/>
      <c r="K438" s="3998"/>
      <c r="L438" s="3998"/>
      <c r="M438" s="3998"/>
      <c r="N438" s="3998"/>
      <c r="O438" s="84" t="s">
        <v>239</v>
      </c>
      <c r="P438" s="2582"/>
      <c r="Q438" s="2580"/>
      <c r="R438" s="229"/>
      <c r="S438" s="229"/>
      <c r="T438" s="229"/>
      <c r="U438" s="229"/>
      <c r="V438" s="229"/>
      <c r="W438" s="229"/>
      <c r="X438" s="229"/>
      <c r="Y438" s="229"/>
      <c r="Z438" s="229"/>
      <c r="AA438" s="229"/>
      <c r="AB438" s="229"/>
      <c r="AC438" s="229"/>
      <c r="AD438" s="229"/>
      <c r="AE438" s="229"/>
    </row>
    <row r="439" spans="1:31" s="229" customFormat="1" ht="21.75" customHeight="1">
      <c r="A439" s="75" t="s">
        <v>241</v>
      </c>
      <c r="B439" s="3998" t="s">
        <v>2717</v>
      </c>
      <c r="C439" s="3998"/>
      <c r="D439" s="3998"/>
      <c r="E439" s="3998"/>
      <c r="F439" s="3998"/>
      <c r="G439" s="3998"/>
      <c r="H439" s="3998"/>
      <c r="I439" s="3998"/>
      <c r="J439" s="3998"/>
      <c r="K439" s="3998"/>
      <c r="L439" s="3998"/>
      <c r="M439" s="3998"/>
      <c r="N439" s="3998"/>
      <c r="O439" s="84" t="s">
        <v>241</v>
      </c>
      <c r="P439" s="2583"/>
      <c r="Q439" s="2581"/>
    </row>
    <row r="440" spans="1:31" ht="11.25" customHeight="1">
      <c r="A440" s="77"/>
      <c r="B440" s="74" t="s">
        <v>1450</v>
      </c>
      <c r="C440" s="77"/>
      <c r="D440" s="74"/>
      <c r="E440" s="74"/>
      <c r="F440" s="74"/>
      <c r="G440" s="74"/>
      <c r="H440" s="16"/>
      <c r="I440" s="2584"/>
      <c r="J440" s="2584"/>
      <c r="K440" s="2584"/>
      <c r="L440" s="517"/>
      <c r="M440" s="517"/>
      <c r="N440" s="517"/>
      <c r="O440" s="517"/>
      <c r="P440" s="517"/>
      <c r="Q440" s="517"/>
      <c r="R440" s="77"/>
      <c r="S440" s="77"/>
      <c r="T440" s="77"/>
      <c r="U440" s="77"/>
      <c r="V440" s="77"/>
      <c r="W440" s="77"/>
      <c r="X440" s="77"/>
      <c r="Y440" s="77"/>
      <c r="Z440" s="77"/>
      <c r="AA440" s="77"/>
      <c r="AB440" s="77"/>
      <c r="AC440" s="77"/>
      <c r="AD440" s="77"/>
      <c r="AE440" s="77"/>
    </row>
    <row r="441" spans="1:31" ht="12.75" customHeight="1">
      <c r="A441" s="3995"/>
      <c r="B441" s="3996"/>
      <c r="C441" s="3996"/>
      <c r="D441" s="3996"/>
      <c r="E441" s="3996"/>
      <c r="F441" s="3996"/>
      <c r="G441" s="3996"/>
      <c r="H441" s="3996"/>
      <c r="I441" s="3996"/>
      <c r="J441" s="3996"/>
      <c r="K441" s="3996"/>
      <c r="L441" s="3996"/>
      <c r="M441" s="3996"/>
      <c r="N441" s="3996"/>
      <c r="O441" s="3996"/>
      <c r="P441" s="3996"/>
      <c r="Q441" s="3997"/>
      <c r="R441" s="248" t="s">
        <v>2401</v>
      </c>
      <c r="S441" s="249"/>
      <c r="T441" s="77"/>
      <c r="U441" s="69"/>
      <c r="V441" s="69"/>
      <c r="W441" s="69"/>
      <c r="X441" s="69"/>
      <c r="Y441" s="69"/>
      <c r="Z441" s="69"/>
      <c r="AA441" s="69"/>
      <c r="AB441" s="69"/>
      <c r="AC441" s="69"/>
      <c r="AD441" s="69"/>
      <c r="AE441" s="69"/>
    </row>
    <row r="442" spans="1:31" ht="11.25" customHeight="1">
      <c r="A442" s="77"/>
      <c r="B442" s="70" t="s">
        <v>1447</v>
      </c>
      <c r="C442" s="71"/>
      <c r="D442" s="2574"/>
      <c r="E442" s="2574"/>
      <c r="F442" s="2574"/>
      <c r="G442" s="2574"/>
      <c r="H442" s="2574"/>
      <c r="I442" s="2574"/>
      <c r="J442" s="2574"/>
      <c r="K442" s="2574"/>
      <c r="L442" s="2574"/>
      <c r="M442" s="2574"/>
      <c r="N442" s="2574"/>
      <c r="O442" s="2574"/>
      <c r="P442" s="2574"/>
      <c r="Q442" s="2574"/>
      <c r="R442" s="77"/>
      <c r="S442" s="77"/>
      <c r="T442" s="77"/>
      <c r="U442" s="77"/>
      <c r="V442" s="77"/>
      <c r="W442" s="77"/>
      <c r="X442" s="77"/>
      <c r="Y442" s="77"/>
      <c r="Z442" s="77"/>
      <c r="AA442" s="77"/>
      <c r="AB442" s="77"/>
      <c r="AC442" s="77"/>
      <c r="AD442" s="77"/>
      <c r="AE442" s="77"/>
    </row>
    <row r="443" spans="1:31" ht="12.75" customHeight="1">
      <c r="A443" s="3999"/>
      <c r="B443" s="4000"/>
      <c r="C443" s="4000"/>
      <c r="D443" s="4000"/>
      <c r="E443" s="4000"/>
      <c r="F443" s="4000"/>
      <c r="G443" s="4000"/>
      <c r="H443" s="4000"/>
      <c r="I443" s="4000"/>
      <c r="J443" s="4000"/>
      <c r="K443" s="4000"/>
      <c r="L443" s="4000"/>
      <c r="M443" s="4000"/>
      <c r="N443" s="4000"/>
      <c r="O443" s="4000"/>
      <c r="P443" s="4000"/>
      <c r="Q443" s="4001"/>
      <c r="R443" s="77"/>
      <c r="S443" s="77"/>
      <c r="T443" s="77"/>
      <c r="U443" s="77"/>
      <c r="V443" s="77"/>
      <c r="W443" s="77"/>
      <c r="X443" s="77"/>
      <c r="Y443" s="77"/>
      <c r="Z443" s="77"/>
      <c r="AA443" s="77"/>
      <c r="AB443" s="77"/>
      <c r="AC443" s="77"/>
      <c r="AD443" s="77"/>
      <c r="AE443" s="77"/>
    </row>
    <row r="444" spans="1:31" ht="3" customHeight="1">
      <c r="A444" s="517"/>
      <c r="B444" s="2584"/>
      <c r="C444" s="2574"/>
      <c r="D444" s="2574"/>
      <c r="E444" s="2574"/>
      <c r="F444" s="2574"/>
      <c r="G444" s="2574"/>
      <c r="H444" s="2574"/>
      <c r="I444" s="2574"/>
      <c r="J444" s="2574"/>
      <c r="K444" s="2574"/>
      <c r="L444" s="2574"/>
      <c r="M444" s="2574"/>
      <c r="N444" s="77"/>
      <c r="O444" s="77"/>
      <c r="P444" s="77"/>
      <c r="Q444" s="517"/>
      <c r="R444" s="77"/>
      <c r="S444" s="77"/>
      <c r="T444" s="77"/>
      <c r="U444" s="77"/>
      <c r="V444" s="77"/>
      <c r="W444" s="77"/>
      <c r="X444" s="77"/>
      <c r="Y444" s="77"/>
      <c r="Z444" s="77"/>
      <c r="AA444" s="77"/>
      <c r="AB444" s="77"/>
      <c r="AC444" s="77"/>
      <c r="AD444" s="77"/>
      <c r="AE444" s="77"/>
    </row>
    <row r="445" spans="1:31" ht="14.1" customHeight="1">
      <c r="A445" s="2536" t="s">
        <v>1641</v>
      </c>
      <c r="B445" s="3"/>
      <c r="C445" s="3" t="s">
        <v>1642</v>
      </c>
      <c r="D445" s="38"/>
      <c r="E445" s="2574"/>
      <c r="F445" s="2574"/>
      <c r="G445" s="2574"/>
      <c r="H445" s="2574"/>
      <c r="I445" s="77"/>
      <c r="J445" s="2574"/>
      <c r="K445" s="2574"/>
      <c r="L445" s="2574"/>
      <c r="M445" s="2574"/>
      <c r="N445" s="77"/>
      <c r="O445" s="66" t="s">
        <v>1444</v>
      </c>
      <c r="P445" s="4014"/>
      <c r="Q445" s="4003"/>
      <c r="R445" s="77"/>
      <c r="S445" s="77"/>
      <c r="T445" s="77"/>
      <c r="U445" s="77"/>
      <c r="V445" s="77"/>
      <c r="W445" s="77"/>
      <c r="X445" s="77"/>
      <c r="Y445" s="77"/>
      <c r="Z445" s="77"/>
      <c r="AA445" s="77"/>
      <c r="AB445" s="77"/>
      <c r="AC445" s="77"/>
      <c r="AD445" s="77"/>
      <c r="AE445" s="77"/>
    </row>
    <row r="446" spans="1:31" ht="11.25" customHeight="1">
      <c r="A446" s="2536"/>
      <c r="B446" s="74" t="s">
        <v>1450</v>
      </c>
      <c r="C446" s="77"/>
      <c r="D446" s="74"/>
      <c r="E446" s="74"/>
      <c r="F446" s="74"/>
      <c r="G446" s="74"/>
      <c r="H446" s="16"/>
      <c r="I446" s="2584"/>
      <c r="J446" s="2584"/>
      <c r="K446" s="2584"/>
      <c r="L446" s="517"/>
      <c r="M446" s="517"/>
      <c r="N446" s="517"/>
      <c r="O446" s="517"/>
      <c r="P446" s="517"/>
      <c r="Q446" s="517"/>
      <c r="R446" s="77"/>
      <c r="S446" s="77"/>
      <c r="T446" s="77"/>
      <c r="U446" s="77"/>
      <c r="V446" s="77"/>
      <c r="W446" s="77"/>
      <c r="X446" s="77"/>
      <c r="Y446" s="77"/>
      <c r="Z446" s="77"/>
      <c r="AA446" s="77"/>
      <c r="AB446" s="77"/>
      <c r="AC446" s="77"/>
      <c r="AD446" s="77"/>
      <c r="AE446" s="77"/>
    </row>
    <row r="447" spans="1:31" ht="12" customHeight="1">
      <c r="A447" s="3995"/>
      <c r="B447" s="3996"/>
      <c r="C447" s="3996"/>
      <c r="D447" s="3996"/>
      <c r="E447" s="3996"/>
      <c r="F447" s="3996"/>
      <c r="G447" s="3996"/>
      <c r="H447" s="3996"/>
      <c r="I447" s="3996"/>
      <c r="J447" s="3996"/>
      <c r="K447" s="3996"/>
      <c r="L447" s="3996"/>
      <c r="M447" s="3996"/>
      <c r="N447" s="3996"/>
      <c r="O447" s="3996"/>
      <c r="P447" s="3996"/>
      <c r="Q447" s="3997"/>
      <c r="R447" s="248" t="s">
        <v>2401</v>
      </c>
      <c r="S447" s="249"/>
      <c r="T447" s="77"/>
      <c r="U447" s="69"/>
      <c r="V447" s="69"/>
      <c r="W447" s="69"/>
      <c r="X447" s="69"/>
      <c r="Y447" s="69"/>
      <c r="Z447" s="69"/>
      <c r="AA447" s="69"/>
      <c r="AB447" s="69"/>
      <c r="AC447" s="69"/>
      <c r="AD447" s="69"/>
      <c r="AE447" s="69"/>
    </row>
    <row r="448" spans="1:31" ht="11.25" customHeight="1">
      <c r="A448" s="77"/>
      <c r="B448" s="70" t="s">
        <v>1447</v>
      </c>
      <c r="C448" s="71"/>
      <c r="D448" s="2574"/>
      <c r="E448" s="2574"/>
      <c r="F448" s="2574"/>
      <c r="G448" s="2574"/>
      <c r="H448" s="2574"/>
      <c r="I448" s="2574"/>
      <c r="J448" s="2574"/>
      <c r="K448" s="2574"/>
      <c r="L448" s="2574"/>
      <c r="M448" s="2574"/>
      <c r="N448" s="2574"/>
      <c r="O448" s="2574"/>
      <c r="P448" s="2574"/>
      <c r="Q448" s="2574"/>
      <c r="R448" s="77"/>
      <c r="S448" s="77"/>
      <c r="T448" s="77"/>
      <c r="U448" s="77"/>
      <c r="V448" s="77"/>
      <c r="W448" s="77"/>
      <c r="X448" s="77"/>
      <c r="Y448" s="77"/>
      <c r="Z448" s="77"/>
      <c r="AA448" s="77"/>
      <c r="AB448" s="77"/>
      <c r="AC448" s="77"/>
      <c r="AD448" s="77"/>
      <c r="AE448" s="77"/>
    </row>
    <row r="449" spans="1:18" ht="12" customHeight="1">
      <c r="A449" s="3999"/>
      <c r="B449" s="4000"/>
      <c r="C449" s="4000"/>
      <c r="D449" s="4000"/>
      <c r="E449" s="4000"/>
      <c r="F449" s="4000"/>
      <c r="G449" s="4000"/>
      <c r="H449" s="4000"/>
      <c r="I449" s="4000"/>
      <c r="J449" s="4000"/>
      <c r="K449" s="4000"/>
      <c r="L449" s="4000"/>
      <c r="M449" s="4000"/>
      <c r="N449" s="4000"/>
      <c r="O449" s="4000"/>
      <c r="P449" s="4000"/>
      <c r="Q449" s="4001"/>
      <c r="R449" s="77"/>
    </row>
    <row r="450" spans="1:18" ht="3" customHeight="1">
      <c r="A450" s="517"/>
      <c r="B450" s="2584"/>
      <c r="C450" s="2574"/>
      <c r="D450" s="2574"/>
      <c r="E450" s="2574"/>
      <c r="F450" s="2574"/>
      <c r="G450" s="2574"/>
      <c r="H450" s="2574"/>
      <c r="I450" s="2574"/>
      <c r="J450" s="2574"/>
      <c r="K450" s="2574"/>
      <c r="L450" s="2574"/>
      <c r="M450" s="2574"/>
      <c r="N450" s="2574"/>
      <c r="O450" s="2574"/>
      <c r="P450" s="2574"/>
      <c r="Q450" s="517"/>
      <c r="R450" s="77"/>
    </row>
    <row r="451" spans="1:18" ht="3" customHeight="1">
      <c r="A451" s="517"/>
      <c r="B451" s="2584"/>
      <c r="C451" s="2574"/>
      <c r="D451" s="2574"/>
      <c r="E451" s="2574"/>
      <c r="F451" s="2574"/>
      <c r="G451" s="2574"/>
      <c r="H451" s="2574"/>
      <c r="I451" s="2574"/>
      <c r="J451" s="2574"/>
      <c r="K451" s="2574"/>
      <c r="L451" s="2574"/>
      <c r="M451" s="2574"/>
      <c r="N451" s="2574"/>
      <c r="O451" s="2574"/>
      <c r="P451" s="2574"/>
      <c r="Q451" s="517"/>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12" customFormat="1" ht="11.25">
      <c r="A456" s="25"/>
      <c r="B456" s="25"/>
      <c r="C456" s="612" t="s">
        <v>730</v>
      </c>
      <c r="J456" s="1436" t="s">
        <v>1644</v>
      </c>
      <c r="N456" s="613"/>
      <c r="O456" s="1436" t="s">
        <v>1645</v>
      </c>
      <c r="P456" s="1437"/>
      <c r="R456" s="25"/>
    </row>
    <row r="457" spans="1:18" s="612" customFormat="1" ht="11.25">
      <c r="A457" s="25"/>
      <c r="B457" s="25"/>
      <c r="C457" s="1438" t="s">
        <v>1646</v>
      </c>
      <c r="J457" s="1436" t="s">
        <v>1647</v>
      </c>
      <c r="N457" s="613"/>
      <c r="O457" s="1436" t="s">
        <v>1648</v>
      </c>
      <c r="P457" s="1437"/>
      <c r="R457" s="25"/>
    </row>
    <row r="458" spans="1:18" s="612" customFormat="1" ht="11.25">
      <c r="A458" s="25"/>
      <c r="B458" s="25"/>
      <c r="C458" s="1438" t="s">
        <v>1649</v>
      </c>
      <c r="J458" s="1436" t="s">
        <v>1650</v>
      </c>
      <c r="N458" s="613"/>
      <c r="O458" s="1436" t="s">
        <v>1651</v>
      </c>
      <c r="P458" s="1437"/>
      <c r="R458" s="25"/>
    </row>
    <row r="459" spans="1:18" s="612" customFormat="1" ht="11.25">
      <c r="A459" s="25"/>
      <c r="B459" s="25"/>
      <c r="C459" s="1438" t="s">
        <v>1652</v>
      </c>
      <c r="J459" s="1436" t="s">
        <v>1653</v>
      </c>
      <c r="N459" s="613"/>
      <c r="O459" s="1436" t="s">
        <v>1654</v>
      </c>
      <c r="P459" s="1437"/>
      <c r="R459" s="25"/>
    </row>
    <row r="460" spans="1:18" s="612" customFormat="1" ht="11.25">
      <c r="A460" s="25"/>
      <c r="B460" s="25"/>
      <c r="C460" s="1438" t="s">
        <v>1655</v>
      </c>
      <c r="J460" s="1436" t="s">
        <v>1656</v>
      </c>
      <c r="N460" s="613"/>
      <c r="O460" s="1436" t="s">
        <v>1657</v>
      </c>
      <c r="P460" s="1437"/>
      <c r="R460" s="25"/>
    </row>
    <row r="461" spans="1:18" s="612" customFormat="1" ht="11.25">
      <c r="A461" s="25"/>
      <c r="B461" s="25"/>
      <c r="C461" s="1438" t="s">
        <v>1658</v>
      </c>
      <c r="J461" s="1436" t="s">
        <v>1659</v>
      </c>
      <c r="N461" s="613"/>
      <c r="O461" s="1436" t="s">
        <v>1660</v>
      </c>
      <c r="P461" s="1437"/>
      <c r="R461" s="25"/>
    </row>
    <row r="462" spans="1:18" s="612" customFormat="1" ht="11.25">
      <c r="A462" s="25"/>
      <c r="B462" s="25"/>
      <c r="C462" s="1438" t="s">
        <v>1661</v>
      </c>
      <c r="J462" s="1436" t="s">
        <v>1662</v>
      </c>
      <c r="N462" s="613"/>
      <c r="O462" s="1436" t="s">
        <v>1663</v>
      </c>
      <c r="P462" s="1437"/>
      <c r="R462" s="25"/>
    </row>
    <row r="463" spans="1:18" s="612" customFormat="1" ht="11.25">
      <c r="A463" s="25"/>
      <c r="B463" s="25"/>
      <c r="C463" s="1438" t="s">
        <v>1664</v>
      </c>
      <c r="J463" s="1436" t="s">
        <v>1665</v>
      </c>
      <c r="N463" s="613"/>
      <c r="O463" s="612" t="s">
        <v>1666</v>
      </c>
      <c r="P463" s="1437"/>
      <c r="R463" s="25"/>
    </row>
    <row r="464" spans="1:18" s="612" customFormat="1" ht="11.25">
      <c r="A464" s="25"/>
      <c r="B464" s="25"/>
      <c r="C464" s="1438" t="s">
        <v>1667</v>
      </c>
      <c r="J464" s="1436" t="s">
        <v>1668</v>
      </c>
      <c r="N464" s="613"/>
      <c r="O464" s="612" t="s">
        <v>1669</v>
      </c>
      <c r="P464" s="1437"/>
      <c r="R464" s="25"/>
    </row>
    <row r="465" spans="1:22" s="612" customFormat="1" ht="11.25">
      <c r="A465" s="25"/>
      <c r="B465" s="25"/>
      <c r="C465" s="1438" t="s">
        <v>1670</v>
      </c>
      <c r="J465" s="1436" t="s">
        <v>1671</v>
      </c>
      <c r="N465" s="613"/>
      <c r="O465" s="1436"/>
      <c r="P465" s="1437"/>
      <c r="R465" s="25"/>
    </row>
    <row r="466" spans="1:22" s="612" customFormat="1" ht="11.25">
      <c r="A466" s="25"/>
      <c r="B466" s="25"/>
      <c r="C466" s="1438" t="s">
        <v>1672</v>
      </c>
      <c r="J466" s="1436" t="s">
        <v>1673</v>
      </c>
      <c r="N466" s="613"/>
      <c r="O466" s="1437"/>
      <c r="P466" s="1437"/>
      <c r="R466" s="25"/>
    </row>
    <row r="467" spans="1:22" s="612" customFormat="1" ht="11.25">
      <c r="A467" s="25"/>
      <c r="B467" s="25"/>
      <c r="C467" s="1438" t="s">
        <v>1674</v>
      </c>
      <c r="J467" s="1436" t="s">
        <v>1675</v>
      </c>
      <c r="N467" s="613"/>
      <c r="O467" s="1436"/>
      <c r="P467" s="1437"/>
      <c r="R467" s="25"/>
    </row>
    <row r="468" spans="1:22" s="612" customFormat="1" ht="11.25">
      <c r="A468" s="25"/>
      <c r="B468" s="25"/>
      <c r="C468" s="1438" t="s">
        <v>1676</v>
      </c>
      <c r="N468" s="613"/>
      <c r="O468" s="1437"/>
      <c r="P468" s="1437"/>
      <c r="R468" s="25"/>
    </row>
    <row r="469" spans="1:22" s="612" customFormat="1" ht="11.25">
      <c r="A469" s="25"/>
      <c r="B469" s="25"/>
      <c r="N469" s="613"/>
      <c r="O469" s="1437"/>
      <c r="P469" s="1437"/>
      <c r="R469" s="25"/>
    </row>
    <row r="470" spans="1:22" s="612" customFormat="1" ht="11.25">
      <c r="A470" s="25"/>
      <c r="B470" s="25"/>
      <c r="R470" s="25"/>
      <c r="S470" s="25"/>
      <c r="T470" s="25"/>
      <c r="U470" s="25"/>
      <c r="V470" s="25"/>
    </row>
    <row r="471" spans="1:22" s="612" customFormat="1" ht="11.25">
      <c r="A471" s="25"/>
      <c r="B471" s="25"/>
      <c r="C471" s="1439" t="s">
        <v>1680</v>
      </c>
      <c r="R471" s="25"/>
    </row>
    <row r="472" spans="1:22" s="612" customFormat="1" ht="11.25">
      <c r="A472" s="25"/>
      <c r="B472" s="25"/>
      <c r="C472" s="612" t="s">
        <v>1681</v>
      </c>
      <c r="R472" s="25"/>
    </row>
    <row r="473" spans="1:22" s="612" customFormat="1" ht="11.25">
      <c r="A473" s="25"/>
      <c r="B473" s="25"/>
      <c r="C473" s="1438" t="s">
        <v>1682</v>
      </c>
      <c r="R473" s="25"/>
    </row>
    <row r="474" spans="1:22" s="612" customFormat="1" ht="11.25">
      <c r="A474" s="25"/>
      <c r="B474" s="25"/>
      <c r="C474" s="1438" t="s">
        <v>1683</v>
      </c>
      <c r="L474" s="1438"/>
      <c r="R474" s="25"/>
    </row>
    <row r="475" spans="1:22" s="612" customFormat="1" ht="11.25">
      <c r="A475" s="25"/>
      <c r="B475" s="25"/>
      <c r="C475" s="1438" t="s">
        <v>1684</v>
      </c>
      <c r="L475" s="1438"/>
      <c r="R475" s="25"/>
    </row>
    <row r="476" spans="1:22" s="612" customFormat="1" ht="11.25">
      <c r="A476" s="25"/>
      <c r="B476" s="25"/>
      <c r="C476" s="1438" t="s">
        <v>1685</v>
      </c>
      <c r="L476" s="1438"/>
      <c r="R476" s="25"/>
    </row>
    <row r="477" spans="1:22" s="612" customFormat="1" ht="11.25">
      <c r="A477" s="25"/>
      <c r="B477" s="25"/>
      <c r="C477" s="1438" t="s">
        <v>1686</v>
      </c>
      <c r="L477" s="1438"/>
      <c r="R477" s="25"/>
    </row>
    <row r="478" spans="1:22" s="612" customFormat="1" ht="11.25">
      <c r="A478" s="25"/>
      <c r="B478" s="25"/>
      <c r="C478" s="612" t="s">
        <v>1687</v>
      </c>
      <c r="L478" s="1438"/>
      <c r="R478" s="25"/>
    </row>
    <row r="479" spans="1:22" s="612" customFormat="1" ht="11.25">
      <c r="A479" s="25"/>
      <c r="B479" s="25"/>
      <c r="C479" s="612" t="s">
        <v>1688</v>
      </c>
      <c r="R479" s="25"/>
    </row>
    <row r="480" spans="1:22" s="612" customFormat="1" ht="11.25">
      <c r="A480" s="25"/>
      <c r="B480" s="25"/>
      <c r="C480" s="1438" t="s">
        <v>1689</v>
      </c>
      <c r="L480" s="1438"/>
      <c r="R480" s="25"/>
    </row>
    <row r="481" spans="1:18" s="612" customFormat="1" ht="11.25">
      <c r="A481" s="25"/>
      <c r="B481" s="25"/>
      <c r="C481" s="612" t="s">
        <v>1690</v>
      </c>
      <c r="L481" s="1438"/>
      <c r="R481" s="25"/>
    </row>
    <row r="482" spans="1:18" s="612" customFormat="1" ht="11.25">
      <c r="A482" s="25"/>
      <c r="B482" s="25"/>
      <c r="C482" s="612" t="s">
        <v>1686</v>
      </c>
      <c r="L482" s="1438"/>
      <c r="R482" s="25"/>
    </row>
    <row r="483" spans="1:18" s="612" customFormat="1" ht="11.25">
      <c r="A483" s="25"/>
      <c r="B483" s="25"/>
      <c r="C483" s="612" t="s">
        <v>1691</v>
      </c>
      <c r="L483" s="1438"/>
      <c r="R483" s="25"/>
    </row>
    <row r="484" spans="1:18" s="612" customFormat="1" ht="11.25">
      <c r="A484" s="25"/>
      <c r="B484" s="25"/>
      <c r="C484" s="612" t="s">
        <v>1692</v>
      </c>
      <c r="R484" s="25"/>
    </row>
    <row r="485" spans="1:18" s="612" customFormat="1" ht="11.25">
      <c r="A485" s="25"/>
      <c r="B485" s="25"/>
      <c r="C485" s="1438" t="s">
        <v>1693</v>
      </c>
      <c r="L485" s="1438"/>
      <c r="R485" s="25"/>
    </row>
    <row r="486" spans="1:18" s="612" customFormat="1" ht="11.25">
      <c r="A486" s="25"/>
      <c r="B486" s="25"/>
      <c r="C486" s="612" t="s">
        <v>1694</v>
      </c>
      <c r="L486" s="1438"/>
      <c r="R486" s="25"/>
    </row>
    <row r="487" spans="1:18" s="612" customFormat="1" ht="11.25">
      <c r="A487" s="25"/>
      <c r="B487" s="25"/>
      <c r="C487" s="612" t="s">
        <v>1695</v>
      </c>
      <c r="L487" s="1438"/>
      <c r="R487" s="25"/>
    </row>
    <row r="488" spans="1:18" s="612" customFormat="1" ht="11.25">
      <c r="A488" s="25"/>
      <c r="B488" s="25"/>
      <c r="C488" s="612" t="s">
        <v>1696</v>
      </c>
      <c r="K488" s="1439" t="s">
        <v>1697</v>
      </c>
      <c r="L488" s="1438"/>
      <c r="R488" s="25"/>
    </row>
    <row r="489" spans="1:18" s="612" customFormat="1" ht="11.25">
      <c r="A489" s="25"/>
      <c r="B489" s="25"/>
      <c r="C489" s="612" t="s">
        <v>1698</v>
      </c>
      <c r="K489" s="612" t="s">
        <v>1699</v>
      </c>
      <c r="L489" s="1438"/>
      <c r="R489" s="25"/>
    </row>
    <row r="490" spans="1:18" s="612" customFormat="1" ht="11.25">
      <c r="A490" s="25"/>
      <c r="B490" s="25"/>
      <c r="C490" s="612" t="s">
        <v>1700</v>
      </c>
      <c r="K490" s="612" t="s">
        <v>2718</v>
      </c>
      <c r="R490" s="25"/>
    </row>
    <row r="491" spans="1:18" s="612" customFormat="1" ht="11.25">
      <c r="A491" s="25"/>
      <c r="B491" s="25"/>
      <c r="C491" s="1438" t="s">
        <v>1701</v>
      </c>
      <c r="K491" s="612" t="s">
        <v>1702</v>
      </c>
      <c r="R491" s="25"/>
    </row>
    <row r="492" spans="1:18" s="612" customFormat="1" ht="11.25">
      <c r="A492" s="25"/>
      <c r="B492" s="25"/>
      <c r="R492" s="25"/>
    </row>
    <row r="493" spans="1:18" s="612" customFormat="1" ht="11.25">
      <c r="A493" s="25"/>
      <c r="B493" s="25"/>
      <c r="C493" s="1439" t="s">
        <v>1703</v>
      </c>
      <c r="K493" s="1439" t="s">
        <v>1704</v>
      </c>
      <c r="R493" s="25"/>
    </row>
    <row r="494" spans="1:18" s="612" customFormat="1" ht="11.25">
      <c r="A494" s="25"/>
      <c r="B494" s="25"/>
      <c r="C494" s="612" t="s">
        <v>1705</v>
      </c>
      <c r="K494" s="612" t="s">
        <v>1706</v>
      </c>
      <c r="R494" s="25"/>
    </row>
    <row r="495" spans="1:18" s="612" customFormat="1" ht="11.25">
      <c r="A495" s="25"/>
      <c r="B495" s="25"/>
      <c r="C495" s="612" t="s">
        <v>1707</v>
      </c>
      <c r="K495" s="612" t="s">
        <v>2719</v>
      </c>
      <c r="R495" s="25"/>
    </row>
    <row r="496" spans="1:18" s="612" customFormat="1" ht="11.25">
      <c r="A496" s="25"/>
      <c r="B496" s="25"/>
      <c r="C496" s="612" t="s">
        <v>1708</v>
      </c>
      <c r="K496" s="612" t="s">
        <v>2720</v>
      </c>
      <c r="R496" s="25"/>
    </row>
    <row r="497" spans="1:18" s="612" customFormat="1" ht="11.25">
      <c r="A497" s="25"/>
      <c r="B497" s="25"/>
      <c r="C497" s="612" t="s">
        <v>1710</v>
      </c>
      <c r="K497" s="612" t="s">
        <v>2721</v>
      </c>
      <c r="R497" s="25"/>
    </row>
    <row r="498" spans="1:18" s="612" customFormat="1" ht="11.25">
      <c r="A498" s="25"/>
      <c r="B498" s="25"/>
      <c r="C498" s="612" t="s">
        <v>1712</v>
      </c>
      <c r="K498" s="612" t="s">
        <v>2722</v>
      </c>
      <c r="R498" s="25"/>
    </row>
    <row r="499" spans="1:18" s="612" customFormat="1" ht="11.25">
      <c r="A499" s="25"/>
      <c r="B499" s="25"/>
      <c r="K499" s="1439" t="s">
        <v>1714</v>
      </c>
      <c r="R499" s="25"/>
    </row>
    <row r="500" spans="1:18" s="612" customFormat="1" ht="11.25">
      <c r="A500" s="25"/>
      <c r="B500" s="25"/>
      <c r="K500" s="612" t="s">
        <v>1715</v>
      </c>
      <c r="R500" s="25"/>
    </row>
    <row r="501" spans="1:18" s="612" customFormat="1" ht="11.25">
      <c r="A501" s="25"/>
      <c r="B501" s="25"/>
      <c r="K501" s="612" t="s">
        <v>1716</v>
      </c>
      <c r="R501" s="25"/>
    </row>
    <row r="502" spans="1:18" s="612" customFormat="1" ht="11.25">
      <c r="A502" s="25"/>
      <c r="B502" s="25"/>
      <c r="K502" s="612" t="s">
        <v>1717</v>
      </c>
      <c r="R502" s="25"/>
    </row>
    <row r="503" spans="1:18" s="612" customFormat="1" ht="11.25">
      <c r="A503" s="25"/>
      <c r="B503" s="25"/>
      <c r="K503" s="612" t="s">
        <v>1718</v>
      </c>
      <c r="R503" s="25"/>
    </row>
    <row r="504" spans="1:18" s="612" customFormat="1" ht="11.25">
      <c r="A504" s="25"/>
      <c r="B504" s="25"/>
      <c r="K504" s="612" t="s">
        <v>1719</v>
      </c>
      <c r="R504" s="25"/>
    </row>
    <row r="505" spans="1:18" s="612" customFormat="1" ht="11.25">
      <c r="A505" s="25"/>
      <c r="B505" s="25"/>
      <c r="R505" s="25"/>
    </row>
    <row r="506" spans="1:18" s="612" customFormat="1" ht="11.25">
      <c r="A506" s="25"/>
      <c r="B506" s="25"/>
      <c r="C506" s="1439" t="s">
        <v>1720</v>
      </c>
      <c r="M506" s="1439" t="s">
        <v>1721</v>
      </c>
      <c r="R506" s="25"/>
    </row>
    <row r="507" spans="1:18" s="612" customFormat="1" ht="11.25">
      <c r="A507" s="25"/>
      <c r="B507" s="25"/>
      <c r="C507" s="612" t="s">
        <v>1527</v>
      </c>
      <c r="M507" s="612" t="s">
        <v>1527</v>
      </c>
      <c r="R507" s="25"/>
    </row>
    <row r="508" spans="1:18" s="612" customFormat="1" ht="11.25">
      <c r="A508" s="25"/>
      <c r="B508" s="25"/>
      <c r="C508" s="612" t="s">
        <v>1722</v>
      </c>
      <c r="M508" s="612" t="s">
        <v>1723</v>
      </c>
      <c r="R508" s="25"/>
    </row>
    <row r="509" spans="1:18" s="612" customFormat="1" ht="11.25">
      <c r="A509" s="25"/>
      <c r="B509" s="25"/>
      <c r="C509" s="612" t="s">
        <v>1724</v>
      </c>
      <c r="M509" s="612" t="s">
        <v>1725</v>
      </c>
      <c r="R509" s="25"/>
    </row>
    <row r="510" spans="1:18" s="612" customFormat="1" ht="11.25">
      <c r="A510" s="25"/>
      <c r="B510" s="25"/>
      <c r="C510" s="612" t="s">
        <v>1726</v>
      </c>
      <c r="M510" s="612" t="s">
        <v>1727</v>
      </c>
      <c r="R510" s="25"/>
    </row>
    <row r="511" spans="1:18" s="612" customFormat="1" ht="11.25">
      <c r="A511" s="25"/>
      <c r="B511" s="25"/>
      <c r="C511" s="612" t="s">
        <v>1728</v>
      </c>
      <c r="M511" s="612" t="s">
        <v>1729</v>
      </c>
      <c r="R511" s="25"/>
    </row>
    <row r="512" spans="1:18" s="612" customFormat="1" ht="11.25">
      <c r="A512" s="25"/>
      <c r="B512" s="25"/>
      <c r="C512" s="612" t="s">
        <v>1730</v>
      </c>
      <c r="M512" s="612" t="s">
        <v>1731</v>
      </c>
      <c r="R512" s="25"/>
    </row>
    <row r="513" spans="1:18" s="612" customFormat="1" ht="11.25">
      <c r="A513" s="25"/>
      <c r="B513" s="25"/>
      <c r="C513" s="612" t="s">
        <v>1732</v>
      </c>
      <c r="M513" s="612" t="s">
        <v>1522</v>
      </c>
      <c r="R513" s="25"/>
    </row>
    <row r="514" spans="1:18" s="612" customFormat="1" ht="11.25">
      <c r="A514" s="25"/>
      <c r="B514" s="25"/>
      <c r="C514" s="612" t="s">
        <v>1733</v>
      </c>
      <c r="M514" s="612" t="s">
        <v>1525</v>
      </c>
      <c r="R514" s="25"/>
    </row>
    <row r="515" spans="1:18" s="612" customFormat="1" ht="11.25">
      <c r="A515" s="25"/>
      <c r="B515" s="25"/>
      <c r="M515" s="612" t="s">
        <v>1675</v>
      </c>
      <c r="R515" s="25"/>
    </row>
    <row r="516" spans="1:18" s="612" customFormat="1" ht="11.25">
      <c r="A516" s="25"/>
      <c r="B516" s="25"/>
      <c r="R516" s="25"/>
    </row>
    <row r="517" spans="1:18" s="612" customFormat="1" ht="11.25">
      <c r="A517" s="25"/>
      <c r="B517" s="25"/>
      <c r="R517" s="25"/>
    </row>
    <row r="518" spans="1:18" s="612" customFormat="1" ht="11.25">
      <c r="A518" s="25"/>
      <c r="B518" s="25"/>
      <c r="M518" s="1440" t="s">
        <v>2175</v>
      </c>
      <c r="R518" s="25"/>
    </row>
    <row r="519" spans="1:18" s="612" customFormat="1" ht="11.25">
      <c r="A519" s="25"/>
      <c r="B519" s="25"/>
      <c r="M519" s="612" t="s">
        <v>1735</v>
      </c>
      <c r="R519" s="25"/>
    </row>
    <row r="520" spans="1:18" s="612" customFormat="1" ht="11.25">
      <c r="A520" s="25"/>
      <c r="B520" s="25"/>
      <c r="M520" s="612" t="s">
        <v>2180</v>
      </c>
      <c r="R520" s="25"/>
    </row>
    <row r="521" spans="1:18" s="612" customFormat="1" ht="11.25">
      <c r="A521" s="25"/>
      <c r="B521" s="25"/>
      <c r="M521" s="612" t="s">
        <v>1736</v>
      </c>
      <c r="R521" s="25"/>
    </row>
    <row r="522" spans="1:18" s="612" customFormat="1" ht="11.25">
      <c r="A522" s="25"/>
      <c r="B522" s="25"/>
      <c r="M522" s="612" t="s">
        <v>2183</v>
      </c>
      <c r="R522" s="25"/>
    </row>
    <row r="523" spans="1:18" s="612" customFormat="1" ht="11.25">
      <c r="A523" s="25"/>
      <c r="B523" s="25"/>
      <c r="D523" s="1440" t="s">
        <v>1739</v>
      </c>
      <c r="M523" s="612" t="s">
        <v>1738</v>
      </c>
      <c r="R523" s="25"/>
    </row>
    <row r="524" spans="1:18" s="612" customFormat="1">
      <c r="A524" s="25"/>
      <c r="B524" s="25"/>
      <c r="J524" s="251"/>
      <c r="M524" s="612" t="s">
        <v>2186</v>
      </c>
      <c r="R524" s="25"/>
    </row>
    <row r="525" spans="1:18" s="251" customFormat="1">
      <c r="A525" s="77"/>
      <c r="B525" s="77"/>
      <c r="M525" s="612" t="s">
        <v>1740</v>
      </c>
      <c r="O525" s="612"/>
      <c r="R525" s="77"/>
    </row>
    <row r="526" spans="1:18" s="251" customFormat="1">
      <c r="A526" s="77"/>
      <c r="B526" s="77"/>
      <c r="M526" s="612" t="s">
        <v>2189</v>
      </c>
      <c r="R526" s="77"/>
    </row>
    <row r="527" spans="1:18" s="251" customFormat="1">
      <c r="A527" s="77"/>
      <c r="B527" s="77"/>
      <c r="M527" s="612" t="s">
        <v>1742</v>
      </c>
      <c r="R527" s="77"/>
    </row>
    <row r="528" spans="1:18" s="251" customFormat="1">
      <c r="A528" s="77"/>
      <c r="B528" s="77"/>
      <c r="M528" s="612" t="s">
        <v>2194</v>
      </c>
      <c r="R528" s="77"/>
    </row>
    <row r="529" spans="1:22" s="251" customFormat="1">
      <c r="A529" s="77"/>
      <c r="B529" s="77"/>
      <c r="M529" s="612" t="s">
        <v>2196</v>
      </c>
      <c r="R529" s="77"/>
    </row>
    <row r="530" spans="1:22" s="251" customFormat="1">
      <c r="A530" s="77"/>
      <c r="B530" s="77"/>
      <c r="M530" s="612" t="s">
        <v>2198</v>
      </c>
      <c r="R530" s="77"/>
    </row>
    <row r="531" spans="1:22" s="251" customFormat="1">
      <c r="A531" s="77"/>
      <c r="B531" s="77"/>
      <c r="M531" s="612" t="s">
        <v>2200</v>
      </c>
      <c r="R531" s="77"/>
    </row>
    <row r="532" spans="1:22" s="251" customFormat="1">
      <c r="A532" s="77"/>
      <c r="B532" s="77"/>
      <c r="M532" s="612" t="s">
        <v>2202</v>
      </c>
      <c r="R532" s="77"/>
    </row>
    <row r="533" spans="1:22" s="251" customFormat="1">
      <c r="A533" s="77"/>
      <c r="B533" s="77"/>
      <c r="M533" s="612" t="s">
        <v>2723</v>
      </c>
      <c r="R533" s="77"/>
    </row>
    <row r="534" spans="1:22" s="251" customFormat="1">
      <c r="A534" s="77"/>
      <c r="B534" s="77"/>
      <c r="M534" s="61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75"/>
  <sheetData>
    <row r="1" spans="1:28" s="96" customFormat="1" ht="12.75" customHeight="1">
      <c r="A1" s="98"/>
      <c r="B1" s="98"/>
      <c r="C1" s="98"/>
      <c r="D1"/>
      <c r="G1" s="940"/>
      <c r="H1" s="145"/>
      <c r="I1" s="2512"/>
      <c r="J1" s="98"/>
      <c r="K1" s="2599"/>
      <c r="L1" s="2599"/>
      <c r="M1" s="2599"/>
      <c r="N1" s="2599"/>
      <c r="O1" s="98"/>
      <c r="P1" s="2512"/>
      <c r="Q1" s="144"/>
      <c r="R1" s="144"/>
      <c r="S1" s="2512"/>
      <c r="T1" s="2512"/>
      <c r="U1" s="2512"/>
      <c r="AA1" s="40"/>
      <c r="AB1" s="40"/>
    </row>
    <row r="2" spans="1:28" s="96" customFormat="1" ht="11.65" customHeight="1">
      <c r="A2" s="4163" t="s">
        <v>2724</v>
      </c>
      <c r="B2" s="4163"/>
      <c r="C2" s="98"/>
      <c r="D2" s="606">
        <v>2021</v>
      </c>
      <c r="E2" s="2512"/>
      <c r="F2" s="4197" t="s">
        <v>2725</v>
      </c>
      <c r="G2" s="4198"/>
      <c r="H2" s="4198"/>
      <c r="I2" s="4198"/>
      <c r="J2" s="4199"/>
      <c r="K2" s="2599"/>
      <c r="L2" s="324" t="s">
        <v>2726</v>
      </c>
      <c r="M2" s="2599"/>
      <c r="N2" s="4197" t="s">
        <v>2725</v>
      </c>
      <c r="O2" s="4198"/>
      <c r="P2" s="4198"/>
      <c r="Q2" s="4198"/>
      <c r="R2" s="4199"/>
      <c r="S2" s="150"/>
      <c r="T2" s="2512"/>
      <c r="U2" s="2512"/>
      <c r="V2" s="222"/>
      <c r="W2" s="222"/>
      <c r="X2" s="222"/>
      <c r="AA2" s="40"/>
      <c r="AB2" s="40"/>
    </row>
    <row r="3" spans="1:28" s="96" customFormat="1" ht="11.65" customHeight="1">
      <c r="A3" s="4163"/>
      <c r="B3" s="4163"/>
      <c r="D3" s="325" t="s">
        <v>2727</v>
      </c>
      <c r="E3" s="325" t="s">
        <v>2728</v>
      </c>
      <c r="F3" s="326">
        <v>0</v>
      </c>
      <c r="G3" s="2520">
        <v>1</v>
      </c>
      <c r="H3" s="624">
        <v>2</v>
      </c>
      <c r="I3" s="624">
        <v>3</v>
      </c>
      <c r="J3" s="327" t="s">
        <v>2729</v>
      </c>
      <c r="L3" s="325" t="s">
        <v>2727</v>
      </c>
      <c r="M3" s="325" t="s">
        <v>2728</v>
      </c>
      <c r="N3" s="326">
        <v>0</v>
      </c>
      <c r="O3" s="2520">
        <v>1</v>
      </c>
      <c r="P3" s="624">
        <v>2</v>
      </c>
      <c r="Q3" s="624">
        <v>3</v>
      </c>
      <c r="R3" s="327" t="s">
        <v>2729</v>
      </c>
      <c r="S3" s="150"/>
      <c r="T3" s="2512"/>
      <c r="U3" s="2512"/>
      <c r="V3" s="222"/>
      <c r="W3" s="222"/>
      <c r="X3" s="222"/>
      <c r="AA3" s="40"/>
      <c r="AB3" s="40"/>
    </row>
    <row r="4" spans="1:28" s="96" customFormat="1" ht="11.65" customHeight="1">
      <c r="A4" s="4163"/>
      <c r="B4" s="4163"/>
      <c r="D4" s="597" t="s">
        <v>2130</v>
      </c>
      <c r="E4" s="597" t="s">
        <v>2730</v>
      </c>
      <c r="F4" s="598">
        <v>142816</v>
      </c>
      <c r="G4" s="598">
        <v>184662</v>
      </c>
      <c r="H4" s="598">
        <v>220865</v>
      </c>
      <c r="I4" s="598">
        <v>263215</v>
      </c>
      <c r="J4" s="598">
        <v>310038</v>
      </c>
      <c r="L4" s="150" t="s">
        <v>2130</v>
      </c>
      <c r="M4" s="150" t="s">
        <v>2730</v>
      </c>
      <c r="N4" s="632">
        <f t="shared" ref="N4:N39" si="0">ROUNDDOWN(F4*1.1,0)</f>
        <v>157097</v>
      </c>
      <c r="O4" s="632">
        <f t="shared" ref="O4:O39" si="1">ROUNDDOWN(G4*1.1,0)</f>
        <v>203128</v>
      </c>
      <c r="P4" s="632">
        <f t="shared" ref="P4:P39" si="2">ROUNDDOWN(H4*1.1,0)</f>
        <v>242951</v>
      </c>
      <c r="Q4" s="632">
        <f t="shared" ref="Q4:Q39" si="3">ROUNDDOWN(I4*1.1,0)</f>
        <v>289536</v>
      </c>
      <c r="R4" s="632">
        <f t="shared" ref="R4:R39" si="4">ROUNDDOWN(J4*1.1,0)</f>
        <v>341041</v>
      </c>
      <c r="S4" s="150"/>
      <c r="T4" s="2512"/>
      <c r="U4" s="2512"/>
      <c r="V4" s="222"/>
      <c r="W4" s="222"/>
      <c r="X4" s="222"/>
      <c r="AA4" s="40"/>
      <c r="AB4" s="40"/>
    </row>
    <row r="5" spans="1:28" s="96" customFormat="1" ht="11.65" customHeight="1">
      <c r="A5" s="98"/>
      <c r="D5" s="597" t="s">
        <v>2130</v>
      </c>
      <c r="E5" s="597" t="s">
        <v>1262</v>
      </c>
      <c r="F5" s="598">
        <v>111333</v>
      </c>
      <c r="G5" s="598">
        <v>155866</v>
      </c>
      <c r="H5" s="598">
        <v>200399</v>
      </c>
      <c r="I5" s="598">
        <v>267199</v>
      </c>
      <c r="J5" s="598">
        <v>333999</v>
      </c>
      <c r="L5" s="150" t="s">
        <v>2130</v>
      </c>
      <c r="M5" s="150" t="s">
        <v>1262</v>
      </c>
      <c r="N5" s="632">
        <f t="shared" si="0"/>
        <v>122466</v>
      </c>
      <c r="O5" s="632">
        <f t="shared" si="1"/>
        <v>171452</v>
      </c>
      <c r="P5" s="632">
        <f t="shared" si="2"/>
        <v>220438</v>
      </c>
      <c r="Q5" s="632">
        <f t="shared" si="3"/>
        <v>293918</v>
      </c>
      <c r="R5" s="632">
        <f t="shared" si="4"/>
        <v>367398</v>
      </c>
      <c r="S5" s="150"/>
      <c r="T5" s="2512"/>
      <c r="U5" s="2512"/>
      <c r="V5" s="222"/>
      <c r="W5" s="222"/>
      <c r="X5" s="222"/>
      <c r="AA5" s="40"/>
      <c r="AB5" s="40"/>
    </row>
    <row r="6" spans="1:28" s="96" customFormat="1" ht="11.65" customHeight="1">
      <c r="A6" s="98"/>
      <c r="D6" s="597" t="s">
        <v>2130</v>
      </c>
      <c r="E6" s="597" t="s">
        <v>1260</v>
      </c>
      <c r="F6" s="598">
        <v>123345</v>
      </c>
      <c r="G6" s="598">
        <v>160923</v>
      </c>
      <c r="H6" s="598">
        <v>194869</v>
      </c>
      <c r="I6" s="598">
        <v>237606</v>
      </c>
      <c r="J6" s="598">
        <v>281429</v>
      </c>
      <c r="L6" s="150" t="s">
        <v>2130</v>
      </c>
      <c r="M6" s="150" t="s">
        <v>1260</v>
      </c>
      <c r="N6" s="632">
        <f t="shared" si="0"/>
        <v>135679</v>
      </c>
      <c r="O6" s="632">
        <f t="shared" si="1"/>
        <v>177015</v>
      </c>
      <c r="P6" s="632">
        <f t="shared" si="2"/>
        <v>214355</v>
      </c>
      <c r="Q6" s="632">
        <f t="shared" si="3"/>
        <v>261366</v>
      </c>
      <c r="R6" s="632">
        <f t="shared" si="4"/>
        <v>309571</v>
      </c>
      <c r="S6" s="150"/>
      <c r="T6" s="2512"/>
      <c r="U6" s="2512"/>
      <c r="V6" s="222"/>
      <c r="W6" s="222"/>
      <c r="X6" s="222"/>
      <c r="AA6" s="40"/>
      <c r="AB6" s="40"/>
    </row>
    <row r="7" spans="1:28" s="96" customFormat="1" ht="11.65" customHeight="1">
      <c r="A7" s="98"/>
      <c r="D7" s="597" t="s">
        <v>2130</v>
      </c>
      <c r="E7" s="597" t="s">
        <v>1261</v>
      </c>
      <c r="F7" s="598">
        <v>110658</v>
      </c>
      <c r="G7" s="598">
        <v>150909</v>
      </c>
      <c r="H7" s="598">
        <v>191026</v>
      </c>
      <c r="I7" s="598">
        <v>251664</v>
      </c>
      <c r="J7" s="598">
        <v>311733</v>
      </c>
      <c r="L7" s="150" t="s">
        <v>2130</v>
      </c>
      <c r="M7" s="150" t="s">
        <v>1261</v>
      </c>
      <c r="N7" s="632">
        <f t="shared" si="0"/>
        <v>121723</v>
      </c>
      <c r="O7" s="632">
        <f t="shared" si="1"/>
        <v>165999</v>
      </c>
      <c r="P7" s="632">
        <f t="shared" si="2"/>
        <v>210128</v>
      </c>
      <c r="Q7" s="632">
        <f t="shared" si="3"/>
        <v>276830</v>
      </c>
      <c r="R7" s="632">
        <f t="shared" si="4"/>
        <v>342906</v>
      </c>
      <c r="S7" s="150"/>
      <c r="T7" s="2512"/>
      <c r="U7" s="2512"/>
      <c r="V7" s="222"/>
      <c r="W7" s="222"/>
      <c r="X7" s="222"/>
      <c r="AA7" s="40"/>
      <c r="AB7" s="40"/>
    </row>
    <row r="8" spans="1:28" s="96" customFormat="1" ht="11.65" customHeight="1">
      <c r="A8" s="98"/>
      <c r="D8" s="589" t="s">
        <v>2731</v>
      </c>
      <c r="E8" s="589" t="s">
        <v>2730</v>
      </c>
      <c r="F8" s="590">
        <v>141797</v>
      </c>
      <c r="G8" s="590">
        <v>183527</v>
      </c>
      <c r="H8" s="590">
        <v>219633</v>
      </c>
      <c r="I8" s="590">
        <v>261936</v>
      </c>
      <c r="J8" s="590">
        <v>308710</v>
      </c>
      <c r="L8" s="150" t="s">
        <v>2731</v>
      </c>
      <c r="M8" s="150" t="s">
        <v>2730</v>
      </c>
      <c r="N8" s="632">
        <f t="shared" si="0"/>
        <v>155976</v>
      </c>
      <c r="O8" s="632">
        <f t="shared" si="1"/>
        <v>201879</v>
      </c>
      <c r="P8" s="632">
        <f t="shared" si="2"/>
        <v>241596</v>
      </c>
      <c r="Q8" s="632">
        <f t="shared" si="3"/>
        <v>288129</v>
      </c>
      <c r="R8" s="632">
        <f t="shared" si="4"/>
        <v>339581</v>
      </c>
      <c r="S8" s="150"/>
      <c r="T8" s="2512"/>
      <c r="U8" s="2512"/>
      <c r="V8" s="222"/>
      <c r="W8" s="222"/>
      <c r="X8" s="222"/>
      <c r="AA8" s="40"/>
      <c r="AB8" s="40"/>
    </row>
    <row r="9" spans="1:28" s="96" customFormat="1" ht="11.65" customHeight="1">
      <c r="A9" s="98"/>
      <c r="D9" s="589" t="s">
        <v>2731</v>
      </c>
      <c r="E9" s="589" t="s">
        <v>1262</v>
      </c>
      <c r="F9" s="590">
        <v>110497</v>
      </c>
      <c r="G9" s="590">
        <v>154696</v>
      </c>
      <c r="H9" s="590">
        <v>198895</v>
      </c>
      <c r="I9" s="590">
        <v>265193</v>
      </c>
      <c r="J9" s="590">
        <v>331491</v>
      </c>
      <c r="L9" s="150" t="s">
        <v>2731</v>
      </c>
      <c r="M9" s="150" t="s">
        <v>1262</v>
      </c>
      <c r="N9" s="632">
        <f t="shared" si="0"/>
        <v>121546</v>
      </c>
      <c r="O9" s="632">
        <f t="shared" si="1"/>
        <v>170165</v>
      </c>
      <c r="P9" s="632">
        <f t="shared" si="2"/>
        <v>218784</v>
      </c>
      <c r="Q9" s="632">
        <f t="shared" si="3"/>
        <v>291712</v>
      </c>
      <c r="R9" s="632">
        <f t="shared" si="4"/>
        <v>364640</v>
      </c>
      <c r="S9" s="150"/>
      <c r="T9" s="2512"/>
      <c r="U9" s="2512"/>
      <c r="V9" s="222"/>
      <c r="W9" s="222"/>
      <c r="X9" s="222"/>
      <c r="AA9" s="40"/>
      <c r="AB9" s="40"/>
    </row>
    <row r="10" spans="1:28" s="96" customFormat="1" ht="11.65" customHeight="1">
      <c r="A10" s="98"/>
      <c r="D10" s="589" t="s">
        <v>2731</v>
      </c>
      <c r="E10" s="589" t="s">
        <v>1260</v>
      </c>
      <c r="F10" s="590">
        <v>121614</v>
      </c>
      <c r="G10" s="590">
        <v>158920</v>
      </c>
      <c r="H10" s="590">
        <v>192685</v>
      </c>
      <c r="I10" s="590">
        <v>235391</v>
      </c>
      <c r="J10" s="590">
        <v>279054</v>
      </c>
      <c r="L10" s="150" t="s">
        <v>2731</v>
      </c>
      <c r="M10" s="150" t="s">
        <v>1260</v>
      </c>
      <c r="N10" s="632">
        <f t="shared" si="0"/>
        <v>133775</v>
      </c>
      <c r="O10" s="632">
        <f t="shared" si="1"/>
        <v>174812</v>
      </c>
      <c r="P10" s="632">
        <f t="shared" si="2"/>
        <v>211953</v>
      </c>
      <c r="Q10" s="632">
        <f t="shared" si="3"/>
        <v>258930</v>
      </c>
      <c r="R10" s="632">
        <f t="shared" si="4"/>
        <v>306959</v>
      </c>
      <c r="S10" s="150"/>
      <c r="T10" s="2512"/>
      <c r="U10" s="2512"/>
      <c r="V10" s="222"/>
      <c r="W10" s="222"/>
      <c r="X10" s="222"/>
      <c r="AA10" s="40"/>
      <c r="AB10" s="40"/>
    </row>
    <row r="11" spans="1:28" s="96" customFormat="1" ht="11.65" customHeight="1">
      <c r="A11" s="98"/>
      <c r="D11" s="589" t="s">
        <v>2731</v>
      </c>
      <c r="E11" s="589" t="s">
        <v>1261</v>
      </c>
      <c r="F11" s="590">
        <v>108520</v>
      </c>
      <c r="G11" s="590">
        <v>147769</v>
      </c>
      <c r="H11" s="590">
        <v>186880</v>
      </c>
      <c r="I11" s="590">
        <v>246024</v>
      </c>
      <c r="J11" s="590">
        <v>304578</v>
      </c>
      <c r="L11" s="150" t="s">
        <v>2731</v>
      </c>
      <c r="M11" s="150" t="s">
        <v>1261</v>
      </c>
      <c r="N11" s="632">
        <f t="shared" si="0"/>
        <v>119372</v>
      </c>
      <c r="O11" s="632">
        <f t="shared" si="1"/>
        <v>162545</v>
      </c>
      <c r="P11" s="632">
        <f t="shared" si="2"/>
        <v>205568</v>
      </c>
      <c r="Q11" s="632">
        <f t="shared" si="3"/>
        <v>270626</v>
      </c>
      <c r="R11" s="632">
        <f t="shared" si="4"/>
        <v>335035</v>
      </c>
      <c r="S11" s="150"/>
      <c r="T11" s="2512"/>
      <c r="U11" s="2512"/>
      <c r="V11" s="222"/>
      <c r="W11" s="222"/>
      <c r="X11" s="222"/>
      <c r="AA11" s="40"/>
      <c r="AB11" s="40"/>
    </row>
    <row r="12" spans="1:28" s="96" customFormat="1" ht="11.65" customHeight="1">
      <c r="A12" s="98"/>
      <c r="D12" s="587" t="s">
        <v>2732</v>
      </c>
      <c r="E12" s="587" t="s">
        <v>2730</v>
      </c>
      <c r="F12" s="588">
        <v>155687</v>
      </c>
      <c r="G12" s="588">
        <v>201438</v>
      </c>
      <c r="H12" s="588">
        <v>241022</v>
      </c>
      <c r="I12" s="588">
        <v>287374</v>
      </c>
      <c r="J12" s="588">
        <v>338625</v>
      </c>
      <c r="L12" s="323" t="s">
        <v>2732</v>
      </c>
      <c r="M12" s="323" t="s">
        <v>2730</v>
      </c>
      <c r="N12" s="632">
        <f t="shared" si="0"/>
        <v>171255</v>
      </c>
      <c r="O12" s="632">
        <f t="shared" si="1"/>
        <v>221581</v>
      </c>
      <c r="P12" s="632">
        <f t="shared" si="2"/>
        <v>265124</v>
      </c>
      <c r="Q12" s="632">
        <f t="shared" si="3"/>
        <v>316111</v>
      </c>
      <c r="R12" s="632">
        <f t="shared" si="4"/>
        <v>372487</v>
      </c>
      <c r="S12" s="150"/>
      <c r="T12" s="2512"/>
      <c r="U12" s="2512"/>
      <c r="V12" s="222"/>
      <c r="W12" s="222"/>
      <c r="X12" s="222"/>
      <c r="AA12" s="40"/>
      <c r="AB12" s="40"/>
    </row>
    <row r="13" spans="1:28" s="96" customFormat="1" ht="11.65" customHeight="1">
      <c r="A13" s="98"/>
      <c r="D13" s="587" t="s">
        <v>2732</v>
      </c>
      <c r="E13" s="587" t="s">
        <v>1262</v>
      </c>
      <c r="F13" s="588">
        <v>121337</v>
      </c>
      <c r="G13" s="588">
        <v>169871</v>
      </c>
      <c r="H13" s="588">
        <v>218406</v>
      </c>
      <c r="I13" s="588">
        <v>291208</v>
      </c>
      <c r="J13" s="588">
        <v>364010</v>
      </c>
      <c r="L13" s="323" t="s">
        <v>2732</v>
      </c>
      <c r="M13" s="323" t="s">
        <v>1262</v>
      </c>
      <c r="N13" s="632">
        <f t="shared" si="0"/>
        <v>133470</v>
      </c>
      <c r="O13" s="632">
        <f t="shared" si="1"/>
        <v>186858</v>
      </c>
      <c r="P13" s="632">
        <f t="shared" si="2"/>
        <v>240246</v>
      </c>
      <c r="Q13" s="632">
        <f t="shared" si="3"/>
        <v>320328</v>
      </c>
      <c r="R13" s="632">
        <f t="shared" si="4"/>
        <v>400411</v>
      </c>
      <c r="S13" s="150"/>
      <c r="T13" s="2512"/>
      <c r="U13" s="2512"/>
      <c r="V13" s="222"/>
      <c r="W13" s="222"/>
      <c r="X13" s="222"/>
      <c r="AA13" s="40"/>
      <c r="AB13" s="40"/>
    </row>
    <row r="14" spans="1:28" s="96" customFormat="1" ht="11.65" customHeight="1">
      <c r="A14" s="98"/>
      <c r="D14" s="587" t="s">
        <v>2732</v>
      </c>
      <c r="E14" s="587" t="s">
        <v>1260</v>
      </c>
      <c r="F14" s="588">
        <v>133842</v>
      </c>
      <c r="G14" s="588">
        <v>174804</v>
      </c>
      <c r="H14" s="588">
        <v>211854</v>
      </c>
      <c r="I14" s="588">
        <v>258642</v>
      </c>
      <c r="J14" s="588">
        <v>306526</v>
      </c>
      <c r="L14" s="323" t="s">
        <v>2732</v>
      </c>
      <c r="M14" s="323" t="s">
        <v>1260</v>
      </c>
      <c r="N14" s="632">
        <f t="shared" si="0"/>
        <v>147226</v>
      </c>
      <c r="O14" s="632">
        <f t="shared" si="1"/>
        <v>192284</v>
      </c>
      <c r="P14" s="632">
        <f t="shared" si="2"/>
        <v>233039</v>
      </c>
      <c r="Q14" s="632">
        <f t="shared" si="3"/>
        <v>284506</v>
      </c>
      <c r="R14" s="632">
        <f t="shared" si="4"/>
        <v>337178</v>
      </c>
      <c r="S14" s="150"/>
      <c r="T14" s="2512"/>
      <c r="U14" s="2512"/>
      <c r="V14" s="222"/>
      <c r="W14" s="222"/>
      <c r="X14" s="222"/>
      <c r="AA14" s="40"/>
      <c r="AB14" s="40"/>
    </row>
    <row r="15" spans="1:28" s="96" customFormat="1" ht="11.65" customHeight="1">
      <c r="A15" s="98"/>
      <c r="D15" s="587" t="s">
        <v>2732</v>
      </c>
      <c r="E15" s="587" t="s">
        <v>1261</v>
      </c>
      <c r="F15" s="588">
        <v>119649</v>
      </c>
      <c r="G15" s="588">
        <v>163008</v>
      </c>
      <c r="H15" s="588">
        <v>206217</v>
      </c>
      <c r="I15" s="588">
        <v>271547</v>
      </c>
      <c r="J15" s="588">
        <v>336239</v>
      </c>
      <c r="L15" s="323" t="s">
        <v>2732</v>
      </c>
      <c r="M15" s="323" t="s">
        <v>1261</v>
      </c>
      <c r="N15" s="632">
        <f t="shared" si="0"/>
        <v>131613</v>
      </c>
      <c r="O15" s="632">
        <f t="shared" si="1"/>
        <v>179308</v>
      </c>
      <c r="P15" s="632">
        <f t="shared" si="2"/>
        <v>226838</v>
      </c>
      <c r="Q15" s="632">
        <f t="shared" si="3"/>
        <v>298701</v>
      </c>
      <c r="R15" s="632">
        <f t="shared" si="4"/>
        <v>369862</v>
      </c>
      <c r="S15" s="150"/>
      <c r="T15" s="2512"/>
      <c r="U15" s="2512"/>
      <c r="V15" s="222"/>
      <c r="W15" s="222"/>
      <c r="X15" s="222"/>
      <c r="AA15" s="40"/>
      <c r="AB15" s="40"/>
    </row>
    <row r="16" spans="1:28" s="96" customFormat="1" ht="11.65" customHeight="1">
      <c r="A16" s="98"/>
      <c r="D16" s="591" t="s">
        <v>2733</v>
      </c>
      <c r="E16" s="591" t="s">
        <v>2730</v>
      </c>
      <c r="F16" s="592">
        <v>145521</v>
      </c>
      <c r="G16" s="592">
        <v>188031</v>
      </c>
      <c r="H16" s="592">
        <v>224805</v>
      </c>
      <c r="I16" s="592">
        <v>267776</v>
      </c>
      <c r="J16" s="592">
        <v>315283</v>
      </c>
      <c r="L16" s="323" t="s">
        <v>2733</v>
      </c>
      <c r="M16" s="323" t="s">
        <v>2730</v>
      </c>
      <c r="N16" s="632">
        <f t="shared" si="0"/>
        <v>160073</v>
      </c>
      <c r="O16" s="632">
        <f t="shared" si="1"/>
        <v>206834</v>
      </c>
      <c r="P16" s="632">
        <f t="shared" si="2"/>
        <v>247285</v>
      </c>
      <c r="Q16" s="632">
        <f t="shared" si="3"/>
        <v>294553</v>
      </c>
      <c r="R16" s="632">
        <f t="shared" si="4"/>
        <v>346811</v>
      </c>
      <c r="S16" s="150"/>
      <c r="T16" s="2512"/>
      <c r="U16" s="2512"/>
      <c r="V16" s="222"/>
      <c r="W16" s="222"/>
      <c r="X16" s="222"/>
      <c r="AA16" s="40"/>
      <c r="AB16" s="40"/>
    </row>
    <row r="17" spans="1:28" s="96" customFormat="1" ht="11.65" customHeight="1">
      <c r="A17" s="98"/>
      <c r="D17" s="591" t="s">
        <v>2733</v>
      </c>
      <c r="E17" s="591" t="s">
        <v>1262</v>
      </c>
      <c r="F17" s="592">
        <v>113472</v>
      </c>
      <c r="G17" s="592">
        <v>158861</v>
      </c>
      <c r="H17" s="592">
        <v>204249</v>
      </c>
      <c r="I17" s="592">
        <v>272333</v>
      </c>
      <c r="J17" s="592">
        <v>340416</v>
      </c>
      <c r="L17" s="323" t="s">
        <v>2733</v>
      </c>
      <c r="M17" s="323" t="s">
        <v>1262</v>
      </c>
      <c r="N17" s="632">
        <f t="shared" si="0"/>
        <v>124819</v>
      </c>
      <c r="O17" s="632">
        <f t="shared" si="1"/>
        <v>174747</v>
      </c>
      <c r="P17" s="632">
        <f t="shared" si="2"/>
        <v>224673</v>
      </c>
      <c r="Q17" s="632">
        <f t="shared" si="3"/>
        <v>299566</v>
      </c>
      <c r="R17" s="632">
        <f t="shared" si="4"/>
        <v>374457</v>
      </c>
      <c r="S17" s="150"/>
      <c r="T17" s="2512"/>
      <c r="U17" s="2512"/>
      <c r="V17" s="222"/>
      <c r="W17" s="222"/>
      <c r="X17" s="222"/>
      <c r="AA17" s="40"/>
      <c r="AB17" s="40"/>
    </row>
    <row r="18" spans="1:28" s="96" customFormat="1" ht="11.65" customHeight="1">
      <c r="A18" s="98"/>
      <c r="D18" s="591" t="s">
        <v>2733</v>
      </c>
      <c r="E18" s="591" t="s">
        <v>1260</v>
      </c>
      <c r="F18" s="592">
        <v>126289</v>
      </c>
      <c r="G18" s="592">
        <v>164581</v>
      </c>
      <c r="H18" s="592">
        <v>199126</v>
      </c>
      <c r="I18" s="592">
        <v>242479</v>
      </c>
      <c r="J18" s="592">
        <v>287022</v>
      </c>
      <c r="L18" s="323" t="s">
        <v>2733</v>
      </c>
      <c r="M18" s="323" t="s">
        <v>1260</v>
      </c>
      <c r="N18" s="632">
        <f t="shared" si="0"/>
        <v>138917</v>
      </c>
      <c r="O18" s="632">
        <f t="shared" si="1"/>
        <v>181039</v>
      </c>
      <c r="P18" s="632">
        <f t="shared" si="2"/>
        <v>219038</v>
      </c>
      <c r="Q18" s="632">
        <f t="shared" si="3"/>
        <v>266726</v>
      </c>
      <c r="R18" s="632">
        <f t="shared" si="4"/>
        <v>315724</v>
      </c>
      <c r="S18" s="150"/>
      <c r="T18" s="2512"/>
      <c r="U18" s="2512"/>
      <c r="V18" s="222"/>
      <c r="W18" s="222"/>
      <c r="X18" s="222"/>
      <c r="AA18" s="40"/>
      <c r="AB18" s="40"/>
    </row>
    <row r="19" spans="1:28" s="96" customFormat="1" ht="11.65" customHeight="1">
      <c r="A19" s="98"/>
      <c r="D19" s="591" t="s">
        <v>2733</v>
      </c>
      <c r="E19" s="591" t="s">
        <v>1261</v>
      </c>
      <c r="F19" s="592">
        <v>113715</v>
      </c>
      <c r="G19" s="592">
        <v>155238</v>
      </c>
      <c r="H19" s="592">
        <v>196629</v>
      </c>
      <c r="I19" s="592">
        <v>259171</v>
      </c>
      <c r="J19" s="592">
        <v>321151</v>
      </c>
      <c r="L19" s="323" t="s">
        <v>2733</v>
      </c>
      <c r="M19" s="323" t="s">
        <v>1261</v>
      </c>
      <c r="N19" s="632">
        <f t="shared" si="0"/>
        <v>125086</v>
      </c>
      <c r="O19" s="632">
        <f t="shared" si="1"/>
        <v>170761</v>
      </c>
      <c r="P19" s="632">
        <f t="shared" si="2"/>
        <v>216291</v>
      </c>
      <c r="Q19" s="632">
        <f t="shared" si="3"/>
        <v>285088</v>
      </c>
      <c r="R19" s="632">
        <f t="shared" si="4"/>
        <v>353266</v>
      </c>
      <c r="S19" s="150"/>
      <c r="T19" s="2512"/>
      <c r="U19" s="2512"/>
      <c r="V19" s="222"/>
      <c r="W19" s="222"/>
      <c r="X19" s="222"/>
      <c r="AA19" s="40"/>
      <c r="AB19" s="40"/>
    </row>
    <row r="20" spans="1:28" s="96" customFormat="1" ht="11.65" customHeight="1">
      <c r="A20" s="98"/>
      <c r="D20" s="150" t="s">
        <v>2734</v>
      </c>
      <c r="E20" s="150" t="s">
        <v>2730</v>
      </c>
      <c r="F20" s="501">
        <v>151294</v>
      </c>
      <c r="G20" s="501">
        <v>195836</v>
      </c>
      <c r="H20" s="501">
        <v>234374</v>
      </c>
      <c r="I20" s="501">
        <v>279532</v>
      </c>
      <c r="J20" s="501">
        <v>329464</v>
      </c>
      <c r="L20" s="150" t="s">
        <v>2734</v>
      </c>
      <c r="M20" s="323" t="s">
        <v>2730</v>
      </c>
      <c r="N20" s="632">
        <f t="shared" si="0"/>
        <v>166423</v>
      </c>
      <c r="O20" s="632">
        <f t="shared" si="1"/>
        <v>215419</v>
      </c>
      <c r="P20" s="632">
        <f t="shared" si="2"/>
        <v>257811</v>
      </c>
      <c r="Q20" s="632">
        <f t="shared" si="3"/>
        <v>307485</v>
      </c>
      <c r="R20" s="632">
        <f t="shared" si="4"/>
        <v>362410</v>
      </c>
      <c r="S20" s="150"/>
      <c r="T20" s="2512"/>
      <c r="U20" s="2512"/>
      <c r="V20" s="222"/>
      <c r="W20" s="222"/>
      <c r="X20" s="222"/>
      <c r="AA20" s="40"/>
      <c r="AB20" s="40"/>
    </row>
    <row r="21" spans="1:28" s="96" customFormat="1" ht="11.65" customHeight="1">
      <c r="A21" s="98"/>
      <c r="D21" s="150" t="s">
        <v>2734</v>
      </c>
      <c r="E21" s="150" t="s">
        <v>1262</v>
      </c>
      <c r="F21" s="501">
        <v>117895</v>
      </c>
      <c r="G21" s="501">
        <v>165052</v>
      </c>
      <c r="H21" s="501">
        <v>212210</v>
      </c>
      <c r="I21" s="501">
        <v>282947</v>
      </c>
      <c r="J21" s="501">
        <v>353684</v>
      </c>
      <c r="L21" s="150" t="s">
        <v>2734</v>
      </c>
      <c r="M21" s="323" t="s">
        <v>1262</v>
      </c>
      <c r="N21" s="632">
        <f t="shared" si="0"/>
        <v>129684</v>
      </c>
      <c r="O21" s="632">
        <f t="shared" si="1"/>
        <v>181557</v>
      </c>
      <c r="P21" s="632">
        <f t="shared" si="2"/>
        <v>233431</v>
      </c>
      <c r="Q21" s="632">
        <f t="shared" si="3"/>
        <v>311241</v>
      </c>
      <c r="R21" s="632">
        <f t="shared" si="4"/>
        <v>389052</v>
      </c>
      <c r="S21" s="150"/>
      <c r="T21" s="2512"/>
      <c r="U21" s="2512"/>
      <c r="V21" s="222"/>
      <c r="W21" s="222"/>
      <c r="X21" s="222"/>
      <c r="AA21" s="40"/>
      <c r="AB21" s="40"/>
    </row>
    <row r="22" spans="1:28" s="96" customFormat="1" ht="11.65" customHeight="1">
      <c r="A22" s="98"/>
      <c r="D22" s="150" t="s">
        <v>2734</v>
      </c>
      <c r="E22" s="150" t="s">
        <v>1260</v>
      </c>
      <c r="F22" s="501">
        <v>129687</v>
      </c>
      <c r="G22" s="501">
        <v>169491</v>
      </c>
      <c r="H22" s="501">
        <v>205524</v>
      </c>
      <c r="I22" s="501">
        <v>251113</v>
      </c>
      <c r="J22" s="501">
        <v>297714</v>
      </c>
      <c r="L22" s="150" t="s">
        <v>2734</v>
      </c>
      <c r="M22" s="323" t="s">
        <v>1260</v>
      </c>
      <c r="N22" s="632">
        <f t="shared" si="0"/>
        <v>142655</v>
      </c>
      <c r="O22" s="632">
        <f t="shared" si="1"/>
        <v>186440</v>
      </c>
      <c r="P22" s="632">
        <f t="shared" si="2"/>
        <v>226076</v>
      </c>
      <c r="Q22" s="632">
        <f t="shared" si="3"/>
        <v>276224</v>
      </c>
      <c r="R22" s="632">
        <f t="shared" si="4"/>
        <v>327485</v>
      </c>
      <c r="S22" s="150"/>
      <c r="T22" s="2512"/>
      <c r="U22" s="2512"/>
      <c r="V22" s="222"/>
      <c r="W22" s="222"/>
      <c r="X22" s="222"/>
      <c r="AA22" s="40"/>
      <c r="AB22" s="40"/>
    </row>
    <row r="23" spans="1:28" s="96" customFormat="1" ht="11.65" customHeight="1">
      <c r="A23" s="98"/>
      <c r="D23" s="150" t="s">
        <v>2734</v>
      </c>
      <c r="E23" s="150" t="s">
        <v>1261</v>
      </c>
      <c r="F23" s="501">
        <v>115673</v>
      </c>
      <c r="G23" s="501">
        <v>157490</v>
      </c>
      <c r="H23" s="501">
        <v>199159</v>
      </c>
      <c r="I23" s="501">
        <v>262174</v>
      </c>
      <c r="J23" s="501">
        <v>324557</v>
      </c>
      <c r="L23" s="150" t="s">
        <v>2734</v>
      </c>
      <c r="M23" s="323" t="s">
        <v>1261</v>
      </c>
      <c r="N23" s="632">
        <f t="shared" si="0"/>
        <v>127240</v>
      </c>
      <c r="O23" s="632">
        <f t="shared" si="1"/>
        <v>173239</v>
      </c>
      <c r="P23" s="632">
        <f t="shared" si="2"/>
        <v>219074</v>
      </c>
      <c r="Q23" s="632">
        <f t="shared" si="3"/>
        <v>288391</v>
      </c>
      <c r="R23" s="632">
        <f t="shared" si="4"/>
        <v>357012</v>
      </c>
      <c r="S23" s="150"/>
      <c r="T23" s="2512"/>
      <c r="U23" s="2512"/>
      <c r="V23" s="222"/>
      <c r="W23" s="222"/>
      <c r="X23" s="222"/>
      <c r="AA23" s="40"/>
      <c r="AB23" s="40"/>
    </row>
    <row r="24" spans="1:28" s="96" customFormat="1" ht="11.65" customHeight="1">
      <c r="A24" s="98"/>
      <c r="D24" s="593" t="s">
        <v>2735</v>
      </c>
      <c r="E24" s="593" t="s">
        <v>2730</v>
      </c>
      <c r="F24" s="594">
        <v>142816</v>
      </c>
      <c r="G24" s="594">
        <v>184662</v>
      </c>
      <c r="H24" s="594">
        <v>220865</v>
      </c>
      <c r="I24" s="594">
        <v>263215</v>
      </c>
      <c r="J24" s="594">
        <v>310038</v>
      </c>
      <c r="L24" s="150" t="s">
        <v>2735</v>
      </c>
      <c r="M24" s="150" t="s">
        <v>2730</v>
      </c>
      <c r="N24" s="632">
        <f t="shared" si="0"/>
        <v>157097</v>
      </c>
      <c r="O24" s="632">
        <f t="shared" si="1"/>
        <v>203128</v>
      </c>
      <c r="P24" s="632">
        <f t="shared" si="2"/>
        <v>242951</v>
      </c>
      <c r="Q24" s="632">
        <f t="shared" si="3"/>
        <v>289536</v>
      </c>
      <c r="R24" s="632">
        <f t="shared" si="4"/>
        <v>341041</v>
      </c>
      <c r="S24" s="150"/>
      <c r="T24" s="2512"/>
      <c r="U24" s="2512"/>
      <c r="V24" s="222"/>
      <c r="W24" s="222"/>
      <c r="X24" s="222"/>
      <c r="AA24" s="40"/>
      <c r="AB24" s="40"/>
    </row>
    <row r="25" spans="1:28" s="96" customFormat="1" ht="11.65" customHeight="1">
      <c r="A25" s="98"/>
      <c r="D25" s="593" t="s">
        <v>2735</v>
      </c>
      <c r="E25" s="593" t="s">
        <v>1262</v>
      </c>
      <c r="F25" s="594">
        <v>111333</v>
      </c>
      <c r="G25" s="594">
        <v>155866</v>
      </c>
      <c r="H25" s="594">
        <v>200399</v>
      </c>
      <c r="I25" s="594">
        <v>267199</v>
      </c>
      <c r="J25" s="594">
        <v>333999</v>
      </c>
      <c r="L25" s="150" t="s">
        <v>2735</v>
      </c>
      <c r="M25" s="150" t="s">
        <v>1262</v>
      </c>
      <c r="N25" s="632">
        <f t="shared" si="0"/>
        <v>122466</v>
      </c>
      <c r="O25" s="632">
        <f t="shared" si="1"/>
        <v>171452</v>
      </c>
      <c r="P25" s="632">
        <f t="shared" si="2"/>
        <v>220438</v>
      </c>
      <c r="Q25" s="632">
        <f t="shared" si="3"/>
        <v>293918</v>
      </c>
      <c r="R25" s="632">
        <f t="shared" si="4"/>
        <v>367398</v>
      </c>
      <c r="S25" s="150"/>
      <c r="T25" s="2512"/>
      <c r="U25" s="2512"/>
      <c r="V25" s="222"/>
      <c r="W25" s="222"/>
      <c r="X25" s="222"/>
      <c r="AA25" s="40"/>
      <c r="AB25" s="40"/>
    </row>
    <row r="26" spans="1:28" s="96" customFormat="1" ht="11.65" customHeight="1">
      <c r="A26" s="98"/>
      <c r="D26" s="593" t="s">
        <v>2735</v>
      </c>
      <c r="E26" s="593" t="s">
        <v>1260</v>
      </c>
      <c r="F26" s="594">
        <v>123345</v>
      </c>
      <c r="G26" s="594">
        <v>160923</v>
      </c>
      <c r="H26" s="594">
        <v>194869</v>
      </c>
      <c r="I26" s="594">
        <v>237606</v>
      </c>
      <c r="J26" s="594">
        <v>281429</v>
      </c>
      <c r="L26" s="150" t="s">
        <v>2735</v>
      </c>
      <c r="M26" s="150" t="s">
        <v>1260</v>
      </c>
      <c r="N26" s="632">
        <f t="shared" si="0"/>
        <v>135679</v>
      </c>
      <c r="O26" s="632">
        <f t="shared" si="1"/>
        <v>177015</v>
      </c>
      <c r="P26" s="632">
        <f t="shared" si="2"/>
        <v>214355</v>
      </c>
      <c r="Q26" s="632">
        <f t="shared" si="3"/>
        <v>261366</v>
      </c>
      <c r="R26" s="632">
        <f t="shared" si="4"/>
        <v>309571</v>
      </c>
      <c r="S26" s="150"/>
      <c r="T26" s="2512"/>
      <c r="U26" s="2512"/>
      <c r="V26" s="222"/>
      <c r="W26" s="222"/>
      <c r="X26" s="222"/>
      <c r="AA26" s="40"/>
      <c r="AB26" s="40"/>
    </row>
    <row r="27" spans="1:28" s="96" customFormat="1" ht="11.65" customHeight="1">
      <c r="A27" s="98"/>
      <c r="D27" s="593" t="s">
        <v>2735</v>
      </c>
      <c r="E27" s="593" t="s">
        <v>1261</v>
      </c>
      <c r="F27" s="594">
        <v>110658</v>
      </c>
      <c r="G27" s="594">
        <v>150909</v>
      </c>
      <c r="H27" s="594">
        <v>191026</v>
      </c>
      <c r="I27" s="594">
        <v>251664</v>
      </c>
      <c r="J27" s="594">
        <v>311733</v>
      </c>
      <c r="L27" s="150" t="s">
        <v>2735</v>
      </c>
      <c r="M27" s="150" t="s">
        <v>1261</v>
      </c>
      <c r="N27" s="632">
        <f t="shared" si="0"/>
        <v>121723</v>
      </c>
      <c r="O27" s="632">
        <f t="shared" si="1"/>
        <v>165999</v>
      </c>
      <c r="P27" s="632">
        <f t="shared" si="2"/>
        <v>210128</v>
      </c>
      <c r="Q27" s="632">
        <f t="shared" si="3"/>
        <v>276830</v>
      </c>
      <c r="R27" s="632">
        <f t="shared" si="4"/>
        <v>342906</v>
      </c>
      <c r="S27" s="150"/>
      <c r="T27" s="2512"/>
      <c r="U27" s="2512"/>
      <c r="V27" s="222"/>
      <c r="W27" s="222"/>
      <c r="X27" s="222"/>
      <c r="AA27" s="40"/>
      <c r="AB27" s="40"/>
    </row>
    <row r="28" spans="1:28" s="96" customFormat="1" ht="11.65" customHeight="1">
      <c r="A28" s="98"/>
      <c r="D28" s="595" t="s">
        <v>2736</v>
      </c>
      <c r="E28" s="595" t="s">
        <v>2730</v>
      </c>
      <c r="F28" s="596">
        <v>145346</v>
      </c>
      <c r="G28" s="596">
        <v>188013</v>
      </c>
      <c r="H28" s="596">
        <v>224927</v>
      </c>
      <c r="I28" s="596">
        <v>268137</v>
      </c>
      <c r="J28" s="596">
        <v>315913</v>
      </c>
      <c r="L28" s="323" t="s">
        <v>2736</v>
      </c>
      <c r="M28" s="323" t="s">
        <v>2730</v>
      </c>
      <c r="N28" s="632">
        <f t="shared" si="0"/>
        <v>159880</v>
      </c>
      <c r="O28" s="632">
        <f t="shared" si="1"/>
        <v>206814</v>
      </c>
      <c r="P28" s="632">
        <f t="shared" si="2"/>
        <v>247419</v>
      </c>
      <c r="Q28" s="632">
        <f t="shared" si="3"/>
        <v>294950</v>
      </c>
      <c r="R28" s="632">
        <f t="shared" si="4"/>
        <v>347504</v>
      </c>
      <c r="S28" s="150"/>
      <c r="T28" s="2512"/>
      <c r="U28" s="2512"/>
      <c r="V28" s="222"/>
      <c r="W28" s="222"/>
      <c r="X28" s="222"/>
      <c r="AA28" s="40"/>
      <c r="AB28" s="40"/>
    </row>
    <row r="29" spans="1:28" s="96" customFormat="1" ht="11.65" customHeight="1">
      <c r="A29" s="98"/>
      <c r="D29" s="595" t="s">
        <v>2736</v>
      </c>
      <c r="E29" s="595" t="s">
        <v>1262</v>
      </c>
      <c r="F29" s="596">
        <v>113288</v>
      </c>
      <c r="G29" s="596">
        <v>158603</v>
      </c>
      <c r="H29" s="596">
        <v>203918</v>
      </c>
      <c r="I29" s="596">
        <v>271890</v>
      </c>
      <c r="J29" s="596">
        <v>339863</v>
      </c>
      <c r="L29" s="323" t="s">
        <v>2736</v>
      </c>
      <c r="M29" s="323" t="s">
        <v>1262</v>
      </c>
      <c r="N29" s="632">
        <f t="shared" si="0"/>
        <v>124616</v>
      </c>
      <c r="O29" s="632">
        <f t="shared" si="1"/>
        <v>174463</v>
      </c>
      <c r="P29" s="632">
        <f t="shared" si="2"/>
        <v>224309</v>
      </c>
      <c r="Q29" s="632">
        <f t="shared" si="3"/>
        <v>299079</v>
      </c>
      <c r="R29" s="632">
        <f t="shared" si="4"/>
        <v>373849</v>
      </c>
      <c r="S29" s="150"/>
      <c r="T29" s="2512"/>
      <c r="U29" s="2512"/>
      <c r="V29" s="222"/>
      <c r="W29" s="222"/>
      <c r="X29" s="222"/>
      <c r="AA29" s="40"/>
      <c r="AB29" s="40"/>
    </row>
    <row r="30" spans="1:28" s="96" customFormat="1" ht="11.65" customHeight="1">
      <c r="A30" s="98"/>
      <c r="D30" s="595" t="s">
        <v>2736</v>
      </c>
      <c r="E30" s="595" t="s">
        <v>1260</v>
      </c>
      <c r="F30" s="596">
        <v>125163</v>
      </c>
      <c r="G30" s="596">
        <v>163405</v>
      </c>
      <c r="H30" s="596">
        <v>197979</v>
      </c>
      <c r="I30" s="596">
        <v>241592</v>
      </c>
      <c r="J30" s="596">
        <v>286257</v>
      </c>
      <c r="L30" s="323" t="s">
        <v>2736</v>
      </c>
      <c r="M30" s="323" t="s">
        <v>1260</v>
      </c>
      <c r="N30" s="632">
        <f t="shared" si="0"/>
        <v>137679</v>
      </c>
      <c r="O30" s="632">
        <f t="shared" si="1"/>
        <v>179745</v>
      </c>
      <c r="P30" s="632">
        <f t="shared" si="2"/>
        <v>217776</v>
      </c>
      <c r="Q30" s="632">
        <f t="shared" si="3"/>
        <v>265751</v>
      </c>
      <c r="R30" s="632">
        <f t="shared" si="4"/>
        <v>314882</v>
      </c>
      <c r="S30" s="150"/>
      <c r="T30" s="2512"/>
      <c r="U30" s="2512"/>
      <c r="V30" s="222"/>
      <c r="W30" s="222"/>
      <c r="X30" s="222"/>
      <c r="AA30" s="40"/>
      <c r="AB30" s="40"/>
    </row>
    <row r="31" spans="1:28" s="96" customFormat="1" ht="11.65" customHeight="1">
      <c r="A31" s="98"/>
      <c r="D31" s="595" t="s">
        <v>2736</v>
      </c>
      <c r="E31" s="595" t="s">
        <v>1261</v>
      </c>
      <c r="F31" s="596">
        <v>112036</v>
      </c>
      <c r="G31" s="596">
        <v>152693</v>
      </c>
      <c r="H31" s="596">
        <v>193210</v>
      </c>
      <c r="I31" s="596">
        <v>254464</v>
      </c>
      <c r="J31" s="596">
        <v>315128</v>
      </c>
      <c r="L31" s="323" t="s">
        <v>2736</v>
      </c>
      <c r="M31" s="323" t="s">
        <v>1261</v>
      </c>
      <c r="N31" s="632">
        <f t="shared" si="0"/>
        <v>123239</v>
      </c>
      <c r="O31" s="632">
        <f t="shared" si="1"/>
        <v>167962</v>
      </c>
      <c r="P31" s="632">
        <f t="shared" si="2"/>
        <v>212531</v>
      </c>
      <c r="Q31" s="632">
        <f t="shared" si="3"/>
        <v>279910</v>
      </c>
      <c r="R31" s="632">
        <f t="shared" si="4"/>
        <v>346640</v>
      </c>
      <c r="S31" s="150"/>
      <c r="T31" s="2512"/>
      <c r="U31" s="2512"/>
      <c r="V31" s="222"/>
      <c r="W31" s="222"/>
      <c r="X31" s="222"/>
      <c r="AA31" s="40"/>
      <c r="AB31" s="40"/>
    </row>
    <row r="32" spans="1:28" s="96" customFormat="1" ht="11.65" customHeight="1">
      <c r="A32" s="98"/>
      <c r="D32" s="587" t="s">
        <v>2737</v>
      </c>
      <c r="E32" s="587" t="s">
        <v>2730</v>
      </c>
      <c r="F32" s="588">
        <v>148008</v>
      </c>
      <c r="G32" s="588">
        <v>191377</v>
      </c>
      <c r="H32" s="588">
        <v>228898</v>
      </c>
      <c r="I32" s="588">
        <v>272788</v>
      </c>
      <c r="J32" s="588">
        <v>321315</v>
      </c>
      <c r="L32" s="323" t="s">
        <v>2737</v>
      </c>
      <c r="M32" s="323" t="s">
        <v>2730</v>
      </c>
      <c r="N32" s="632">
        <f t="shared" si="0"/>
        <v>162808</v>
      </c>
      <c r="O32" s="632">
        <f t="shared" si="1"/>
        <v>210514</v>
      </c>
      <c r="P32" s="632">
        <f t="shared" si="2"/>
        <v>251787</v>
      </c>
      <c r="Q32" s="632">
        <f t="shared" si="3"/>
        <v>300066</v>
      </c>
      <c r="R32" s="632">
        <f t="shared" si="4"/>
        <v>353446</v>
      </c>
      <c r="S32" s="150"/>
      <c r="T32" s="2512"/>
      <c r="U32" s="2512"/>
      <c r="V32" s="222"/>
      <c r="W32" s="222"/>
      <c r="X32" s="222"/>
      <c r="AA32" s="40"/>
      <c r="AB32" s="40"/>
    </row>
    <row r="33" spans="1:295" s="96" customFormat="1" ht="11.65" customHeight="1">
      <c r="A33" s="98"/>
      <c r="D33" s="587" t="s">
        <v>2737</v>
      </c>
      <c r="E33" s="587" t="s">
        <v>1262</v>
      </c>
      <c r="F33" s="588">
        <v>115381</v>
      </c>
      <c r="G33" s="588">
        <v>161533</v>
      </c>
      <c r="H33" s="588">
        <v>207685</v>
      </c>
      <c r="I33" s="588">
        <v>276913</v>
      </c>
      <c r="J33" s="588">
        <v>346142</v>
      </c>
      <c r="L33" s="323" t="s">
        <v>2737</v>
      </c>
      <c r="M33" s="323" t="s">
        <v>1262</v>
      </c>
      <c r="N33" s="632">
        <f t="shared" si="0"/>
        <v>126919</v>
      </c>
      <c r="O33" s="632">
        <f t="shared" si="1"/>
        <v>177686</v>
      </c>
      <c r="P33" s="632">
        <f t="shared" si="2"/>
        <v>228453</v>
      </c>
      <c r="Q33" s="632">
        <f t="shared" si="3"/>
        <v>304604</v>
      </c>
      <c r="R33" s="632">
        <f t="shared" si="4"/>
        <v>380756</v>
      </c>
      <c r="S33" s="150"/>
      <c r="T33" s="2512"/>
      <c r="U33" s="2512"/>
      <c r="V33" s="222"/>
      <c r="W33" s="222"/>
      <c r="X33" s="222"/>
      <c r="AA33" s="40"/>
      <c r="AB33" s="40"/>
    </row>
    <row r="34" spans="1:295" s="96" customFormat="1" ht="11.65" customHeight="1">
      <c r="A34" s="98"/>
      <c r="D34" s="587" t="s">
        <v>2737</v>
      </c>
      <c r="E34" s="587" t="s">
        <v>1260</v>
      </c>
      <c r="F34" s="588">
        <v>127825</v>
      </c>
      <c r="G34" s="588">
        <v>166769</v>
      </c>
      <c r="H34" s="588">
        <v>201950</v>
      </c>
      <c r="I34" s="588">
        <v>246243</v>
      </c>
      <c r="J34" s="588">
        <v>291659</v>
      </c>
      <c r="L34" s="323" t="s">
        <v>2737</v>
      </c>
      <c r="M34" s="323" t="s">
        <v>1260</v>
      </c>
      <c r="N34" s="632">
        <f t="shared" si="0"/>
        <v>140607</v>
      </c>
      <c r="O34" s="632">
        <f t="shared" si="1"/>
        <v>183445</v>
      </c>
      <c r="P34" s="632">
        <f t="shared" si="2"/>
        <v>222145</v>
      </c>
      <c r="Q34" s="632">
        <f t="shared" si="3"/>
        <v>270867</v>
      </c>
      <c r="R34" s="632">
        <f t="shared" si="4"/>
        <v>320824</v>
      </c>
      <c r="S34" s="150"/>
      <c r="T34" s="2512"/>
      <c r="U34" s="2512"/>
      <c r="V34" s="222"/>
      <c r="W34" s="222"/>
      <c r="X34" s="222"/>
      <c r="AA34" s="40"/>
      <c r="AB34" s="40"/>
    </row>
    <row r="35" spans="1:295" s="96" customFormat="1" ht="11.65" customHeight="1">
      <c r="A35" s="98"/>
      <c r="D35" s="587" t="s">
        <v>2737</v>
      </c>
      <c r="E35" s="587" t="s">
        <v>1261</v>
      </c>
      <c r="F35" s="588">
        <v>114674</v>
      </c>
      <c r="G35" s="588">
        <v>156385</v>
      </c>
      <c r="H35" s="588">
        <v>197957</v>
      </c>
      <c r="I35" s="588">
        <v>260794</v>
      </c>
      <c r="J35" s="588">
        <v>323041</v>
      </c>
      <c r="L35" s="323" t="s">
        <v>2737</v>
      </c>
      <c r="M35" s="323" t="s">
        <v>1261</v>
      </c>
      <c r="N35" s="632">
        <f t="shared" si="0"/>
        <v>126141</v>
      </c>
      <c r="O35" s="632">
        <f t="shared" si="1"/>
        <v>172023</v>
      </c>
      <c r="P35" s="632">
        <f t="shared" si="2"/>
        <v>217752</v>
      </c>
      <c r="Q35" s="632">
        <f t="shared" si="3"/>
        <v>286873</v>
      </c>
      <c r="R35" s="632">
        <f t="shared" si="4"/>
        <v>355345</v>
      </c>
      <c r="S35" s="150"/>
      <c r="T35" s="2512"/>
      <c r="U35" s="2512"/>
      <c r="V35" s="222"/>
      <c r="W35" s="222"/>
      <c r="X35" s="222"/>
      <c r="AA35" s="40"/>
      <c r="AB35" s="40"/>
    </row>
    <row r="36" spans="1:295" s="96" customFormat="1" ht="11.65" customHeight="1">
      <c r="A36" s="98"/>
      <c r="D36" s="591" t="s">
        <v>2216</v>
      </c>
      <c r="E36" s="591" t="s">
        <v>2730</v>
      </c>
      <c r="F36" s="592">
        <v>135717</v>
      </c>
      <c r="G36" s="592">
        <v>175691</v>
      </c>
      <c r="H36" s="592">
        <v>210278</v>
      </c>
      <c r="I36" s="592">
        <v>250813</v>
      </c>
      <c r="J36" s="592">
        <v>295633</v>
      </c>
      <c r="L36" s="323" t="s">
        <v>2216</v>
      </c>
      <c r="M36" s="323" t="s">
        <v>2730</v>
      </c>
      <c r="N36" s="632">
        <f t="shared" si="0"/>
        <v>149288</v>
      </c>
      <c r="O36" s="632">
        <f t="shared" si="1"/>
        <v>193260</v>
      </c>
      <c r="P36" s="632">
        <f t="shared" si="2"/>
        <v>231305</v>
      </c>
      <c r="Q36" s="632">
        <f t="shared" si="3"/>
        <v>275894</v>
      </c>
      <c r="R36" s="632">
        <f t="shared" si="4"/>
        <v>325196</v>
      </c>
      <c r="S36" s="150"/>
      <c r="T36" s="2512"/>
      <c r="U36" s="2512"/>
      <c r="V36" s="222"/>
      <c r="W36" s="222"/>
      <c r="X36" s="222"/>
      <c r="AA36" s="40"/>
      <c r="AB36" s="40"/>
    </row>
    <row r="37" spans="1:295" s="96" customFormat="1" ht="11.65" customHeight="1">
      <c r="A37" s="98"/>
      <c r="D37" s="591" t="s">
        <v>2216</v>
      </c>
      <c r="E37" s="591" t="s">
        <v>1262</v>
      </c>
      <c r="F37" s="592">
        <v>105752</v>
      </c>
      <c r="G37" s="592">
        <v>148052</v>
      </c>
      <c r="H37" s="592">
        <v>190353</v>
      </c>
      <c r="I37" s="592">
        <v>253804</v>
      </c>
      <c r="J37" s="592">
        <v>317255</v>
      </c>
      <c r="L37" s="323" t="s">
        <v>2216</v>
      </c>
      <c r="M37" s="323" t="s">
        <v>1262</v>
      </c>
      <c r="N37" s="632">
        <f t="shared" si="0"/>
        <v>116327</v>
      </c>
      <c r="O37" s="632">
        <f t="shared" si="1"/>
        <v>162857</v>
      </c>
      <c r="P37" s="632">
        <f t="shared" si="2"/>
        <v>209388</v>
      </c>
      <c r="Q37" s="632">
        <f t="shared" si="3"/>
        <v>279184</v>
      </c>
      <c r="R37" s="632">
        <f t="shared" si="4"/>
        <v>348980</v>
      </c>
      <c r="S37" s="150"/>
      <c r="T37" s="2512"/>
      <c r="U37" s="2512"/>
      <c r="V37" s="222"/>
      <c r="W37" s="222"/>
      <c r="X37" s="222"/>
      <c r="AA37" s="40"/>
      <c r="AB37" s="40"/>
    </row>
    <row r="38" spans="1:295" s="96" customFormat="1" ht="11.65" customHeight="1">
      <c r="A38" s="98"/>
      <c r="D38" s="591" t="s">
        <v>2216</v>
      </c>
      <c r="E38" s="591" t="s">
        <v>1260</v>
      </c>
      <c r="F38" s="592">
        <v>116246</v>
      </c>
      <c r="G38" s="592">
        <v>151952</v>
      </c>
      <c r="H38" s="592">
        <v>184281</v>
      </c>
      <c r="I38" s="592">
        <v>225204</v>
      </c>
      <c r="J38" s="592">
        <v>267023</v>
      </c>
      <c r="L38" s="323" t="s">
        <v>2216</v>
      </c>
      <c r="M38" s="323" t="s">
        <v>1260</v>
      </c>
      <c r="N38" s="632">
        <f t="shared" si="0"/>
        <v>127870</v>
      </c>
      <c r="O38" s="632">
        <f t="shared" si="1"/>
        <v>167147</v>
      </c>
      <c r="P38" s="632">
        <f t="shared" si="2"/>
        <v>202709</v>
      </c>
      <c r="Q38" s="632">
        <f t="shared" si="3"/>
        <v>247724</v>
      </c>
      <c r="R38" s="632">
        <f t="shared" si="4"/>
        <v>293725</v>
      </c>
      <c r="S38" s="150"/>
      <c r="T38" s="2512"/>
      <c r="U38" s="2512"/>
      <c r="V38" s="222"/>
      <c r="W38" s="222"/>
      <c r="X38" s="222"/>
      <c r="AA38" s="40"/>
      <c r="AB38" s="40"/>
    </row>
    <row r="39" spans="1:295" s="96" customFormat="1" ht="11.65" customHeight="1">
      <c r="A39" s="98"/>
      <c r="D39" s="591" t="s">
        <v>2216</v>
      </c>
      <c r="E39" s="591" t="s">
        <v>1261</v>
      </c>
      <c r="F39" s="592">
        <v>103624</v>
      </c>
      <c r="G39" s="592">
        <v>141062</v>
      </c>
      <c r="H39" s="592">
        <v>178366</v>
      </c>
      <c r="I39" s="592">
        <v>234784</v>
      </c>
      <c r="J39" s="592">
        <v>290632</v>
      </c>
      <c r="L39" s="323" t="s">
        <v>2216</v>
      </c>
      <c r="M39" s="323" t="s">
        <v>1261</v>
      </c>
      <c r="N39" s="632">
        <f t="shared" si="0"/>
        <v>113986</v>
      </c>
      <c r="O39" s="632">
        <f t="shared" si="1"/>
        <v>155168</v>
      </c>
      <c r="P39" s="632">
        <f t="shared" si="2"/>
        <v>196202</v>
      </c>
      <c r="Q39" s="632">
        <f t="shared" si="3"/>
        <v>258262</v>
      </c>
      <c r="R39" s="632">
        <f t="shared" si="4"/>
        <v>319695</v>
      </c>
      <c r="S39" s="150"/>
      <c r="T39" s="2512"/>
      <c r="U39" s="2512"/>
      <c r="V39" s="222"/>
      <c r="W39" s="222"/>
      <c r="X39" s="222"/>
      <c r="AA39" s="40"/>
      <c r="AB39" s="40"/>
    </row>
    <row r="40" spans="1:295" s="96" customFormat="1" ht="3" customHeight="1">
      <c r="A40" s="98"/>
      <c r="B40" s="98"/>
      <c r="C40" s="98"/>
      <c r="D40" s="98"/>
      <c r="E40" s="2512"/>
      <c r="F40" s="98"/>
      <c r="G40" s="98"/>
      <c r="H40" s="145"/>
      <c r="I40" s="2512"/>
      <c r="J40" s="98"/>
      <c r="K40" s="2599"/>
      <c r="L40" s="2599"/>
      <c r="M40" s="2599"/>
      <c r="N40" s="2599"/>
      <c r="O40" s="98"/>
      <c r="P40" s="2512"/>
      <c r="Q40" s="144"/>
      <c r="R40" s="144"/>
      <c r="S40" s="2512"/>
      <c r="T40" s="2512"/>
      <c r="U40" s="2512"/>
      <c r="AA40" s="40"/>
      <c r="AB40" s="40"/>
    </row>
    <row r="42" spans="1:295">
      <c r="A42" s="1364" t="s">
        <v>2738</v>
      </c>
      <c r="B42" s="1365"/>
      <c r="C42" s="1365"/>
    </row>
    <row r="44" spans="1:295" s="12" customFormat="1" ht="12.75" customHeight="1">
      <c r="A44" s="2536" t="s">
        <v>25</v>
      </c>
      <c r="B44" s="3" t="s">
        <v>2739</v>
      </c>
      <c r="C44" s="3"/>
      <c r="D44" s="3"/>
      <c r="E44" s="2574"/>
      <c r="F44" s="77"/>
      <c r="G44" s="353"/>
      <c r="H44" s="353"/>
      <c r="I44" s="353"/>
      <c r="J44" s="43"/>
      <c r="K44" s="77"/>
      <c r="L44" s="354"/>
      <c r="M44" s="354"/>
      <c r="N44" s="354"/>
      <c r="O44" s="66" t="s">
        <v>1444</v>
      </c>
      <c r="P44" s="4014"/>
      <c r="Q44" s="4003"/>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170"/>
      <c r="B45" s="4170"/>
      <c r="C45" s="4170"/>
      <c r="D45" s="4170"/>
      <c r="E45" s="4170"/>
      <c r="F45" s="913"/>
      <c r="G45" s="4154" t="s">
        <v>2740</v>
      </c>
      <c r="H45" s="4155"/>
      <c r="I45" s="38"/>
      <c r="J45" s="43"/>
      <c r="K45" s="4156" t="s">
        <v>2741</v>
      </c>
      <c r="L45" s="4157"/>
      <c r="M45" s="4157"/>
      <c r="N45" s="4158"/>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170"/>
      <c r="B46" s="4170"/>
      <c r="C46" s="4170"/>
      <c r="D46" s="4170"/>
      <c r="E46" s="4170"/>
      <c r="F46" s="913"/>
      <c r="G46" s="4159" t="s">
        <v>2742</v>
      </c>
      <c r="H46" s="4160"/>
      <c r="I46" s="38"/>
      <c r="J46" s="43"/>
      <c r="K46" s="4165" t="s">
        <v>2743</v>
      </c>
      <c r="L46" s="4166"/>
      <c r="M46" s="4166"/>
      <c r="N46" s="4167"/>
      <c r="O46" s="77"/>
      <c r="P46" s="297" t="s">
        <v>2744</v>
      </c>
      <c r="Q46" s="267"/>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13"/>
      <c r="B47" s="913"/>
      <c r="C47" s="913"/>
      <c r="D47" s="913"/>
      <c r="E47" s="913"/>
      <c r="F47" s="913"/>
      <c r="G47" s="38"/>
      <c r="H47" s="38"/>
      <c r="I47" s="38"/>
      <c r="J47" s="43"/>
      <c r="K47" s="4118"/>
      <c r="L47" s="4118"/>
      <c r="M47" s="4118"/>
      <c r="N47" s="4118"/>
      <c r="O47" s="77"/>
      <c r="P47" s="4168" t="s">
        <v>2745</v>
      </c>
      <c r="Q47" s="4168"/>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56" t="s">
        <v>1321</v>
      </c>
      <c r="E48" s="77"/>
      <c r="F48" s="357" t="s">
        <v>2746</v>
      </c>
      <c r="G48" s="4182" t="s">
        <v>2747</v>
      </c>
      <c r="H48" s="4182"/>
      <c r="I48" s="4182"/>
      <c r="J48" s="77"/>
      <c r="K48" s="357" t="s">
        <v>2746</v>
      </c>
      <c r="L48" s="4182" t="s">
        <v>2748</v>
      </c>
      <c r="M48" s="4182"/>
      <c r="N48" s="4182"/>
      <c r="O48" s="77"/>
      <c r="P48" s="4168"/>
      <c r="Q48" s="4168"/>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153" t="s">
        <v>2730</v>
      </c>
      <c r="B49" s="4153"/>
      <c r="C49" s="4153"/>
      <c r="D49" s="498" t="s">
        <v>792</v>
      </c>
      <c r="E49" s="499">
        <v>0</v>
      </c>
      <c r="F49" s="911" t="e">
        <f>IF(#REF! =0,"",#REF!)</f>
        <v>#REF!</v>
      </c>
      <c r="G49" s="500"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912" t="e">
        <f>IF(F49="","",F49*G49)</f>
        <v>#REF!</v>
      </c>
      <c r="J49" s="43"/>
      <c r="K49" s="911" t="e">
        <f>IF(#REF! =0,"",#REF!)</f>
        <v>#REF!</v>
      </c>
      <c r="L49" s="500" t="e">
        <f>G49*(1+#REF!)</f>
        <v>#REF!</v>
      </c>
      <c r="M49" s="16" t="e">
        <f>CONCATENATE("x ", K49," units = ")</f>
        <v>#REF!</v>
      </c>
      <c r="N49" s="912" t="e">
        <f>IF(K49="","",K49*L49)</f>
        <v>#REF!</v>
      </c>
      <c r="O49" s="2574"/>
      <c r="P49" s="4169"/>
      <c r="Q49" s="4169"/>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153"/>
      <c r="B50" s="4153"/>
      <c r="C50" s="4153"/>
      <c r="D50" s="498" t="s">
        <v>835</v>
      </c>
      <c r="E50" s="499">
        <v>1</v>
      </c>
      <c r="F50" s="911" t="e">
        <f>IF(#REF! =0,"",#REF!)</f>
        <v>#REF!</v>
      </c>
      <c r="G50" s="500"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912" t="e">
        <f>IF(F50="","",F50*G50)</f>
        <v>#REF!</v>
      </c>
      <c r="J50" s="43"/>
      <c r="K50" s="911" t="e">
        <f>IF(#REF! =0,"",#REF!)</f>
        <v>#REF!</v>
      </c>
      <c r="L50" s="500" t="e">
        <f>G50*(1+#REF!)</f>
        <v>#REF!</v>
      </c>
      <c r="M50" s="16" t="e">
        <f>CONCATENATE("x ", K50," units = ")</f>
        <v>#REF!</v>
      </c>
      <c r="N50" s="912" t="e">
        <f>IF(K50="","",K50*L50)</f>
        <v>#REF!</v>
      </c>
      <c r="O50" s="2574"/>
      <c r="P50" s="4175" t="e">
        <f>IF(#REF!="","",VLOOKUP(#REF!,#REF!,8,FALSE))</f>
        <v>#REF!</v>
      </c>
      <c r="Q50" s="4176"/>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153"/>
      <c r="B51" s="4153"/>
      <c r="C51" s="4153"/>
      <c r="D51" s="498" t="s">
        <v>836</v>
      </c>
      <c r="E51" s="499">
        <v>2</v>
      </c>
      <c r="F51" s="911" t="e">
        <f>IF(#REF! =0,"",#REF!)</f>
        <v>#REF!</v>
      </c>
      <c r="G51" s="500"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912" t="e">
        <f>IF(F51="","",F51*G51)</f>
        <v>#REF!</v>
      </c>
      <c r="J51" s="43"/>
      <c r="K51" s="911" t="e">
        <f>IF(#REF! =0,"",#REF!)</f>
        <v>#REF!</v>
      </c>
      <c r="L51" s="500" t="e">
        <f>G51*(1+#REF!)</f>
        <v>#REF!</v>
      </c>
      <c r="M51" s="16" t="e">
        <f>CONCATENATE("x ", K51," units = ")</f>
        <v>#REF!</v>
      </c>
      <c r="N51" s="912" t="e">
        <f>IF(K51="","",K51*L51)</f>
        <v>#REF!</v>
      </c>
      <c r="O51" s="2574"/>
      <c r="P51" s="4177"/>
      <c r="Q51" s="4178"/>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153"/>
      <c r="B52" s="4153"/>
      <c r="C52" s="4153"/>
      <c r="D52" s="498" t="s">
        <v>837</v>
      </c>
      <c r="E52" s="499">
        <v>3</v>
      </c>
      <c r="F52" s="911" t="e">
        <f>IF(#REF! =0,"",#REF!)</f>
        <v>#REF!</v>
      </c>
      <c r="G52" s="500"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912" t="e">
        <f>IF(F52="","",F52*G52)</f>
        <v>#REF!</v>
      </c>
      <c r="J52" s="43"/>
      <c r="K52" s="911" t="e">
        <f>IF(#REF! =0,"",#REF!)</f>
        <v>#REF!</v>
      </c>
      <c r="L52" s="500" t="e">
        <f>G52*(1+#REF!)</f>
        <v>#REF!</v>
      </c>
      <c r="M52" s="16" t="e">
        <f>CONCATENATE("x ", K52," units = ")</f>
        <v>#REF!</v>
      </c>
      <c r="N52" s="912" t="e">
        <f>IF(K52="","",K52*L52)</f>
        <v>#REF!</v>
      </c>
      <c r="O52" s="2574"/>
      <c r="P52" s="3990" t="s">
        <v>2749</v>
      </c>
      <c r="Q52" s="3990"/>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8" t="s">
        <v>838</v>
      </c>
      <c r="E53" s="499">
        <v>4</v>
      </c>
      <c r="F53" s="911" t="e">
        <f>IF(#REF! =0,"",#REF!)</f>
        <v>#REF!</v>
      </c>
      <c r="G53" s="500"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912" t="e">
        <f>IF(F53="","",F53*G53)</f>
        <v>#REF!</v>
      </c>
      <c r="J53" s="43"/>
      <c r="K53" s="911" t="e">
        <f>IF(#REF! =0,"",#REF!)</f>
        <v>#REF!</v>
      </c>
      <c r="L53" s="500" t="e">
        <f>G53*(1+#REF!)</f>
        <v>#REF!</v>
      </c>
      <c r="M53" s="16" t="e">
        <f>CONCATENATE("x ", K53," units = ")</f>
        <v>#REF!</v>
      </c>
      <c r="N53" s="912" t="e">
        <f>IF(K53="","",K53*L53)</f>
        <v>#REF!</v>
      </c>
      <c r="O53" s="2574"/>
      <c r="P53" s="4161" t="e">
        <f>#REF!</f>
        <v>#REF!</v>
      </c>
      <c r="Q53" s="4162"/>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32" t="s">
        <v>2750</v>
      </c>
      <c r="E54" s="229"/>
      <c r="F54" s="653" t="e">
        <f>SUM(F49:F53)</f>
        <v>#REF!</v>
      </c>
      <c r="G54" s="358"/>
      <c r="H54" s="654"/>
      <c r="I54" s="655" t="e">
        <f>SUM(I49:I53)</f>
        <v>#REF!</v>
      </c>
      <c r="J54" s="656"/>
      <c r="K54" s="653" t="e">
        <f>SUM(K49:K53)</f>
        <v>#REF!</v>
      </c>
      <c r="L54" s="656"/>
      <c r="M54" s="654"/>
      <c r="N54" s="655" t="e">
        <f>SUM(N49:N53)</f>
        <v>#REF!</v>
      </c>
      <c r="O54" s="2574"/>
      <c r="P54" s="3990" t="s">
        <v>2751</v>
      </c>
      <c r="Q54" s="3990"/>
      <c r="R54" s="4200" t="s">
        <v>2752</v>
      </c>
      <c r="S54" s="4200"/>
      <c r="T54" s="4200"/>
      <c r="V54" s="958"/>
      <c r="W54" s="958"/>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11"/>
      <c r="E55" s="311"/>
      <c r="F55" s="2577"/>
      <c r="G55" s="73"/>
      <c r="H55" s="77"/>
      <c r="I55" s="2577"/>
      <c r="J55" s="77"/>
      <c r="K55" s="2577"/>
      <c r="L55" s="77"/>
      <c r="M55" s="2574"/>
      <c r="N55" s="2577"/>
      <c r="O55" s="257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153" t="s">
        <v>1260</v>
      </c>
      <c r="B56" s="4153"/>
      <c r="C56" s="4153"/>
      <c r="D56" s="498" t="s">
        <v>792</v>
      </c>
      <c r="E56" s="502">
        <v>0</v>
      </c>
      <c r="F56" s="911" t="e">
        <f>IF(#REF! =0,"",#REF!)</f>
        <v>#REF!</v>
      </c>
      <c r="G56" s="500"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912" t="e">
        <f>IF(F56="","",F56*G56)</f>
        <v>#REF!</v>
      </c>
      <c r="J56" s="43"/>
      <c r="K56" s="911" t="e">
        <f>IF(#REF! =0,"",#REF!)</f>
        <v>#REF!</v>
      </c>
      <c r="L56" s="500" t="e">
        <f>G56*(1+#REF!)</f>
        <v>#REF!</v>
      </c>
      <c r="M56" s="16" t="e">
        <f>CONCATENATE("x ", K56," units = ")</f>
        <v>#REF!</v>
      </c>
      <c r="N56" s="912" t="e">
        <f>IF(K56="","",K56*L56)</f>
        <v>#REF!</v>
      </c>
      <c r="P56" s="4161" t="e">
        <f>#REF!-#REF!-#REF!-#REF!-#REF!-#REF!</f>
        <v>#REF!</v>
      </c>
      <c r="Q56" s="4162"/>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153"/>
      <c r="B57" s="4153"/>
      <c r="C57" s="4153"/>
      <c r="D57" s="498" t="s">
        <v>835</v>
      </c>
      <c r="E57" s="499">
        <v>1</v>
      </c>
      <c r="F57" s="911" t="e">
        <f>IF(#REF! =0,"",#REF!)</f>
        <v>#REF!</v>
      </c>
      <c r="G57" s="500"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912" t="e">
        <f>IF(F57="","",F57*G57)</f>
        <v>#REF!</v>
      </c>
      <c r="J57" s="43"/>
      <c r="K57" s="911" t="e">
        <f>IF(#REF! =0,"",#REF!)</f>
        <v>#REF!</v>
      </c>
      <c r="L57" s="500" t="e">
        <f>G57*(1+#REF!)</f>
        <v>#REF!</v>
      </c>
      <c r="M57" s="16" t="e">
        <f>CONCATENATE("x ", K57," units = ")</f>
        <v>#REF!</v>
      </c>
      <c r="N57" s="912" t="e">
        <f>IF(K57="","",K57*L57)</f>
        <v>#REF!</v>
      </c>
      <c r="P57" s="3218" t="s">
        <v>2753</v>
      </c>
      <c r="Q57" s="3218"/>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153"/>
      <c r="B58" s="4153"/>
      <c r="C58" s="4153"/>
      <c r="D58" s="498" t="s">
        <v>836</v>
      </c>
      <c r="E58" s="499">
        <v>2</v>
      </c>
      <c r="F58" s="911" t="e">
        <f>IF(#REF! =0,"",#REF!)</f>
        <v>#REF!</v>
      </c>
      <c r="G58" s="500"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912" t="e">
        <f>IF(F58="","",F58*G58)</f>
        <v>#REF!</v>
      </c>
      <c r="J58" s="43"/>
      <c r="K58" s="911" t="e">
        <f>IF(#REF! =0,"",#REF!)</f>
        <v>#REF!</v>
      </c>
      <c r="L58" s="500" t="e">
        <f>G58*(1+#REF!)</f>
        <v>#REF!</v>
      </c>
      <c r="M58" s="16" t="e">
        <f>CONCATENATE("x ", K58," units = ")</f>
        <v>#REF!</v>
      </c>
      <c r="N58" s="912" t="e">
        <f>IF(K58="","",K58*L58)</f>
        <v>#REF!</v>
      </c>
      <c r="O58" s="322"/>
      <c r="P58" s="4179"/>
      <c r="Q58" s="4731"/>
      <c r="R58" s="225"/>
      <c r="S58" s="4183" t="s">
        <v>2754</v>
      </c>
      <c r="T58" s="4184"/>
      <c r="U58" s="4184"/>
      <c r="V58" s="4185"/>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8" t="s">
        <v>837</v>
      </c>
      <c r="E59" s="499">
        <v>3</v>
      </c>
      <c r="F59" s="911" t="e">
        <f>IF(#REF! =0,"",#REF!)</f>
        <v>#REF!</v>
      </c>
      <c r="G59" s="500"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912" t="e">
        <f>IF(F59="","",F59*G59)</f>
        <v>#REF!</v>
      </c>
      <c r="J59" s="43"/>
      <c r="K59" s="911" t="e">
        <f>IF(#REF! =0,"",#REF!)</f>
        <v>#REF!</v>
      </c>
      <c r="L59" s="500" t="e">
        <f>G59*(1+#REF!)</f>
        <v>#REF!</v>
      </c>
      <c r="M59" s="16" t="e">
        <f>CONCATENATE("x ", K59," units = ")</f>
        <v>#REF!</v>
      </c>
      <c r="N59" s="912" t="e">
        <f>IF(K59="","",K59*L59)</f>
        <v>#REF!</v>
      </c>
      <c r="O59" s="322"/>
      <c r="P59" s="4180"/>
      <c r="Q59" s="4181"/>
      <c r="S59" s="4186"/>
      <c r="T59" s="4187"/>
      <c r="U59" s="4187"/>
      <c r="V59" s="4188"/>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8" t="s">
        <v>838</v>
      </c>
      <c r="E60" s="499">
        <v>4</v>
      </c>
      <c r="F60" s="911" t="e">
        <f>IF(#REF! =0,"",#REF!)</f>
        <v>#REF!</v>
      </c>
      <c r="G60" s="500"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912" t="e">
        <f>IF(F60="","",F60*G60)</f>
        <v>#REF!</v>
      </c>
      <c r="J60" s="43"/>
      <c r="K60" s="911" t="e">
        <f>IF(#REF! =0,"",#REF!)</f>
        <v>#REF!</v>
      </c>
      <c r="L60" s="500" t="e">
        <f>G60*(1+#REF!)</f>
        <v>#REF!</v>
      </c>
      <c r="M60" s="16" t="e">
        <f>CONCATENATE("x ", K60," units = ")</f>
        <v>#REF!</v>
      </c>
      <c r="N60" s="912" t="e">
        <f>IF(K60="","",K60*L60)</f>
        <v>#REF!</v>
      </c>
      <c r="O60" s="322"/>
      <c r="P60" s="4164" t="s">
        <v>2755</v>
      </c>
      <c r="Q60" s="4164"/>
      <c r="S60" s="4186"/>
      <c r="T60" s="4187"/>
      <c r="U60" s="4187"/>
      <c r="V60" s="4188"/>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32" t="s">
        <v>2750</v>
      </c>
      <c r="E61" s="229"/>
      <c r="F61" s="653" t="e">
        <f>SUM(F56:F60)</f>
        <v>#REF!</v>
      </c>
      <c r="G61" s="358"/>
      <c r="H61" s="654"/>
      <c r="I61" s="655" t="e">
        <f>SUM(I56:I60)</f>
        <v>#REF!</v>
      </c>
      <c r="J61" s="656"/>
      <c r="K61" s="653" t="e">
        <f>SUM(K56:K60)</f>
        <v>#REF!</v>
      </c>
      <c r="L61" s="656"/>
      <c r="M61" s="654"/>
      <c r="N61" s="655" t="e">
        <f>SUM(N56:N60)</f>
        <v>#REF!</v>
      </c>
      <c r="O61" s="322"/>
      <c r="P61" s="659" t="s">
        <v>1758</v>
      </c>
      <c r="Q61" s="659" t="s">
        <v>1749</v>
      </c>
      <c r="R61" s="225"/>
      <c r="S61" s="4186"/>
      <c r="T61" s="4187"/>
      <c r="U61" s="4187"/>
      <c r="V61" s="4188"/>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11"/>
      <c r="E62" s="311"/>
      <c r="F62" s="2577"/>
      <c r="G62" s="73"/>
      <c r="H62" s="77"/>
      <c r="I62" s="2577"/>
      <c r="J62" s="77"/>
      <c r="K62" s="2577"/>
      <c r="L62" s="77"/>
      <c r="M62" s="2574"/>
      <c r="N62" s="2577"/>
      <c r="O62" s="322"/>
      <c r="R62" s="225"/>
      <c r="S62" s="4186"/>
      <c r="T62" s="4187"/>
      <c r="U62" s="4187"/>
      <c r="V62" s="4188"/>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31" t="s">
        <v>1261</v>
      </c>
      <c r="B63" s="330"/>
      <c r="C63" s="43"/>
      <c r="D63" s="498" t="s">
        <v>792</v>
      </c>
      <c r="E63" s="499">
        <v>0</v>
      </c>
      <c r="F63" s="911" t="e">
        <f>IF(#REF! =0,"",#REF!)</f>
        <v>#REF!</v>
      </c>
      <c r="G63" s="500"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912" t="e">
        <f>IF(F63="","",F63*G63)</f>
        <v>#REF!</v>
      </c>
      <c r="J63" s="43"/>
      <c r="K63" s="911" t="e">
        <f>IF(#REF! =0,"",#REF!)</f>
        <v>#REF!</v>
      </c>
      <c r="L63" s="500" t="e">
        <f>G63*(1+#REF!)</f>
        <v>#REF!</v>
      </c>
      <c r="M63" s="16" t="e">
        <f>CONCATENATE("x ", K63," units = ")</f>
        <v>#REF!</v>
      </c>
      <c r="N63" s="912" t="e">
        <f>IF(K63="","",K63*L63)</f>
        <v>#REF!</v>
      </c>
      <c r="O63" s="322"/>
      <c r="P63" s="658">
        <f>'Part VIII Scoring Criteria OLD'!O378</f>
        <v>0</v>
      </c>
      <c r="Q63" s="658">
        <f>'Part VIII Scoring Criteria OLD'!P378</f>
        <v>0</v>
      </c>
      <c r="R63" s="225"/>
      <c r="S63" s="4186"/>
      <c r="T63" s="4187"/>
      <c r="U63" s="4187"/>
      <c r="V63" s="4188"/>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8" t="s">
        <v>835</v>
      </c>
      <c r="E64" s="499">
        <v>1</v>
      </c>
      <c r="F64" s="911" t="e">
        <f>IF(#REF! =0,"",#REF!)</f>
        <v>#REF!</v>
      </c>
      <c r="G64" s="500"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912" t="e">
        <f>IF(F64="","",F64*G64)</f>
        <v>#REF!</v>
      </c>
      <c r="J64" s="43"/>
      <c r="K64" s="911" t="e">
        <f>IF(#REF! =0,"",#REF!)</f>
        <v>#REF!</v>
      </c>
      <c r="L64" s="500" t="e">
        <f>G64*(1+#REF!)</f>
        <v>#REF!</v>
      </c>
      <c r="M64" s="16" t="e">
        <f>CONCATENATE("x ", K64," units = ")</f>
        <v>#REF!</v>
      </c>
      <c r="N64" s="912" t="e">
        <f>IF(K64="","",K64*L64)</f>
        <v>#REF!</v>
      </c>
      <c r="P64" s="4164" t="s">
        <v>2756</v>
      </c>
      <c r="Q64" s="4164"/>
      <c r="S64" s="4186"/>
      <c r="T64" s="4187"/>
      <c r="U64" s="4187"/>
      <c r="V64" s="4188"/>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8" t="s">
        <v>836</v>
      </c>
      <c r="E65" s="499">
        <v>2</v>
      </c>
      <c r="F65" s="911" t="e">
        <f>IF(#REF! =0,"",#REF!)</f>
        <v>#REF!</v>
      </c>
      <c r="G65" s="500"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912" t="e">
        <f>IF(F65="","",F65*G65)</f>
        <v>#REF!</v>
      </c>
      <c r="J65" s="43"/>
      <c r="K65" s="911" t="e">
        <f>IF(#REF! =0,"",#REF!)</f>
        <v>#REF!</v>
      </c>
      <c r="L65" s="500" t="e">
        <f>G65*(1+#REF!)</f>
        <v>#REF!</v>
      </c>
      <c r="M65" s="16" t="e">
        <f>CONCATENATE("x ", K65," units = ")</f>
        <v>#REF!</v>
      </c>
      <c r="N65" s="912" t="e">
        <f>IF(K65="","",K65*L65)</f>
        <v>#REF!</v>
      </c>
      <c r="P65" s="659" t="s">
        <v>1758</v>
      </c>
      <c r="Q65" s="659" t="s">
        <v>1749</v>
      </c>
      <c r="S65" s="4186"/>
      <c r="T65" s="4187"/>
      <c r="U65" s="4187"/>
      <c r="V65" s="4188"/>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8" t="s">
        <v>837</v>
      </c>
      <c r="E66" s="499">
        <v>3</v>
      </c>
      <c r="F66" s="911" t="e">
        <f>IF(#REF! =0,"",#REF!)</f>
        <v>#REF!</v>
      </c>
      <c r="G66" s="500"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912" t="e">
        <f>IF(F66="","",F66*G66)</f>
        <v>#REF!</v>
      </c>
      <c r="J66" s="43"/>
      <c r="K66" s="911" t="e">
        <f>IF(#REF! =0,"",#REF!)</f>
        <v>#REF!</v>
      </c>
      <c r="L66" s="500" t="e">
        <f>G66*(1+#REF!)</f>
        <v>#REF!</v>
      </c>
      <c r="M66" s="16" t="e">
        <f>CONCATENATE("x ", K66," units = ")</f>
        <v>#REF!</v>
      </c>
      <c r="N66" s="912" t="e">
        <f>IF(K66="","",K66*L66)</f>
        <v>#REF!</v>
      </c>
      <c r="O66" s="322"/>
      <c r="P66" s="658">
        <f>'Part VIII Scoring Criteria OLD'!O113</f>
        <v>0</v>
      </c>
      <c r="Q66" s="658">
        <f>'Part VIII Scoring Criteria OLD'!P113</f>
        <v>0</v>
      </c>
      <c r="S66" s="4186"/>
      <c r="T66" s="4187"/>
      <c r="U66" s="4187"/>
      <c r="V66" s="4188"/>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8" t="s">
        <v>838</v>
      </c>
      <c r="E67" s="499">
        <v>4</v>
      </c>
      <c r="F67" s="911" t="e">
        <f>IF(#REF! =0,"",#REF!)</f>
        <v>#REF!</v>
      </c>
      <c r="G67" s="500"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912" t="e">
        <f>IF(F67="","",F67*G67)</f>
        <v>#REF!</v>
      </c>
      <c r="J67" s="43"/>
      <c r="K67" s="911" t="e">
        <f>IF(#REF! =0,"",#REF!)</f>
        <v>#REF!</v>
      </c>
      <c r="L67" s="500" t="e">
        <f>G67*(1+#REF!)</f>
        <v>#REF!</v>
      </c>
      <c r="M67" s="16" t="e">
        <f>CONCATENATE("x ", K67," units = ")</f>
        <v>#REF!</v>
      </c>
      <c r="N67" s="912" t="e">
        <f>IF(K67="","",K67*L67)</f>
        <v>#REF!</v>
      </c>
      <c r="O67" s="322"/>
      <c r="P67" s="4195" t="s">
        <v>2757</v>
      </c>
      <c r="Q67" s="4195"/>
      <c r="S67" s="4186"/>
      <c r="T67" s="4187"/>
      <c r="U67" s="4187"/>
      <c r="V67" s="4188"/>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32" t="s">
        <v>2750</v>
      </c>
      <c r="E68" s="229"/>
      <c r="F68" s="653" t="e">
        <f>SUM(F63:F67)</f>
        <v>#REF!</v>
      </c>
      <c r="G68" s="358"/>
      <c r="H68" s="654"/>
      <c r="I68" s="655" t="e">
        <f>SUM(I63:I67)</f>
        <v>#REF!</v>
      </c>
      <c r="J68" s="656"/>
      <c r="K68" s="653" t="e">
        <f>SUM(K63:K67)</f>
        <v>#REF!</v>
      </c>
      <c r="L68" s="656"/>
      <c r="M68" s="654"/>
      <c r="N68" s="655" t="e">
        <f>SUM(N63:N67)</f>
        <v>#REF!</v>
      </c>
      <c r="O68" s="322"/>
      <c r="P68" s="4195"/>
      <c r="Q68" s="4195"/>
      <c r="S68" s="4186"/>
      <c r="T68" s="4187"/>
      <c r="U68" s="4187"/>
      <c r="V68" s="4188"/>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11"/>
      <c r="E69" s="311"/>
      <c r="F69" s="2577"/>
      <c r="G69" s="73"/>
      <c r="H69" s="77"/>
      <c r="I69" s="2577"/>
      <c r="J69" s="77"/>
      <c r="K69" s="2577"/>
      <c r="L69" s="77"/>
      <c r="M69" s="2574"/>
      <c r="N69" s="2577"/>
      <c r="O69" s="322"/>
      <c r="P69" s="4195"/>
      <c r="Q69" s="4195"/>
      <c r="R69" s="225"/>
      <c r="S69" s="4186"/>
      <c r="T69" s="4187"/>
      <c r="U69" s="4187"/>
      <c r="V69" s="4188"/>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31" t="s">
        <v>1262</v>
      </c>
      <c r="B70" s="77"/>
      <c r="C70" s="43"/>
      <c r="D70" s="498" t="s">
        <v>792</v>
      </c>
      <c r="E70" s="499">
        <v>0</v>
      </c>
      <c r="F70" s="911" t="e">
        <f>IF(#REF! =0,"",#REF!)</f>
        <v>#REF!</v>
      </c>
      <c r="G70" s="500"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912" t="e">
        <f>IF(F70="","",F70*G70)</f>
        <v>#REF!</v>
      </c>
      <c r="J70" s="43"/>
      <c r="K70" s="911" t="e">
        <f>IF(#REF! =0,"",#REF!)</f>
        <v>#REF!</v>
      </c>
      <c r="L70" s="500" t="e">
        <f>G70*(1+#REF!)</f>
        <v>#REF!</v>
      </c>
      <c r="M70" s="16" t="e">
        <f>CONCATENATE("x ", K70," units = ")</f>
        <v>#REF!</v>
      </c>
      <c r="N70" s="912" t="e">
        <f>IF(K70="","",K70*L70)</f>
        <v>#REF!</v>
      </c>
      <c r="O70" s="322"/>
      <c r="P70" s="4196"/>
      <c r="Q70" s="4196"/>
      <c r="R70" s="225"/>
      <c r="S70" s="4189"/>
      <c r="T70" s="4190"/>
      <c r="U70" s="4190"/>
      <c r="V70" s="4191"/>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8" t="s">
        <v>835</v>
      </c>
      <c r="E71" s="499">
        <v>1</v>
      </c>
      <c r="F71" s="911" t="e">
        <f>IF(#REF! =0,"",#REF!)</f>
        <v>#REF!</v>
      </c>
      <c r="G71" s="500"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912" t="e">
        <f>IF(F71="","",F71*G71)</f>
        <v>#REF!</v>
      </c>
      <c r="J71" s="43"/>
      <c r="K71" s="911" t="e">
        <f>IF(#REF! =0,"",#REF!)</f>
        <v>#REF!</v>
      </c>
      <c r="L71" s="500" t="e">
        <f>G71*(1+#REF!)</f>
        <v>#REF!</v>
      </c>
      <c r="M71" s="16" t="e">
        <f>CONCATENATE("x ", K71," units = ")</f>
        <v>#REF!</v>
      </c>
      <c r="N71" s="912" t="e">
        <f>IF(K71="","",K71*L71)</f>
        <v>#REF!</v>
      </c>
      <c r="O71" s="322"/>
      <c r="P71" s="4171" t="e">
        <f>IF(P58&gt;1,P58, IF(OR('Part VIII Scoring Criteria OLD'!$O$113='Part VIII Scoring Criteria OLD'!$M$113,AND(#REF!="Yes",'Part VIII Scoring Criteria OLD'!$O$378&gt;0)),H77+M77,H77))</f>
        <v>#REF!</v>
      </c>
      <c r="Q71" s="4172"/>
      <c r="R71" s="956"/>
      <c r="S71" s="957"/>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8" t="s">
        <v>836</v>
      </c>
      <c r="E72" s="499">
        <v>2</v>
      </c>
      <c r="F72" s="911" t="e">
        <f>IF(#REF! =0,"",#REF!)</f>
        <v>#REF!</v>
      </c>
      <c r="G72" s="500"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912" t="e">
        <f>IF(F72="","",F72*G72)</f>
        <v>#REF!</v>
      </c>
      <c r="J72" s="43"/>
      <c r="K72" s="911" t="e">
        <f>IF(#REF! =0,"",#REF!)</f>
        <v>#REF!</v>
      </c>
      <c r="L72" s="500" t="e">
        <f>G72*(1+#REF!)</f>
        <v>#REF!</v>
      </c>
      <c r="M72" s="16" t="e">
        <f>CONCATENATE("x ", K72," units = ")</f>
        <v>#REF!</v>
      </c>
      <c r="N72" s="912" t="e">
        <f>IF(K72="","",K72*L72)</f>
        <v>#REF!</v>
      </c>
      <c r="P72" s="4173"/>
      <c r="Q72" s="4174"/>
      <c r="R72" s="956"/>
      <c r="S72" s="957"/>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8" t="s">
        <v>837</v>
      </c>
      <c r="E73" s="499">
        <v>3</v>
      </c>
      <c r="F73" s="911" t="e">
        <f>IF(#REF! =0,"",#REF!)</f>
        <v>#REF!</v>
      </c>
      <c r="G73" s="500"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912" t="e">
        <f>IF(F73="","",F73*G73)</f>
        <v>#REF!</v>
      </c>
      <c r="J73" s="43"/>
      <c r="K73" s="911" t="e">
        <f>IF(#REF! =0,"",#REF!)</f>
        <v>#REF!</v>
      </c>
      <c r="L73" s="500" t="e">
        <f>G73*(1+#REF!)</f>
        <v>#REF!</v>
      </c>
      <c r="M73" s="16" t="e">
        <f>CONCATENATE("x ", K73," units = ")</f>
        <v>#REF!</v>
      </c>
      <c r="N73" s="912" t="e">
        <f>IF(K73="","",K73*L73)</f>
        <v>#REF!</v>
      </c>
      <c r="P73" s="4192" t="s">
        <v>2758</v>
      </c>
      <c r="Q73" s="4192"/>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8" t="s">
        <v>838</v>
      </c>
      <c r="E74" s="499">
        <v>4</v>
      </c>
      <c r="F74" s="911" t="e">
        <f>IF(#REF! =0,"",#REF!)</f>
        <v>#REF!</v>
      </c>
      <c r="G74" s="500"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912" t="e">
        <f>IF(F74="","",F74*G74)</f>
        <v>#REF!</v>
      </c>
      <c r="J74" s="43"/>
      <c r="K74" s="911" t="e">
        <f>IF(#REF! =0,"",#REF!)</f>
        <v>#REF!</v>
      </c>
      <c r="L74" s="500" t="e">
        <f>G74*(1+#REF!)</f>
        <v>#REF!</v>
      </c>
      <c r="M74" s="16" t="e">
        <f>CONCATENATE("x ", K74," units = ")</f>
        <v>#REF!</v>
      </c>
      <c r="N74" s="912" t="e">
        <f>IF(K74="","",K74*L74)</f>
        <v>#REF!</v>
      </c>
      <c r="O74" s="322"/>
      <c r="P74" s="4193"/>
      <c r="Q74" s="4193"/>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32" t="s">
        <v>2750</v>
      </c>
      <c r="E75" s="229"/>
      <c r="F75" s="653" t="e">
        <f>SUM(F70:F74)</f>
        <v>#REF!</v>
      </c>
      <c r="G75" s="358"/>
      <c r="H75" s="654"/>
      <c r="I75" s="657" t="e">
        <f>SUM(I70:I74)</f>
        <v>#REF!</v>
      </c>
      <c r="J75" s="656"/>
      <c r="K75" s="653" t="e">
        <f>SUM(K70:K74)</f>
        <v>#REF!</v>
      </c>
      <c r="L75" s="656"/>
      <c r="M75" s="654"/>
      <c r="N75" s="657" t="e">
        <f>SUM(N70:N74)</f>
        <v>#REF!</v>
      </c>
      <c r="O75" s="322"/>
      <c r="P75" s="4193"/>
      <c r="Q75" s="4193"/>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802"/>
      <c r="I76" s="2802"/>
      <c r="J76" s="2802"/>
      <c r="K76" s="2802"/>
      <c r="L76" s="2802"/>
      <c r="M76" s="2802"/>
      <c r="N76" s="2593"/>
      <c r="O76" s="322"/>
      <c r="P76" s="4193"/>
      <c r="Q76" s="4193"/>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2759</v>
      </c>
      <c r="B77" s="43"/>
      <c r="C77" s="43"/>
      <c r="D77" s="41"/>
      <c r="E77" s="48"/>
      <c r="F77" s="351" t="e">
        <f>F54+F61+F68+F75</f>
        <v>#REF!</v>
      </c>
      <c r="G77" s="163"/>
      <c r="H77" s="4201" t="e">
        <f>I54+I61+I68+I75</f>
        <v>#REF!</v>
      </c>
      <c r="I77" s="4201"/>
      <c r="J77" s="4201"/>
      <c r="K77" s="351" t="e">
        <f>K54+K61+K68+K75</f>
        <v>#REF!</v>
      </c>
      <c r="L77" s="352"/>
      <c r="M77" s="4201" t="e">
        <f>N54+N61+N68+N75</f>
        <v>#REF!</v>
      </c>
      <c r="N77" s="4201"/>
      <c r="O77" s="4201"/>
      <c r="P77" s="4193"/>
      <c r="Q77" s="4193"/>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1450</v>
      </c>
      <c r="C78" s="77"/>
      <c r="D78" s="44"/>
      <c r="E78" s="44"/>
      <c r="F78" s="44"/>
      <c r="G78" s="44"/>
      <c r="H78" s="16"/>
      <c r="I78" s="2584"/>
      <c r="J78" s="2584"/>
      <c r="K78" s="70" t="s">
        <v>1447</v>
      </c>
      <c r="L78" s="517"/>
      <c r="M78" s="517"/>
      <c r="N78" s="517"/>
      <c r="O78" s="517"/>
      <c r="P78" s="4194"/>
      <c r="Q78" s="4194"/>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995"/>
      <c r="B79" s="3996"/>
      <c r="C79" s="3996"/>
      <c r="D79" s="3996"/>
      <c r="E79" s="3996"/>
      <c r="F79" s="3996"/>
      <c r="G79" s="3996"/>
      <c r="H79" s="3996"/>
      <c r="I79" s="3996"/>
      <c r="J79" s="3997"/>
      <c r="K79" s="3999"/>
      <c r="L79" s="4000"/>
      <c r="M79" s="4000"/>
      <c r="N79" s="4000"/>
      <c r="O79" s="4000"/>
      <c r="P79" s="4000"/>
      <c r="Q79" s="4001"/>
      <c r="R79" s="248" t="s">
        <v>2401</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584"/>
      <c r="C80" s="2574"/>
      <c r="D80" s="2574"/>
      <c r="E80" s="2574"/>
      <c r="F80" s="2574"/>
      <c r="G80" s="2574"/>
      <c r="H80" s="2574"/>
      <c r="I80" s="2574"/>
      <c r="J80" s="2574"/>
      <c r="K80" s="2574"/>
      <c r="L80" s="2574"/>
      <c r="M80" s="2574"/>
      <c r="N80" s="2574"/>
      <c r="O80" s="2574"/>
      <c r="P80" s="2574"/>
      <c r="Q80" s="517"/>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33" customWidth="1"/>
    <col min="15" max="16" width="6.7109375" style="9" customWidth="1"/>
    <col min="17" max="17" width="6" customWidth="1"/>
    <col min="18" max="21" width="9.28515625" customWidth="1"/>
    <col min="22" max="23" width="10" customWidth="1"/>
  </cols>
  <sheetData>
    <row r="1" spans="1:25" s="12" customFormat="1" ht="14.1" customHeight="1">
      <c r="A1" s="3130" t="e">
        <f>CONCATENATE("PART EIGHT - SCORING CRITERIA","  -  ",#REF!," ",#REF!,", ",#REF!,", ",#REF!," County")</f>
        <v>#REF!</v>
      </c>
      <c r="B1" s="3131"/>
      <c r="C1" s="3131"/>
      <c r="D1" s="3131"/>
      <c r="E1" s="3131"/>
      <c r="F1" s="3131"/>
      <c r="G1" s="3131"/>
      <c r="H1" s="3131"/>
      <c r="I1" s="3131"/>
      <c r="J1" s="3131"/>
      <c r="K1" s="3131"/>
      <c r="L1" s="3131"/>
      <c r="M1" s="3131"/>
      <c r="N1" s="3131"/>
      <c r="O1" s="3131"/>
      <c r="P1" s="3132"/>
      <c r="Q1" s="4482" t="s">
        <v>2760</v>
      </c>
      <c r="R1" s="4482"/>
      <c r="S1" s="4482"/>
      <c r="T1" s="4482"/>
      <c r="U1" s="4482"/>
      <c r="V1" s="4482"/>
      <c r="W1" s="1523"/>
      <c r="X1" s="1486"/>
      <c r="Y1" s="77"/>
    </row>
    <row r="2" spans="1:25" s="12" customFormat="1" ht="4.3499999999999996" customHeight="1">
      <c r="A2" s="13"/>
      <c r="B2" s="13"/>
      <c r="C2" s="14"/>
      <c r="D2" s="13"/>
      <c r="E2" s="13"/>
      <c r="F2" s="13"/>
      <c r="G2" s="13"/>
      <c r="H2" s="13"/>
      <c r="I2" s="13"/>
      <c r="J2" s="13"/>
      <c r="K2" s="13"/>
      <c r="L2" s="13"/>
      <c r="M2" s="2584"/>
      <c r="N2" s="32"/>
      <c r="O2" s="2541"/>
      <c r="P2" s="2541"/>
      <c r="Q2" s="4482"/>
      <c r="R2" s="4482"/>
      <c r="S2" s="4482"/>
      <c r="T2" s="4482"/>
      <c r="U2" s="4482"/>
      <c r="V2" s="4482"/>
      <c r="W2" s="1523"/>
      <c r="X2" s="1486"/>
      <c r="Y2" s="77"/>
    </row>
    <row r="3" spans="1:25" s="18" customFormat="1" ht="12" customHeight="1">
      <c r="A3" s="4378" t="s">
        <v>2761</v>
      </c>
      <c r="B3" s="4378"/>
      <c r="C3" s="4378"/>
      <c r="D3" s="4378"/>
      <c r="E3" s="4378"/>
      <c r="F3" s="4378"/>
      <c r="G3" s="4378"/>
      <c r="H3" s="4378"/>
      <c r="I3" s="4378"/>
      <c r="J3" s="4378"/>
      <c r="K3" s="4378"/>
      <c r="L3" s="4378"/>
      <c r="M3" s="509"/>
      <c r="N3" s="32"/>
      <c r="O3" s="2803" t="s">
        <v>1748</v>
      </c>
      <c r="P3" s="2804" t="s">
        <v>1749</v>
      </c>
      <c r="Q3" s="4482"/>
      <c r="R3" s="4482"/>
      <c r="S3" s="4482"/>
      <c r="T3" s="4482"/>
      <c r="U3" s="4482"/>
      <c r="V3" s="4482"/>
      <c r="W3" s="1523"/>
      <c r="X3" s="1486"/>
      <c r="Y3" s="43"/>
    </row>
    <row r="4" spans="1:25" s="20" customFormat="1" ht="12" customHeight="1">
      <c r="A4" s="4378"/>
      <c r="B4" s="4378"/>
      <c r="C4" s="4378"/>
      <c r="D4" s="4378"/>
      <c r="E4" s="4378"/>
      <c r="F4" s="4378"/>
      <c r="G4" s="4378"/>
      <c r="H4" s="4378"/>
      <c r="I4" s="4378"/>
      <c r="J4" s="4378"/>
      <c r="K4" s="4378"/>
      <c r="L4" s="4378"/>
      <c r="M4" s="509"/>
      <c r="N4" s="36"/>
      <c r="O4" s="100" t="s">
        <v>1750</v>
      </c>
      <c r="P4" s="100" t="s">
        <v>1750</v>
      </c>
      <c r="Q4" s="4482"/>
      <c r="R4" s="4482"/>
      <c r="S4" s="4482"/>
      <c r="T4" s="4482"/>
      <c r="U4" s="4482"/>
      <c r="V4" s="4482"/>
    </row>
    <row r="5" spans="1:25" s="20" customFormat="1" ht="3" customHeight="1" thickBot="1">
      <c r="A5" s="43"/>
      <c r="B5" s="43"/>
      <c r="C5" s="43"/>
      <c r="D5" s="43"/>
      <c r="E5" s="43"/>
      <c r="F5" s="43"/>
      <c r="G5" s="43"/>
      <c r="H5" s="43"/>
      <c r="I5" s="43"/>
      <c r="J5" s="43"/>
      <c r="K5" s="43"/>
      <c r="M5" s="2527"/>
      <c r="N5" s="3"/>
      <c r="O5" s="2541"/>
      <c r="P5" s="2535"/>
      <c r="Q5" s="4482"/>
      <c r="R5" s="4482"/>
      <c r="S5" s="4482"/>
      <c r="T5" s="4482"/>
      <c r="U5" s="4482"/>
      <c r="V5" s="4482"/>
    </row>
    <row r="6" spans="1:25" s="20" customFormat="1" ht="13.5" customHeight="1" thickTop="1" thickBot="1">
      <c r="A6" s="43"/>
      <c r="B6" s="4407" t="e">
        <f>#REF!</f>
        <v>#REF!</v>
      </c>
      <c r="C6" s="4407"/>
      <c r="D6" s="4407"/>
      <c r="E6" s="4407"/>
      <c r="F6" s="4407"/>
      <c r="G6" s="43"/>
      <c r="H6" s="43"/>
      <c r="I6" s="43"/>
      <c r="J6" s="43"/>
      <c r="L6" s="30" t="s">
        <v>1751</v>
      </c>
      <c r="M6" s="2"/>
      <c r="N6" s="2743"/>
      <c r="O6" s="1194" t="e">
        <f>O442</f>
        <v>#REF!</v>
      </c>
      <c r="P6" s="1194" t="e">
        <f>P442</f>
        <v>#REF!</v>
      </c>
      <c r="Q6" s="1135" t="s">
        <v>2762</v>
      </c>
      <c r="R6" s="1520"/>
      <c r="S6" s="1520"/>
      <c r="T6" s="1520"/>
      <c r="U6" s="1520"/>
      <c r="V6" s="1520"/>
      <c r="W6" s="1520"/>
      <c r="X6" s="1520"/>
      <c r="Y6" s="1520"/>
    </row>
    <row r="7" spans="1:25" s="19" customFormat="1" ht="3.6" customHeight="1" thickTop="1">
      <c r="A7" s="43"/>
      <c r="B7" s="22"/>
      <c r="C7" s="13"/>
      <c r="D7" s="48"/>
      <c r="E7" s="48"/>
      <c r="F7" s="48"/>
      <c r="G7" s="48"/>
      <c r="H7" s="48"/>
      <c r="I7" s="48"/>
      <c r="J7" s="48"/>
      <c r="K7" s="48"/>
      <c r="L7" s="43"/>
      <c r="M7" s="32"/>
      <c r="N7" s="58"/>
      <c r="O7" s="2"/>
      <c r="P7" s="2541"/>
      <c r="Q7" s="1520"/>
      <c r="R7" s="1520"/>
      <c r="S7" s="1520"/>
      <c r="T7" s="1520"/>
      <c r="U7" s="1520"/>
      <c r="V7" s="1520"/>
      <c r="W7" s="1520"/>
      <c r="X7" s="1520"/>
      <c r="Y7" s="1520"/>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2763</v>
      </c>
      <c r="C9" s="3"/>
      <c r="D9" s="13"/>
      <c r="E9" s="13"/>
      <c r="F9" s="13"/>
      <c r="G9" s="23"/>
      <c r="H9" s="98"/>
      <c r="I9" s="23"/>
      <c r="J9" s="23"/>
      <c r="K9" s="23"/>
      <c r="L9" s="23"/>
      <c r="M9" s="23"/>
      <c r="N9" s="23"/>
      <c r="O9" s="23"/>
      <c r="P9" s="23"/>
      <c r="Q9" s="1520"/>
      <c r="R9" s="1520"/>
      <c r="S9" s="1520"/>
      <c r="T9" s="1520"/>
      <c r="U9" s="1520"/>
      <c r="V9" s="1520"/>
      <c r="W9" s="1520"/>
      <c r="X9" s="1520"/>
      <c r="Y9" s="1520"/>
    </row>
    <row r="10" spans="1:25" s="18" customFormat="1" ht="12" customHeight="1" thickBot="1">
      <c r="A10" s="866" t="s">
        <v>2764</v>
      </c>
      <c r="B10" s="43"/>
      <c r="C10" s="43"/>
      <c r="D10" s="13"/>
      <c r="E10" s="13"/>
      <c r="F10" s="13"/>
      <c r="G10" s="23"/>
      <c r="H10" s="98" t="s">
        <v>2765</v>
      </c>
      <c r="I10" s="23"/>
      <c r="J10" s="23"/>
      <c r="K10" s="23"/>
      <c r="L10" s="23"/>
      <c r="M10" s="860" t="s">
        <v>2766</v>
      </c>
      <c r="N10" s="23"/>
      <c r="O10" s="23"/>
      <c r="P10" s="669">
        <f>IF(P12&lt;2,0,IF(AND(P12&gt;1,P12&lt;5),1,IF(P12&gt;4,P12-3)))</f>
        <v>0</v>
      </c>
      <c r="Q10" s="1520"/>
      <c r="R10" s="1520"/>
      <c r="S10" s="1520"/>
      <c r="T10" s="1520"/>
      <c r="U10" s="1520"/>
      <c r="V10" s="1520"/>
      <c r="W10" s="1520"/>
      <c r="X10" s="1520"/>
      <c r="Y10" s="1520"/>
    </row>
    <row r="11" spans="1:25" s="19" customFormat="1" ht="3.6" customHeight="1">
      <c r="A11" s="43"/>
      <c r="B11" s="22"/>
      <c r="C11" s="13"/>
      <c r="D11" s="48"/>
      <c r="E11" s="48"/>
      <c r="F11" s="48"/>
      <c r="G11" s="48"/>
      <c r="H11" s="48"/>
      <c r="I11" s="48"/>
      <c r="J11" s="48"/>
      <c r="K11" s="48"/>
      <c r="L11" s="43"/>
      <c r="M11" s="32"/>
      <c r="N11" s="58"/>
      <c r="O11" s="2"/>
      <c r="P11" s="2541"/>
      <c r="R11" s="43"/>
      <c r="S11" s="43"/>
    </row>
    <row r="12" spans="1:25" s="18" customFormat="1" ht="10.5" customHeight="1">
      <c r="A12" s="879" t="s">
        <v>2767</v>
      </c>
      <c r="B12" s="879" t="s">
        <v>2768</v>
      </c>
      <c r="C12" s="698"/>
      <c r="D12" s="698"/>
      <c r="E12" s="146" t="s">
        <v>2769</v>
      </c>
      <c r="F12" s="4404" t="s">
        <v>2770</v>
      </c>
      <c r="G12" s="4404"/>
      <c r="H12" s="4404"/>
      <c r="I12" s="4404"/>
      <c r="J12" s="4404"/>
      <c r="K12" s="4404"/>
      <c r="L12" s="4404"/>
      <c r="M12" s="4404"/>
      <c r="N12" s="4404"/>
      <c r="O12" s="880" t="s">
        <v>2771</v>
      </c>
      <c r="P12" s="881">
        <f>SUM(P13:P31)</f>
        <v>0</v>
      </c>
      <c r="Q12" s="4481" t="s">
        <v>2772</v>
      </c>
      <c r="R12" s="4481"/>
      <c r="S12" s="4481"/>
      <c r="T12" s="4481"/>
      <c r="U12" s="4481"/>
      <c r="V12" s="858"/>
      <c r="W12" s="43"/>
      <c r="X12" s="43"/>
      <c r="Y12" s="43"/>
    </row>
    <row r="13" spans="1:25" s="18" customFormat="1" ht="10.5" customHeight="1">
      <c r="A13" s="686" t="s">
        <v>68</v>
      </c>
      <c r="B13" s="2805" t="s">
        <v>2052</v>
      </c>
      <c r="C13" s="2806"/>
      <c r="D13" s="685"/>
      <c r="E13" s="874">
        <f>$O$103</f>
        <v>0</v>
      </c>
      <c r="F13" s="4405">
        <f>$A$109</f>
        <v>0</v>
      </c>
      <c r="G13" s="4406"/>
      <c r="H13" s="4406"/>
      <c r="I13" s="4406"/>
      <c r="J13" s="4406"/>
      <c r="K13" s="4406"/>
      <c r="L13" s="4406"/>
      <c r="M13" s="4406"/>
      <c r="N13" s="4406"/>
      <c r="O13" s="4406"/>
      <c r="P13" s="886"/>
      <c r="Q13" s="4481"/>
      <c r="R13" s="4481"/>
      <c r="S13" s="4481"/>
      <c r="T13" s="4481"/>
      <c r="U13" s="4481"/>
      <c r="V13" s="858"/>
      <c r="W13" s="43"/>
      <c r="X13" s="43"/>
      <c r="Y13" s="43"/>
    </row>
    <row r="14" spans="1:25" s="18" customFormat="1" ht="10.5" customHeight="1">
      <c r="A14" s="686" t="s">
        <v>77</v>
      </c>
      <c r="B14" s="568" t="s">
        <v>2053</v>
      </c>
      <c r="C14" s="650"/>
      <c r="D14" s="687"/>
      <c r="E14" s="1337">
        <f>$O$113</f>
        <v>0</v>
      </c>
      <c r="F14" s="4398">
        <f>$A$147</f>
        <v>0</v>
      </c>
      <c r="G14" s="4399"/>
      <c r="H14" s="4399"/>
      <c r="I14" s="4399"/>
      <c r="J14" s="4399"/>
      <c r="K14" s="4399"/>
      <c r="L14" s="4399"/>
      <c r="M14" s="4399"/>
      <c r="N14" s="4399"/>
      <c r="O14" s="4400"/>
      <c r="P14" s="887"/>
      <c r="Q14" s="4481"/>
      <c r="R14" s="4481"/>
      <c r="S14" s="4481"/>
      <c r="T14" s="4481"/>
      <c r="U14" s="4481"/>
      <c r="V14" s="43"/>
      <c r="W14" s="43"/>
      <c r="X14" s="43"/>
      <c r="Y14" s="43"/>
    </row>
    <row r="15" spans="1:25" s="18" customFormat="1" ht="10.5" customHeight="1">
      <c r="A15" s="686" t="s">
        <v>79</v>
      </c>
      <c r="B15" s="568" t="s">
        <v>2054</v>
      </c>
      <c r="C15" s="650"/>
      <c r="D15" s="687"/>
      <c r="E15" s="1337">
        <f>$O$152</f>
        <v>0</v>
      </c>
      <c r="F15" s="4398">
        <f>$A$165</f>
        <v>0</v>
      </c>
      <c r="G15" s="4399"/>
      <c r="H15" s="4399"/>
      <c r="I15" s="4399"/>
      <c r="J15" s="4399"/>
      <c r="K15" s="4399"/>
      <c r="L15" s="4399"/>
      <c r="M15" s="4399"/>
      <c r="N15" s="4399"/>
      <c r="O15" s="4400"/>
      <c r="P15" s="887"/>
      <c r="Q15" s="1529"/>
      <c r="R15" s="1529"/>
      <c r="S15" s="1529"/>
      <c r="T15" s="1529"/>
      <c r="U15" s="1529"/>
      <c r="V15" s="43"/>
      <c r="W15" s="43"/>
      <c r="X15" s="43"/>
      <c r="Y15" s="43"/>
    </row>
    <row r="16" spans="1:25" s="18" customFormat="1" ht="10.5" customHeight="1">
      <c r="A16" s="1193" t="s">
        <v>1488</v>
      </c>
      <c r="B16" s="568" t="s">
        <v>2012</v>
      </c>
      <c r="C16" s="650"/>
      <c r="D16" s="687"/>
      <c r="E16" s="876">
        <f>$O$169</f>
        <v>0</v>
      </c>
      <c r="F16" s="4398">
        <f>$A$186</f>
        <v>0</v>
      </c>
      <c r="G16" s="4399"/>
      <c r="H16" s="4399"/>
      <c r="I16" s="4399"/>
      <c r="J16" s="4399"/>
      <c r="K16" s="4399"/>
      <c r="L16" s="4399"/>
      <c r="M16" s="4399"/>
      <c r="N16" s="4399"/>
      <c r="O16" s="4400"/>
      <c r="P16" s="887"/>
      <c r="Q16" s="1529"/>
      <c r="R16" s="1529"/>
      <c r="S16" s="1529"/>
      <c r="T16" s="1529"/>
      <c r="U16" s="1529"/>
      <c r="V16" s="43"/>
      <c r="W16" s="43"/>
      <c r="X16" s="43"/>
      <c r="Y16" s="43"/>
    </row>
    <row r="17" spans="1:35" s="18" customFormat="1" ht="10.5" customHeight="1">
      <c r="A17" s="686" t="s">
        <v>1491</v>
      </c>
      <c r="B17" s="693" t="s">
        <v>1949</v>
      </c>
      <c r="C17" s="694"/>
      <c r="D17" s="695"/>
      <c r="E17" s="877" t="s">
        <v>2135</v>
      </c>
      <c r="F17" s="4408">
        <f>$A$201</f>
        <v>0</v>
      </c>
      <c r="G17" s="4409"/>
      <c r="H17" s="4409"/>
      <c r="I17" s="4409"/>
      <c r="J17" s="4409"/>
      <c r="K17" s="4409"/>
      <c r="L17" s="4409"/>
      <c r="M17" s="4409"/>
      <c r="N17" s="4409"/>
      <c r="O17" s="4410"/>
      <c r="P17" s="887"/>
      <c r="Q17" s="1529"/>
      <c r="R17" s="1529"/>
      <c r="S17" s="1529"/>
      <c r="T17" s="1529"/>
      <c r="U17" s="1529"/>
      <c r="V17" s="43"/>
      <c r="W17" s="43"/>
      <c r="X17" s="43"/>
      <c r="Y17" s="43"/>
      <c r="Z17" s="43"/>
      <c r="AA17" s="43"/>
      <c r="AB17" s="43"/>
      <c r="AC17" s="43"/>
      <c r="AD17" s="43"/>
      <c r="AE17" s="43"/>
      <c r="AF17" s="43"/>
      <c r="AG17" s="43"/>
      <c r="AH17" s="43"/>
      <c r="AI17" s="43"/>
    </row>
    <row r="18" spans="1:35" s="18" customFormat="1" ht="10.5" customHeight="1">
      <c r="A18" s="686" t="s">
        <v>1494</v>
      </c>
      <c r="B18" s="568" t="s">
        <v>1763</v>
      </c>
      <c r="C18" s="650"/>
      <c r="D18" s="687"/>
      <c r="E18" s="875">
        <f>$O$205</f>
        <v>0</v>
      </c>
      <c r="F18" s="4398">
        <f>$A$220</f>
        <v>0</v>
      </c>
      <c r="G18" s="4399"/>
      <c r="H18" s="4399"/>
      <c r="I18" s="4399"/>
      <c r="J18" s="4399"/>
      <c r="K18" s="4399"/>
      <c r="L18" s="4399"/>
      <c r="M18" s="4399"/>
      <c r="N18" s="4399"/>
      <c r="O18" s="4400"/>
      <c r="P18" s="887"/>
      <c r="Q18" s="4452" t="str">
        <f>IF(OR($A$109="",$A$147="",$A$165="",$A$186="",$A$201="",$A$220="",$A$238="",$A$248="",$A$257="",$A$281="",$A$306="",$A$314="",$A$338="",$A$374="",$A$393="",$A$414="",$A$420="",$A$430="",$A$438=""),"Some Applicant Scoring Justification boxes are empty! Check to see if points claimed.","")</f>
        <v>Some Applicant Scoring Justification boxes are empty! Check to see if points claimed.</v>
      </c>
      <c r="R18" s="4453"/>
      <c r="S18" s="4453"/>
      <c r="T18" s="43"/>
      <c r="U18" s="43"/>
      <c r="V18" s="43"/>
      <c r="W18" s="43"/>
      <c r="X18" s="43"/>
      <c r="Y18" s="43"/>
      <c r="Z18" s="43"/>
      <c r="AA18" s="43"/>
      <c r="AB18" s="43"/>
      <c r="AC18" s="43"/>
      <c r="AD18" s="43"/>
      <c r="AE18" s="43"/>
      <c r="AF18" s="43"/>
      <c r="AG18" s="43"/>
      <c r="AH18" s="43"/>
      <c r="AI18" s="43"/>
    </row>
    <row r="19" spans="1:35" s="18" customFormat="1" ht="10.5" customHeight="1">
      <c r="A19" s="686" t="s">
        <v>2773</v>
      </c>
      <c r="B19" s="568" t="s">
        <v>2057</v>
      </c>
      <c r="C19" s="650"/>
      <c r="D19" s="687"/>
      <c r="E19" s="875">
        <f>$O$233</f>
        <v>0</v>
      </c>
      <c r="F19" s="4398">
        <f>$A$238</f>
        <v>0</v>
      </c>
      <c r="G19" s="4399"/>
      <c r="H19" s="4399"/>
      <c r="I19" s="4399"/>
      <c r="J19" s="4399"/>
      <c r="K19" s="4399"/>
      <c r="L19" s="4399"/>
      <c r="M19" s="4399"/>
      <c r="N19" s="4399"/>
      <c r="O19" s="4400"/>
      <c r="P19" s="887"/>
      <c r="Q19" s="4452"/>
      <c r="R19" s="4453"/>
      <c r="S19" s="4453"/>
      <c r="T19" s="43"/>
      <c r="U19" s="43"/>
      <c r="V19" s="43"/>
      <c r="W19" s="43"/>
      <c r="X19" s="43"/>
      <c r="Y19" s="43"/>
      <c r="Z19" s="43"/>
      <c r="AA19" s="43"/>
      <c r="AB19" s="43"/>
      <c r="AC19" s="43"/>
      <c r="AD19" s="43"/>
      <c r="AE19" s="43"/>
      <c r="AF19" s="43"/>
      <c r="AG19" s="43"/>
      <c r="AH19" s="43"/>
      <c r="AI19" s="43"/>
    </row>
    <row r="20" spans="1:35" s="18" customFormat="1" ht="10.5" customHeight="1">
      <c r="A20" s="686" t="s">
        <v>2774</v>
      </c>
      <c r="B20" s="568" t="s">
        <v>2775</v>
      </c>
      <c r="C20" s="650"/>
      <c r="D20" s="687"/>
      <c r="E20" s="877">
        <f>$O$242</f>
        <v>0</v>
      </c>
      <c r="F20" s="4398">
        <f>$A$248</f>
        <v>0</v>
      </c>
      <c r="G20" s="4399"/>
      <c r="H20" s="4399"/>
      <c r="I20" s="4399"/>
      <c r="J20" s="4399"/>
      <c r="K20" s="4399"/>
      <c r="L20" s="4399"/>
      <c r="M20" s="4399"/>
      <c r="N20" s="4399"/>
      <c r="O20" s="4400"/>
      <c r="P20" s="887"/>
      <c r="Q20" s="4452"/>
      <c r="R20" s="4453"/>
      <c r="S20" s="4453"/>
      <c r="T20" s="43"/>
      <c r="U20" s="43"/>
      <c r="V20" s="43"/>
      <c r="W20" s="43"/>
      <c r="X20" s="43"/>
      <c r="Y20" s="43"/>
      <c r="Z20" s="43"/>
      <c r="AA20" s="43"/>
      <c r="AB20" s="43"/>
      <c r="AC20" s="43"/>
      <c r="AD20" s="43"/>
      <c r="AE20" s="43"/>
      <c r="AF20" s="43"/>
      <c r="AG20" s="43"/>
      <c r="AH20" s="43"/>
      <c r="AI20" s="43"/>
    </row>
    <row r="21" spans="1:35" s="18" customFormat="1" ht="10.5" customHeight="1">
      <c r="A21" s="692" t="s">
        <v>2776</v>
      </c>
      <c r="B21" s="693" t="s">
        <v>2147</v>
      </c>
      <c r="C21" s="694"/>
      <c r="D21" s="695"/>
      <c r="E21" s="878">
        <f>$O$252</f>
        <v>0</v>
      </c>
      <c r="F21" s="4408">
        <f>$A$257</f>
        <v>0</v>
      </c>
      <c r="G21" s="4409"/>
      <c r="H21" s="4409"/>
      <c r="I21" s="4409"/>
      <c r="J21" s="4409"/>
      <c r="K21" s="4409"/>
      <c r="L21" s="4409"/>
      <c r="M21" s="4409"/>
      <c r="N21" s="4409"/>
      <c r="O21" s="4410"/>
      <c r="P21" s="887"/>
      <c r="Q21" s="4452"/>
      <c r="R21" s="4453"/>
      <c r="S21" s="4453"/>
      <c r="T21" s="43"/>
      <c r="U21" s="43"/>
      <c r="V21" s="43"/>
      <c r="W21" s="43"/>
      <c r="X21" s="43"/>
      <c r="Y21" s="43"/>
      <c r="Z21" s="43"/>
      <c r="AA21" s="43"/>
      <c r="AB21" s="43"/>
      <c r="AC21" s="43"/>
      <c r="AD21" s="43"/>
      <c r="AE21" s="43"/>
      <c r="AF21" s="43"/>
      <c r="AG21" s="43"/>
      <c r="AH21" s="43"/>
      <c r="AI21" s="43"/>
    </row>
    <row r="22" spans="1:35" s="18" customFormat="1" ht="10.5" customHeight="1">
      <c r="A22" s="686" t="s">
        <v>2777</v>
      </c>
      <c r="B22" s="568" t="s">
        <v>2778</v>
      </c>
      <c r="C22" s="650"/>
      <c r="D22" s="687"/>
      <c r="E22" s="875">
        <f>$O$274</f>
        <v>0</v>
      </c>
      <c r="F22" s="4398">
        <f>$A$281</f>
        <v>0</v>
      </c>
      <c r="G22" s="4399"/>
      <c r="H22" s="4399"/>
      <c r="I22" s="4399"/>
      <c r="J22" s="4399"/>
      <c r="K22" s="4399"/>
      <c r="L22" s="4399"/>
      <c r="M22" s="4399"/>
      <c r="N22" s="4399"/>
      <c r="O22" s="4400"/>
      <c r="P22" s="887"/>
      <c r="Q22" s="4452"/>
      <c r="R22" s="4453"/>
      <c r="S22" s="4453"/>
      <c r="T22" s="43"/>
      <c r="U22" s="43"/>
      <c r="V22" s="43"/>
      <c r="W22" s="43"/>
      <c r="X22" s="43"/>
      <c r="Y22" s="43"/>
      <c r="Z22" s="43"/>
      <c r="AA22" s="43"/>
      <c r="AB22" s="43"/>
      <c r="AC22" s="43"/>
      <c r="AD22" s="43"/>
      <c r="AE22" s="43"/>
      <c r="AF22" s="43"/>
      <c r="AG22" s="43"/>
      <c r="AH22" s="43"/>
      <c r="AI22" s="43"/>
    </row>
    <row r="23" spans="1:35" s="18" customFormat="1" ht="10.5" customHeight="1">
      <c r="A23" s="686" t="s">
        <v>2779</v>
      </c>
      <c r="B23" s="568" t="s">
        <v>2780</v>
      </c>
      <c r="C23" s="650"/>
      <c r="D23" s="687"/>
      <c r="E23" s="875">
        <f>$O$285</f>
        <v>0</v>
      </c>
      <c r="F23" s="4398">
        <f>$A$306</f>
        <v>0</v>
      </c>
      <c r="G23" s="4399"/>
      <c r="H23" s="4399"/>
      <c r="I23" s="4399"/>
      <c r="J23" s="4399"/>
      <c r="K23" s="4399"/>
      <c r="L23" s="4399"/>
      <c r="M23" s="4399"/>
      <c r="N23" s="4399"/>
      <c r="O23" s="4400"/>
      <c r="P23" s="887"/>
      <c r="Q23" s="4452"/>
      <c r="R23" s="4453"/>
      <c r="S23" s="4453"/>
      <c r="T23" s="43"/>
      <c r="U23" s="43"/>
      <c r="V23" s="43"/>
      <c r="W23" s="43"/>
      <c r="X23" s="43"/>
      <c r="Y23" s="43"/>
      <c r="Z23" s="43"/>
      <c r="AA23" s="43"/>
      <c r="AB23" s="43"/>
      <c r="AC23" s="43"/>
      <c r="AD23" s="43"/>
      <c r="AE23" s="43"/>
      <c r="AF23" s="43"/>
      <c r="AG23" s="43"/>
      <c r="AH23" s="43"/>
      <c r="AI23" s="43"/>
    </row>
    <row r="24" spans="1:35" s="18" customFormat="1" ht="10.5" customHeight="1">
      <c r="A24" s="1193" t="s">
        <v>1578</v>
      </c>
      <c r="B24" s="1448" t="s">
        <v>2164</v>
      </c>
      <c r="C24" s="1449"/>
      <c r="D24" s="1450"/>
      <c r="E24" s="876">
        <f>$O$310</f>
        <v>0</v>
      </c>
      <c r="F24" s="4446">
        <f>$A$314</f>
        <v>0</v>
      </c>
      <c r="G24" s="4447"/>
      <c r="H24" s="4447"/>
      <c r="I24" s="4447"/>
      <c r="J24" s="4447"/>
      <c r="K24" s="4447"/>
      <c r="L24" s="4447"/>
      <c r="M24" s="4447"/>
      <c r="N24" s="4447"/>
      <c r="O24" s="4448"/>
      <c r="P24" s="887"/>
      <c r="Q24" s="4452"/>
      <c r="R24" s="4453"/>
      <c r="S24" s="4453"/>
      <c r="T24" s="43"/>
      <c r="U24" s="43"/>
      <c r="V24" s="43"/>
      <c r="W24" s="43"/>
      <c r="X24" s="43"/>
      <c r="Y24" s="43"/>
      <c r="Z24" s="43"/>
      <c r="AA24" s="43"/>
      <c r="AB24" s="43"/>
      <c r="AC24" s="43"/>
      <c r="AD24" s="43"/>
      <c r="AE24" s="43"/>
      <c r="AF24" s="43"/>
      <c r="AG24" s="43"/>
      <c r="AH24" s="43"/>
      <c r="AI24" s="43"/>
    </row>
    <row r="25" spans="1:35" s="18" customFormat="1" ht="10.5" customHeight="1">
      <c r="A25" s="686" t="s">
        <v>1601</v>
      </c>
      <c r="B25" s="568" t="s">
        <v>2168</v>
      </c>
      <c r="C25" s="650"/>
      <c r="D25" s="687"/>
      <c r="E25" s="875">
        <f>$O$334</f>
        <v>0</v>
      </c>
      <c r="F25" s="4398">
        <f>$A$338</f>
        <v>0</v>
      </c>
      <c r="G25" s="4399"/>
      <c r="H25" s="4399"/>
      <c r="I25" s="4399"/>
      <c r="J25" s="4399"/>
      <c r="K25" s="4399"/>
      <c r="L25" s="4399"/>
      <c r="M25" s="4399"/>
      <c r="N25" s="4399"/>
      <c r="O25" s="4400"/>
      <c r="P25" s="887"/>
      <c r="Q25" s="4452"/>
      <c r="R25" s="4453"/>
      <c r="S25" s="4453"/>
      <c r="T25" s="43"/>
      <c r="U25" s="43"/>
      <c r="V25" s="43"/>
      <c r="W25" s="43"/>
      <c r="X25" s="43"/>
      <c r="Y25" s="43"/>
      <c r="Z25" s="43"/>
      <c r="AA25" s="43"/>
      <c r="AB25" s="43"/>
      <c r="AC25" s="43"/>
      <c r="AD25" s="43"/>
      <c r="AE25" s="43"/>
      <c r="AF25" s="43"/>
      <c r="AG25" s="43"/>
      <c r="AH25" s="43"/>
      <c r="AI25" s="43"/>
    </row>
    <row r="26" spans="1:35" s="18" customFormat="1" ht="10.5" customHeight="1">
      <c r="A26" s="686" t="s">
        <v>1606</v>
      </c>
      <c r="B26" s="568" t="s">
        <v>2101</v>
      </c>
      <c r="C26" s="650"/>
      <c r="D26" s="687"/>
      <c r="E26" s="875">
        <f>$O$342</f>
        <v>0</v>
      </c>
      <c r="F26" s="4398">
        <f>$A$374</f>
        <v>0</v>
      </c>
      <c r="G26" s="4399"/>
      <c r="H26" s="4399"/>
      <c r="I26" s="4399"/>
      <c r="J26" s="4399"/>
      <c r="K26" s="4399"/>
      <c r="L26" s="4399"/>
      <c r="M26" s="4399"/>
      <c r="N26" s="4399"/>
      <c r="O26" s="4400"/>
      <c r="P26" s="887"/>
      <c r="Q26" s="4452"/>
      <c r="R26" s="4453"/>
      <c r="S26" s="4453"/>
      <c r="T26" s="43"/>
      <c r="U26" s="43"/>
      <c r="V26" s="43"/>
      <c r="W26" s="43"/>
      <c r="X26" s="43"/>
      <c r="Y26" s="43"/>
      <c r="Z26" s="43"/>
      <c r="AA26" s="43"/>
      <c r="AB26" s="43"/>
      <c r="AC26" s="43"/>
      <c r="AD26" s="43"/>
      <c r="AE26" s="43"/>
      <c r="AF26" s="43"/>
      <c r="AG26" s="43"/>
      <c r="AH26" s="43"/>
      <c r="AI26" s="43"/>
    </row>
    <row r="27" spans="1:35" s="18" customFormat="1" ht="10.5" customHeight="1">
      <c r="A27" s="686" t="s">
        <v>1613</v>
      </c>
      <c r="B27" s="568" t="s">
        <v>2160</v>
      </c>
      <c r="C27" s="650"/>
      <c r="D27" s="687"/>
      <c r="E27" s="877">
        <f>$O$378</f>
        <v>0</v>
      </c>
      <c r="F27" s="4398">
        <f>$A$393</f>
        <v>0</v>
      </c>
      <c r="G27" s="4399"/>
      <c r="H27" s="4399"/>
      <c r="I27" s="4399"/>
      <c r="J27" s="4399"/>
      <c r="K27" s="4399"/>
      <c r="L27" s="4399"/>
      <c r="M27" s="4399"/>
      <c r="N27" s="4399"/>
      <c r="O27" s="4400"/>
      <c r="P27" s="887"/>
      <c r="Q27" s="1519"/>
      <c r="R27" s="1208"/>
      <c r="S27" s="1208"/>
      <c r="T27" s="43"/>
      <c r="U27" s="43"/>
      <c r="V27" s="43"/>
      <c r="W27" s="43"/>
      <c r="X27" s="43"/>
      <c r="Y27" s="43"/>
      <c r="Z27" s="43"/>
      <c r="AA27" s="3"/>
      <c r="AB27" s="3"/>
      <c r="AC27" s="3"/>
      <c r="AD27" s="3"/>
      <c r="AE27" s="3"/>
      <c r="AF27" s="3"/>
      <c r="AG27" s="43"/>
      <c r="AH27" s="43"/>
      <c r="AI27" s="43"/>
    </row>
    <row r="28" spans="1:35" s="18" customFormat="1" ht="10.5" customHeight="1">
      <c r="A28" s="688" t="s">
        <v>1625</v>
      </c>
      <c r="B28" s="689" t="s">
        <v>2781</v>
      </c>
      <c r="C28" s="690"/>
      <c r="D28" s="691"/>
      <c r="E28" s="1204">
        <f>$O$405</f>
        <v>2</v>
      </c>
      <c r="F28" s="4401">
        <f>$A$414</f>
        <v>0</v>
      </c>
      <c r="G28" s="4402"/>
      <c r="H28" s="4402"/>
      <c r="I28" s="4402"/>
      <c r="J28" s="4402"/>
      <c r="K28" s="4402"/>
      <c r="L28" s="4402"/>
      <c r="M28" s="4402"/>
      <c r="N28" s="4402"/>
      <c r="O28" s="4403"/>
      <c r="P28" s="888"/>
      <c r="Q28" s="1519"/>
      <c r="R28" s="1208"/>
      <c r="S28" s="1208"/>
      <c r="T28" s="43"/>
      <c r="U28" s="43"/>
      <c r="V28" s="43"/>
      <c r="W28" s="43"/>
      <c r="X28" s="3"/>
      <c r="Y28" s="3"/>
      <c r="Z28" s="3"/>
      <c r="AA28" s="3"/>
      <c r="AB28" s="3"/>
      <c r="AC28" s="3"/>
      <c r="AD28" s="3"/>
      <c r="AE28" s="3"/>
      <c r="AF28" s="3"/>
      <c r="AG28" s="3"/>
      <c r="AH28" s="3"/>
      <c r="AI28" s="3"/>
    </row>
    <row r="29" spans="1:35" s="18" customFormat="1" ht="10.5" customHeight="1">
      <c r="A29" s="686" t="s">
        <v>1632</v>
      </c>
      <c r="B29" s="568" t="s">
        <v>2043</v>
      </c>
      <c r="C29" s="650"/>
      <c r="D29" s="687"/>
      <c r="E29" s="875">
        <f>$O$418</f>
        <v>0</v>
      </c>
      <c r="F29" s="4398">
        <f>$A$420</f>
        <v>0</v>
      </c>
      <c r="G29" s="4399"/>
      <c r="H29" s="4399"/>
      <c r="I29" s="4399"/>
      <c r="J29" s="4399"/>
      <c r="K29" s="4399"/>
      <c r="L29" s="4399"/>
      <c r="M29" s="4399"/>
      <c r="N29" s="4399"/>
      <c r="O29" s="4400"/>
      <c r="P29" s="887"/>
      <c r="Q29" s="1519"/>
      <c r="R29" s="1208"/>
      <c r="S29" s="1208"/>
      <c r="T29" s="43"/>
      <c r="U29" s="43"/>
      <c r="V29" s="43"/>
      <c r="W29" s="43"/>
      <c r="X29" s="43"/>
      <c r="Y29" s="43"/>
      <c r="Z29" s="43"/>
      <c r="AA29" s="43"/>
      <c r="AB29" s="43"/>
      <c r="AC29" s="43"/>
      <c r="AD29" s="43"/>
      <c r="AE29" s="43"/>
      <c r="AF29" s="43"/>
      <c r="AG29" s="43"/>
      <c r="AH29" s="43"/>
      <c r="AI29" s="43"/>
    </row>
    <row r="30" spans="1:35" s="18" customFormat="1" ht="10.5" customHeight="1">
      <c r="A30" s="686" t="s">
        <v>1641</v>
      </c>
      <c r="B30" s="568" t="s">
        <v>2782</v>
      </c>
      <c r="C30" s="650"/>
      <c r="D30" s="687"/>
      <c r="E30" s="875">
        <f>$O$428</f>
        <v>0</v>
      </c>
      <c r="F30" s="4398">
        <f>$A$430</f>
        <v>0</v>
      </c>
      <c r="G30" s="4399"/>
      <c r="H30" s="4399"/>
      <c r="I30" s="4399"/>
      <c r="J30" s="4399"/>
      <c r="K30" s="4399"/>
      <c r="L30" s="4399"/>
      <c r="M30" s="4399"/>
      <c r="N30" s="4399"/>
      <c r="O30" s="4400"/>
      <c r="P30" s="887"/>
      <c r="Q30" s="1519"/>
      <c r="R30" s="1208"/>
      <c r="S30" s="1208"/>
      <c r="T30" s="43"/>
      <c r="U30" s="43"/>
      <c r="V30" s="43"/>
      <c r="W30" s="43"/>
      <c r="X30" s="43"/>
      <c r="Y30" s="43"/>
      <c r="Z30" s="43"/>
      <c r="AA30" s="3431" t="s">
        <v>2089</v>
      </c>
      <c r="AB30" s="3431"/>
      <c r="AC30" s="3431"/>
      <c r="AD30" s="3431"/>
      <c r="AE30" s="3431"/>
      <c r="AF30" s="3431"/>
      <c r="AG30" s="43"/>
      <c r="AH30" s="43"/>
      <c r="AI30" s="43"/>
    </row>
    <row r="31" spans="1:35" s="18" customFormat="1" ht="10.5" customHeight="1">
      <c r="A31" s="688" t="s">
        <v>2783</v>
      </c>
      <c r="B31" s="689" t="s">
        <v>2784</v>
      </c>
      <c r="C31" s="690"/>
      <c r="D31" s="691"/>
      <c r="E31" s="1204">
        <f>$O$434</f>
        <v>0</v>
      </c>
      <c r="F31" s="4401">
        <f>$A$438</f>
        <v>0</v>
      </c>
      <c r="G31" s="4402"/>
      <c r="H31" s="4402"/>
      <c r="I31" s="4402"/>
      <c r="J31" s="4402"/>
      <c r="K31" s="4402"/>
      <c r="L31" s="4402"/>
      <c r="M31" s="4402"/>
      <c r="N31" s="4402"/>
      <c r="O31" s="4403"/>
      <c r="P31" s="888"/>
      <c r="Q31" s="1519"/>
      <c r="R31" s="1208"/>
      <c r="S31" s="1208"/>
      <c r="T31" s="43"/>
      <c r="U31" s="43"/>
      <c r="V31" s="43"/>
      <c r="W31" s="43"/>
      <c r="X31" s="3431" t="s">
        <v>2090</v>
      </c>
      <c r="Y31" s="3431"/>
      <c r="Z31" s="3431"/>
      <c r="AA31" s="3431"/>
      <c r="AB31" s="3431"/>
      <c r="AC31" s="3431"/>
      <c r="AD31" s="3431" t="s">
        <v>2091</v>
      </c>
      <c r="AE31" s="3431"/>
      <c r="AF31" s="3431"/>
      <c r="AG31" s="3431"/>
      <c r="AH31" s="3431"/>
      <c r="AI31" s="3431"/>
    </row>
    <row r="32" spans="1:35" s="77" customFormat="1" ht="5.25" customHeight="1">
      <c r="C32" s="40"/>
      <c r="D32" s="40"/>
      <c r="E32" s="40"/>
      <c r="F32" s="40"/>
      <c r="G32" s="1111"/>
      <c r="H32" s="40"/>
      <c r="I32" s="40"/>
      <c r="J32" s="40"/>
      <c r="K32" s="40"/>
    </row>
    <row r="33" spans="1:46" s="77" customFormat="1" ht="12.75" customHeight="1">
      <c r="A33" s="79" t="s">
        <v>25</v>
      </c>
      <c r="B33" s="50" t="s">
        <v>1753</v>
      </c>
      <c r="C33" s="42"/>
      <c r="D33" s="40"/>
      <c r="E33" s="40"/>
      <c r="F33" s="40"/>
      <c r="G33" s="4457" t="s">
        <v>2785</v>
      </c>
      <c r="H33" s="4457"/>
      <c r="I33" s="4454" t="s">
        <v>2092</v>
      </c>
      <c r="J33" s="4455"/>
      <c r="K33" s="4455"/>
      <c r="L33" s="4456"/>
      <c r="M33" s="4411" t="s">
        <v>2093</v>
      </c>
      <c r="N33" s="4411"/>
      <c r="O33" s="4411"/>
      <c r="P33" s="4411"/>
      <c r="Q33" s="318"/>
      <c r="R33" s="318"/>
      <c r="S33" s="50" t="s">
        <v>1753</v>
      </c>
      <c r="T33" s="318"/>
      <c r="U33" s="318"/>
      <c r="V33" s="318"/>
      <c r="X33" s="4440" t="s">
        <v>2785</v>
      </c>
      <c r="Y33" s="4442"/>
      <c r="Z33" s="4440" t="s">
        <v>2092</v>
      </c>
      <c r="AA33" s="4441"/>
      <c r="AB33" s="4441"/>
      <c r="AC33" s="4442"/>
      <c r="AD33" s="4449" t="s">
        <v>2785</v>
      </c>
      <c r="AE33" s="4450"/>
      <c r="AF33" s="4451" t="s">
        <v>2092</v>
      </c>
      <c r="AG33" s="4449"/>
      <c r="AH33" s="4449"/>
      <c r="AI33" s="4450"/>
    </row>
    <row r="34" spans="1:46" s="77" customFormat="1" ht="11.25" customHeight="1">
      <c r="A34" s="25"/>
      <c r="B34" s="13"/>
      <c r="C34" s="25"/>
      <c r="D34" s="25"/>
      <c r="E34" s="25"/>
      <c r="F34" s="25"/>
      <c r="G34" s="1296">
        <v>0.09</v>
      </c>
      <c r="H34" s="1296">
        <v>0.04</v>
      </c>
      <c r="I34" s="1296">
        <v>0.04</v>
      </c>
      <c r="J34" s="1296" t="s">
        <v>2786</v>
      </c>
      <c r="K34" s="1296" t="s">
        <v>2787</v>
      </c>
      <c r="L34" s="1296" t="s">
        <v>2788</v>
      </c>
      <c r="M34" s="4443" t="e">
        <f>#REF!</f>
        <v>#REF!</v>
      </c>
      <c r="N34" s="4444"/>
      <c r="O34" s="4444"/>
      <c r="P34" s="4445"/>
      <c r="Q34" s="318"/>
      <c r="R34" s="25"/>
      <c r="S34" s="13"/>
      <c r="T34" s="25"/>
      <c r="U34" s="25"/>
      <c r="V34" s="25"/>
      <c r="W34" s="25"/>
      <c r="X34" s="1296">
        <v>0.09</v>
      </c>
      <c r="Y34" s="1296">
        <v>0.04</v>
      </c>
      <c r="Z34" s="1296">
        <v>0.04</v>
      </c>
      <c r="AA34" s="1296" t="s">
        <v>2786</v>
      </c>
      <c r="AB34" s="1296" t="s">
        <v>2787</v>
      </c>
      <c r="AC34" s="1296" t="s">
        <v>2788</v>
      </c>
      <c r="AD34" s="1296">
        <v>0.09</v>
      </c>
      <c r="AE34" s="1296">
        <v>0.04</v>
      </c>
      <c r="AF34" s="1296">
        <v>0.04</v>
      </c>
      <c r="AG34" s="1296" t="s">
        <v>2786</v>
      </c>
      <c r="AH34" s="1296" t="s">
        <v>2787</v>
      </c>
      <c r="AI34" s="1296" t="s">
        <v>2788</v>
      </c>
    </row>
    <row r="35" spans="1:46" s="77" customFormat="1" ht="10.5" customHeight="1">
      <c r="A35" s="497" t="s">
        <v>21</v>
      </c>
      <c r="B35" s="1297" t="s">
        <v>2789</v>
      </c>
      <c r="C35" s="1298"/>
      <c r="D35" s="1299"/>
      <c r="E35" s="1299"/>
      <c r="F35" s="1299"/>
      <c r="G35" s="1300">
        <v>0</v>
      </c>
      <c r="H35" s="1301">
        <v>0</v>
      </c>
      <c r="I35" s="1544">
        <v>0</v>
      </c>
      <c r="J35" s="1545">
        <v>0</v>
      </c>
      <c r="K35" s="1545">
        <v>0</v>
      </c>
      <c r="L35" s="1546">
        <v>0</v>
      </c>
      <c r="Q35" s="93"/>
      <c r="R35" s="497" t="s">
        <v>21</v>
      </c>
      <c r="S35" s="1297" t="s">
        <v>2789</v>
      </c>
      <c r="T35" s="1297"/>
      <c r="U35" s="1419"/>
      <c r="V35" s="1419"/>
      <c r="W35" s="1419"/>
      <c r="X35" s="1350">
        <v>0</v>
      </c>
      <c r="Y35" s="1388">
        <v>0</v>
      </c>
      <c r="Z35" s="1389">
        <v>0</v>
      </c>
      <c r="AA35" s="1392">
        <v>0</v>
      </c>
      <c r="AB35" s="1392">
        <v>0</v>
      </c>
      <c r="AC35" s="1393">
        <v>0</v>
      </c>
      <c r="AD35" s="1343">
        <f t="shared" ref="AD35:AI35" si="0">-$P$10</f>
        <v>0</v>
      </c>
      <c r="AE35" s="1422">
        <f t="shared" si="0"/>
        <v>0</v>
      </c>
      <c r="AF35" s="1389">
        <f t="shared" si="0"/>
        <v>0</v>
      </c>
      <c r="AG35" s="1392">
        <f t="shared" si="0"/>
        <v>0</v>
      </c>
      <c r="AH35" s="1392">
        <f t="shared" si="0"/>
        <v>0</v>
      </c>
      <c r="AI35" s="1422">
        <f t="shared" si="0"/>
        <v>0</v>
      </c>
    </row>
    <row r="36" spans="1:46" s="77" customFormat="1" ht="10.5" customHeight="1">
      <c r="A36" s="497" t="s">
        <v>32</v>
      </c>
      <c r="B36" s="1297" t="s">
        <v>2790</v>
      </c>
      <c r="C36" s="1298"/>
      <c r="D36" s="1299"/>
      <c r="E36" s="1299"/>
      <c r="F36" s="1299"/>
      <c r="G36" s="1300">
        <v>10</v>
      </c>
      <c r="H36" s="1301">
        <v>10</v>
      </c>
      <c r="I36" s="1300">
        <v>10</v>
      </c>
      <c r="J36" s="1547">
        <v>10</v>
      </c>
      <c r="K36" s="1382">
        <v>10</v>
      </c>
      <c r="L36" s="1306">
        <v>10</v>
      </c>
      <c r="Q36" s="93"/>
      <c r="R36" s="497" t="s">
        <v>32</v>
      </c>
      <c r="S36" s="1297" t="s">
        <v>2790</v>
      </c>
      <c r="T36" s="1297"/>
      <c r="U36" s="1419"/>
      <c r="V36" s="1419"/>
      <c r="W36" s="1419"/>
      <c r="X36" s="1350">
        <f>O64</f>
        <v>10</v>
      </c>
      <c r="Y36" s="1388">
        <f>O64</f>
        <v>10</v>
      </c>
      <c r="Z36" s="1340">
        <f>O64</f>
        <v>10</v>
      </c>
      <c r="AA36" s="1383">
        <f>O64</f>
        <v>10</v>
      </c>
      <c r="AB36" s="1383">
        <f>O64</f>
        <v>10</v>
      </c>
      <c r="AC36" s="1384">
        <f>O64</f>
        <v>10</v>
      </c>
      <c r="AD36" s="1344">
        <f>P64</f>
        <v>10</v>
      </c>
      <c r="AE36" s="1348">
        <f>P64</f>
        <v>10</v>
      </c>
      <c r="AF36" s="1340">
        <f>P64</f>
        <v>10</v>
      </c>
      <c r="AG36" s="1383">
        <f>P64</f>
        <v>10</v>
      </c>
      <c r="AH36" s="1383">
        <f>P64</f>
        <v>10</v>
      </c>
      <c r="AI36" s="1348">
        <f>P64</f>
        <v>10</v>
      </c>
    </row>
    <row r="37" spans="1:46" s="77" customFormat="1" ht="10.5" customHeight="1">
      <c r="A37" s="497" t="s">
        <v>51</v>
      </c>
      <c r="B37" s="1302" t="s">
        <v>2111</v>
      </c>
      <c r="C37" s="1303"/>
      <c r="D37" s="1304"/>
      <c r="E37" s="1304"/>
      <c r="F37" s="1304"/>
      <c r="G37" s="1305">
        <v>3</v>
      </c>
      <c r="H37" s="1306">
        <v>3</v>
      </c>
      <c r="I37" s="1305"/>
      <c r="J37" s="1382"/>
      <c r="K37" s="1382"/>
      <c r="L37" s="1306"/>
      <c r="M37" s="163" t="s">
        <v>2100</v>
      </c>
      <c r="N37" s="93"/>
      <c r="O37" s="93"/>
      <c r="P37" s="1521" t="e">
        <f>IF(OR($M$34="9% Credit Competitive Round only", $M$34="9% Credit &amp; HOME"),"9%",IF(OR($M$34="4% Credit/TE Bond", $M$34="4% Credit/TE Bond &amp; HOME", $M$34="4% Credit/TE Bond &amp; HOME NOFA", $M$34="4% Credit &amp; NHTF", $M$34="4% Credit &amp; NHTF &amp; HOME"),"4%",""))</f>
        <v>#REF!</v>
      </c>
      <c r="Q37" s="93"/>
      <c r="R37" s="497" t="s">
        <v>51</v>
      </c>
      <c r="S37" s="1302" t="s">
        <v>2111</v>
      </c>
      <c r="T37" s="1302"/>
      <c r="U37" s="1420"/>
      <c r="V37" s="1420"/>
      <c r="W37" s="1420"/>
      <c r="X37" s="1340" t="e">
        <f>O89</f>
        <v>#REF!</v>
      </c>
      <c r="Y37" s="1348" t="e">
        <f>O89</f>
        <v>#REF!</v>
      </c>
      <c r="Z37" s="1340"/>
      <c r="AA37" s="1382"/>
      <c r="AB37" s="1383"/>
      <c r="AC37" s="1384"/>
      <c r="AD37" s="1344" t="e">
        <f>P89</f>
        <v>#REF!</v>
      </c>
      <c r="AE37" s="1348" t="e">
        <f>P89</f>
        <v>#REF!</v>
      </c>
      <c r="AF37" s="1340"/>
      <c r="AG37" s="1382"/>
      <c r="AH37" s="1383"/>
      <c r="AI37" s="1348"/>
    </row>
    <row r="38" spans="1:46" s="77" customFormat="1" ht="10.5" customHeight="1">
      <c r="A38" s="497" t="s">
        <v>68</v>
      </c>
      <c r="B38" s="1302" t="s">
        <v>2052</v>
      </c>
      <c r="C38" s="1303"/>
      <c r="D38" s="1304"/>
      <c r="E38" s="1304"/>
      <c r="F38" s="1304"/>
      <c r="G38" s="1305">
        <v>20</v>
      </c>
      <c r="H38" s="1306">
        <v>12</v>
      </c>
      <c r="I38" s="1305"/>
      <c r="J38" s="1382"/>
      <c r="K38" s="1382"/>
      <c r="L38" s="1306"/>
      <c r="Q38" s="93"/>
      <c r="R38" s="497" t="s">
        <v>68</v>
      </c>
      <c r="S38" s="1302" t="s">
        <v>2052</v>
      </c>
      <c r="T38" s="1302"/>
      <c r="U38" s="1420"/>
      <c r="V38" s="1420"/>
      <c r="W38" s="1420"/>
      <c r="X38" s="1341">
        <f>O103</f>
        <v>0</v>
      </c>
      <c r="Y38" s="1349">
        <f>O103</f>
        <v>0</v>
      </c>
      <c r="Z38" s="1305"/>
      <c r="AA38" s="1382"/>
      <c r="AB38" s="1382"/>
      <c r="AC38" s="1385"/>
      <c r="AD38" s="1345">
        <f>P103</f>
        <v>0</v>
      </c>
      <c r="AE38" s="1349">
        <f>P103</f>
        <v>0</v>
      </c>
      <c r="AF38" s="1305"/>
      <c r="AG38" s="1382"/>
      <c r="AH38" s="1382"/>
      <c r="AI38" s="1306"/>
    </row>
    <row r="39" spans="1:46" s="77" customFormat="1" ht="10.5" customHeight="1">
      <c r="A39" s="497" t="s">
        <v>77</v>
      </c>
      <c r="B39" s="1302" t="s">
        <v>2053</v>
      </c>
      <c r="C39" s="1303"/>
      <c r="D39" s="1304"/>
      <c r="E39" s="1304"/>
      <c r="F39" s="1304"/>
      <c r="G39" s="1305">
        <v>6</v>
      </c>
      <c r="H39" s="1306">
        <v>4</v>
      </c>
      <c r="I39" s="1305"/>
      <c r="J39" s="1382"/>
      <c r="K39" s="1382"/>
      <c r="L39" s="1306"/>
      <c r="Q39" s="93"/>
      <c r="R39" s="497" t="s">
        <v>77</v>
      </c>
      <c r="S39" s="1302" t="s">
        <v>2053</v>
      </c>
      <c r="T39" s="1302"/>
      <c r="U39" s="1420"/>
      <c r="V39" s="1420"/>
      <c r="W39" s="1420"/>
      <c r="X39" s="1341">
        <f>O113</f>
        <v>0</v>
      </c>
      <c r="Y39" s="1349">
        <f>O113</f>
        <v>0</v>
      </c>
      <c r="Z39" s="1305"/>
      <c r="AA39" s="1382"/>
      <c r="AB39" s="1382"/>
      <c r="AC39" s="1385"/>
      <c r="AD39" s="1345">
        <f>P113</f>
        <v>0</v>
      </c>
      <c r="AE39" s="1349">
        <f>P113</f>
        <v>0</v>
      </c>
      <c r="AF39" s="1305"/>
      <c r="AG39" s="1382"/>
      <c r="AH39" s="1382"/>
      <c r="AI39" s="1306"/>
    </row>
    <row r="40" spans="1:46" s="77" customFormat="1" ht="10.5" customHeight="1">
      <c r="A40" s="497" t="s">
        <v>79</v>
      </c>
      <c r="B40" s="1302" t="s">
        <v>2054</v>
      </c>
      <c r="C40" s="1303"/>
      <c r="D40" s="1304"/>
      <c r="E40" s="1304"/>
      <c r="F40" s="1304"/>
      <c r="G40" s="1305">
        <v>3</v>
      </c>
      <c r="H40" s="1306">
        <v>2</v>
      </c>
      <c r="I40" s="1305"/>
      <c r="J40" s="1382"/>
      <c r="K40" s="1382"/>
      <c r="L40" s="1306"/>
      <c r="M40" s="4202" t="s">
        <v>2107</v>
      </c>
      <c r="N40" s="4203"/>
      <c r="O40" s="4203"/>
      <c r="P40" s="4203"/>
      <c r="Q40" s="93"/>
      <c r="R40" s="497" t="s">
        <v>79</v>
      </c>
      <c r="S40" s="1302" t="s">
        <v>2054</v>
      </c>
      <c r="T40" s="1302"/>
      <c r="U40" s="1420"/>
      <c r="V40" s="1420"/>
      <c r="W40" s="1420"/>
      <c r="X40" s="1305">
        <f>O152</f>
        <v>0</v>
      </c>
      <c r="Y40" s="1306">
        <f>O152</f>
        <v>0</v>
      </c>
      <c r="Z40" s="1305"/>
      <c r="AA40" s="1382"/>
      <c r="AB40" s="1382"/>
      <c r="AC40" s="1385"/>
      <c r="AD40" s="1339">
        <f>P152</f>
        <v>0</v>
      </c>
      <c r="AE40" s="1306">
        <f>P152</f>
        <v>0</v>
      </c>
      <c r="AF40" s="1305"/>
      <c r="AG40" s="1382"/>
      <c r="AH40" s="1382"/>
      <c r="AI40" s="1306"/>
    </row>
    <row r="41" spans="1:46" s="77" customFormat="1" ht="10.5" customHeight="1">
      <c r="A41" s="497" t="s">
        <v>1488</v>
      </c>
      <c r="B41" s="1302" t="s">
        <v>2012</v>
      </c>
      <c r="C41" s="1303"/>
      <c r="D41" s="1304"/>
      <c r="E41" s="1304"/>
      <c r="F41" s="1304"/>
      <c r="G41" s="1305">
        <v>7</v>
      </c>
      <c r="H41" s="1306">
        <v>5</v>
      </c>
      <c r="I41" s="1305"/>
      <c r="J41" s="1382"/>
      <c r="K41" s="1382"/>
      <c r="L41" s="1306"/>
      <c r="M41" s="4202"/>
      <c r="N41" s="4203"/>
      <c r="O41" s="4203"/>
      <c r="P41" s="4203"/>
      <c r="Q41" s="93"/>
      <c r="R41" s="497" t="s">
        <v>1488</v>
      </c>
      <c r="S41" s="1302" t="s">
        <v>2012</v>
      </c>
      <c r="T41" s="1302"/>
      <c r="U41" s="1420"/>
      <c r="V41" s="1420"/>
      <c r="W41" s="1420"/>
      <c r="X41" s="1340">
        <f>O169</f>
        <v>0</v>
      </c>
      <c r="Y41" s="1348">
        <f>O169</f>
        <v>0</v>
      </c>
      <c r="Z41" s="1305"/>
      <c r="AA41" s="1382"/>
      <c r="AB41" s="1382"/>
      <c r="AC41" s="1385"/>
      <c r="AD41" s="1344">
        <f>P169</f>
        <v>0</v>
      </c>
      <c r="AE41" s="1348">
        <f>P169</f>
        <v>0</v>
      </c>
      <c r="AF41" s="1305"/>
      <c r="AG41" s="1382"/>
      <c r="AH41" s="1382"/>
      <c r="AI41" s="1306"/>
    </row>
    <row r="42" spans="1:46" s="77" customFormat="1" ht="10.5" customHeight="1">
      <c r="A42" s="497" t="s">
        <v>1491</v>
      </c>
      <c r="B42" s="1302" t="s">
        <v>1949</v>
      </c>
      <c r="C42" s="1303"/>
      <c r="D42" s="1304"/>
      <c r="E42" s="1304"/>
      <c r="F42" s="1304"/>
      <c r="G42" s="1305">
        <v>3</v>
      </c>
      <c r="H42" s="1306"/>
      <c r="I42" s="1305"/>
      <c r="J42" s="1382"/>
      <c r="K42" s="1382"/>
      <c r="L42" s="1306"/>
      <c r="M42" s="98" t="s">
        <v>2112</v>
      </c>
      <c r="N42" s="98"/>
      <c r="O42" s="98"/>
      <c r="P42" s="2645"/>
      <c r="Q42" s="93"/>
      <c r="R42" s="497" t="s">
        <v>1491</v>
      </c>
      <c r="S42" s="1302" t="s">
        <v>1949</v>
      </c>
      <c r="T42" s="1302"/>
      <c r="U42" s="1420"/>
      <c r="V42" s="1420"/>
      <c r="W42" s="1420"/>
      <c r="X42" s="1342"/>
      <c r="Y42" s="1347"/>
      <c r="Z42" s="1342"/>
      <c r="AA42" s="1386"/>
      <c r="AB42" s="1386"/>
      <c r="AC42" s="1387"/>
      <c r="AD42" s="1344">
        <f>P190</f>
        <v>0</v>
      </c>
      <c r="AE42" s="1306"/>
      <c r="AF42" s="1305"/>
      <c r="AG42" s="1382"/>
      <c r="AH42" s="1382"/>
      <c r="AI42" s="1306"/>
    </row>
    <row r="43" spans="1:46" s="77" customFormat="1" ht="10.5" customHeight="1">
      <c r="A43" s="497" t="s">
        <v>1494</v>
      </c>
      <c r="B43" s="1302" t="s">
        <v>1763</v>
      </c>
      <c r="C43" s="1303"/>
      <c r="D43" s="1304"/>
      <c r="E43" s="1304"/>
      <c r="F43" s="1304"/>
      <c r="G43" s="1305">
        <v>10</v>
      </c>
      <c r="H43" s="1306">
        <v>5</v>
      </c>
      <c r="I43" s="1305"/>
      <c r="J43" s="1382"/>
      <c r="K43" s="1382"/>
      <c r="L43" s="1306"/>
      <c r="M43" s="98" t="s">
        <v>2116</v>
      </c>
      <c r="N43" s="98"/>
      <c r="O43" s="98"/>
      <c r="P43" s="2517"/>
      <c r="Q43" s="93"/>
      <c r="R43" s="497" t="s">
        <v>1494</v>
      </c>
      <c r="S43" s="1302" t="s">
        <v>1763</v>
      </c>
      <c r="T43" s="1302"/>
      <c r="U43" s="1420"/>
      <c r="V43" s="1420"/>
      <c r="W43" s="1420"/>
      <c r="X43" s="1340">
        <f>O205</f>
        <v>0</v>
      </c>
      <c r="Y43" s="1348">
        <f>O205</f>
        <v>0</v>
      </c>
      <c r="Z43" s="1305"/>
      <c r="AA43" s="1382"/>
      <c r="AB43" s="1382"/>
      <c r="AC43" s="1385"/>
      <c r="AD43" s="1344">
        <f>P205</f>
        <v>0</v>
      </c>
      <c r="AE43" s="1348">
        <f>P205</f>
        <v>0</v>
      </c>
      <c r="AF43" s="1305"/>
      <c r="AG43" s="1382"/>
      <c r="AH43" s="1382"/>
      <c r="AI43" s="1306"/>
    </row>
    <row r="44" spans="1:46" s="77" customFormat="1" ht="10.5" customHeight="1">
      <c r="A44" s="497" t="s">
        <v>1501</v>
      </c>
      <c r="B44" s="1302" t="s">
        <v>2157</v>
      </c>
      <c r="C44" s="1303"/>
      <c r="D44" s="1304"/>
      <c r="E44" s="1304"/>
      <c r="F44" s="1304"/>
      <c r="G44" s="1305">
        <v>1</v>
      </c>
      <c r="H44" s="1306"/>
      <c r="I44" s="1305"/>
      <c r="J44" s="1382"/>
      <c r="K44" s="1382"/>
      <c r="L44" s="1306"/>
      <c r="M44" s="1394" t="s">
        <v>2121</v>
      </c>
      <c r="N44" s="135"/>
      <c r="O44" s="135"/>
      <c r="P44" s="2515"/>
      <c r="Q44" s="93"/>
      <c r="R44" s="497" t="s">
        <v>1501</v>
      </c>
      <c r="S44" s="1302" t="s">
        <v>2157</v>
      </c>
      <c r="T44" s="1302"/>
      <c r="U44" s="1420"/>
      <c r="V44" s="1420"/>
      <c r="W44" s="1420"/>
      <c r="X44" s="1340">
        <f>O225</f>
        <v>0</v>
      </c>
      <c r="Y44" s="1306"/>
      <c r="Z44" s="1305"/>
      <c r="AA44" s="1382"/>
      <c r="AB44" s="1382"/>
      <c r="AC44" s="1385"/>
      <c r="AD44" s="1344">
        <f>P225</f>
        <v>0</v>
      </c>
      <c r="AE44" s="1306"/>
      <c r="AF44" s="1305"/>
      <c r="AG44" s="1382"/>
      <c r="AH44" s="1382"/>
      <c r="AI44" s="1306"/>
    </row>
    <row r="45" spans="1:46" s="77" customFormat="1" ht="10.5" customHeight="1">
      <c r="A45" s="497" t="s">
        <v>1508</v>
      </c>
      <c r="B45" s="1302" t="s">
        <v>2057</v>
      </c>
      <c r="C45" s="1303"/>
      <c r="D45" s="1304"/>
      <c r="E45" s="1304"/>
      <c r="F45" s="1304"/>
      <c r="G45" s="1305">
        <v>10</v>
      </c>
      <c r="H45" s="1306">
        <v>5</v>
      </c>
      <c r="I45" s="1305"/>
      <c r="J45" s="1382"/>
      <c r="K45" s="1382"/>
      <c r="L45" s="1306"/>
      <c r="M45" s="1394" t="s">
        <v>2124</v>
      </c>
      <c r="N45" s="135"/>
      <c r="O45" s="150" t="s">
        <v>2129</v>
      </c>
      <c r="P45" s="1473" t="str">
        <f>IF('Part VII-Threshold Criteria OLD'!$P$341="Agree","Yes","")</f>
        <v/>
      </c>
      <c r="Q45" s="93"/>
      <c r="R45" s="497" t="s">
        <v>1508</v>
      </c>
      <c r="S45" s="1302" t="s">
        <v>2057</v>
      </c>
      <c r="T45" s="1302"/>
      <c r="U45" s="1420"/>
      <c r="V45" s="1420"/>
      <c r="W45" s="1420"/>
      <c r="X45" s="1340">
        <f>O233</f>
        <v>0</v>
      </c>
      <c r="Y45" s="1348">
        <f>O233</f>
        <v>0</v>
      </c>
      <c r="Z45" s="1305"/>
      <c r="AA45" s="1382"/>
      <c r="AB45" s="1382"/>
      <c r="AC45" s="1385"/>
      <c r="AD45" s="1344">
        <f>P233</f>
        <v>0</v>
      </c>
      <c r="AE45" s="1348">
        <f>P233</f>
        <v>0</v>
      </c>
      <c r="AF45" s="1305"/>
      <c r="AG45" s="1382"/>
      <c r="AH45" s="1382"/>
      <c r="AI45" s="1306"/>
    </row>
    <row r="46" spans="1:46" s="77" customFormat="1" ht="10.5" customHeight="1">
      <c r="A46" s="497" t="s">
        <v>1530</v>
      </c>
      <c r="B46" s="1302" t="s">
        <v>2143</v>
      </c>
      <c r="C46" s="1303"/>
      <c r="D46" s="1304"/>
      <c r="E46" s="1304"/>
      <c r="F46" s="1304"/>
      <c r="G46" s="1305">
        <v>3</v>
      </c>
      <c r="H46" s="1306"/>
      <c r="I46" s="1305"/>
      <c r="J46" s="1382"/>
      <c r="K46" s="1382"/>
      <c r="L46" s="1306"/>
      <c r="M46" s="1394"/>
      <c r="N46" s="135"/>
      <c r="O46" s="150" t="s">
        <v>2133</v>
      </c>
      <c r="P46" s="1474" t="str">
        <f>IF('Part VII-Threshold Criteria OLD'!$P$344="Agree","Yes","")</f>
        <v/>
      </c>
      <c r="Q46" s="93"/>
      <c r="R46" s="497" t="s">
        <v>1530</v>
      </c>
      <c r="S46" s="1302" t="s">
        <v>2143</v>
      </c>
      <c r="T46" s="1302"/>
      <c r="U46" s="1420"/>
      <c r="V46" s="1420"/>
      <c r="W46" s="1420"/>
      <c r="X46" s="1340">
        <f>O242</f>
        <v>0</v>
      </c>
      <c r="Y46" s="1306"/>
      <c r="Z46" s="1305"/>
      <c r="AA46" s="1382"/>
      <c r="AB46" s="1382"/>
      <c r="AC46" s="1385"/>
      <c r="AD46" s="1344">
        <f>P242</f>
        <v>0</v>
      </c>
      <c r="AE46" s="1306"/>
      <c r="AF46" s="1305"/>
      <c r="AG46" s="1382"/>
      <c r="AH46" s="1382"/>
      <c r="AI46" s="1306"/>
    </row>
    <row r="47" spans="1:46" s="77" customFormat="1" ht="10.5" customHeight="1">
      <c r="A47" s="497" t="s">
        <v>1547</v>
      </c>
      <c r="B47" s="1302" t="s">
        <v>2147</v>
      </c>
      <c r="C47" s="1303"/>
      <c r="D47" s="1304"/>
      <c r="E47" s="1304"/>
      <c r="F47" s="1304"/>
      <c r="G47" s="1305">
        <v>5</v>
      </c>
      <c r="H47" s="1306"/>
      <c r="I47" s="1305"/>
      <c r="J47" s="1382"/>
      <c r="K47" s="1382"/>
      <c r="L47" s="1306"/>
      <c r="M47" s="931"/>
      <c r="N47" s="1418"/>
      <c r="O47" s="1395" t="s">
        <v>2137</v>
      </c>
      <c r="P47" s="1475" t="str">
        <f>IF('Part VII-Threshold Criteria OLD'!$P$346="Agree","Yes","")</f>
        <v/>
      </c>
      <c r="Q47" s="93"/>
      <c r="R47" s="497" t="s">
        <v>1547</v>
      </c>
      <c r="S47" s="1302" t="s">
        <v>2147</v>
      </c>
      <c r="T47" s="1302"/>
      <c r="U47" s="1420"/>
      <c r="V47" s="1420"/>
      <c r="W47" s="1420"/>
      <c r="X47" s="1340">
        <f>O252</f>
        <v>0</v>
      </c>
      <c r="Y47" s="1306"/>
      <c r="Z47" s="1305"/>
      <c r="AA47" s="1382"/>
      <c r="AB47" s="1382"/>
      <c r="AC47" s="1385"/>
      <c r="AD47" s="1344">
        <f>P252</f>
        <v>0</v>
      </c>
      <c r="AE47" s="1306"/>
      <c r="AF47" s="1305"/>
      <c r="AG47" s="1382"/>
      <c r="AH47" s="1382"/>
      <c r="AI47" s="1306"/>
    </row>
    <row r="48" spans="1:46" s="77" customFormat="1" ht="10.5" customHeight="1">
      <c r="A48" s="497" t="s">
        <v>1539</v>
      </c>
      <c r="B48" s="1302" t="s">
        <v>2097</v>
      </c>
      <c r="C48" s="1303"/>
      <c r="D48" s="1304"/>
      <c r="E48" s="1304"/>
      <c r="F48" s="1304"/>
      <c r="G48" s="1305">
        <v>4</v>
      </c>
      <c r="H48" s="1306">
        <v>4</v>
      </c>
      <c r="I48" s="1305">
        <v>4</v>
      </c>
      <c r="J48" s="1382">
        <v>4</v>
      </c>
      <c r="K48" s="1382">
        <v>4</v>
      </c>
      <c r="L48" s="1306">
        <v>4</v>
      </c>
      <c r="M48" s="1412" t="s">
        <v>2140</v>
      </c>
      <c r="N48" s="1413"/>
      <c r="O48" s="1414"/>
      <c r="P48" s="2645"/>
      <c r="R48" s="497" t="s">
        <v>1539</v>
      </c>
      <c r="S48" s="1302" t="s">
        <v>2097</v>
      </c>
      <c r="T48" s="1302"/>
      <c r="U48" s="1420"/>
      <c r="V48" s="1420"/>
      <c r="W48" s="1420"/>
      <c r="X48" s="1340">
        <f>O261</f>
        <v>0</v>
      </c>
      <c r="Y48" s="1348">
        <f>O261</f>
        <v>0</v>
      </c>
      <c r="Z48" s="1340">
        <f>O261</f>
        <v>0</v>
      </c>
      <c r="AA48" s="1383">
        <f>O261</f>
        <v>0</v>
      </c>
      <c r="AB48" s="1383">
        <f>O261</f>
        <v>0</v>
      </c>
      <c r="AC48" s="1384">
        <f>O261</f>
        <v>0</v>
      </c>
      <c r="AD48" s="1344">
        <f>P261</f>
        <v>0</v>
      </c>
      <c r="AE48" s="1348">
        <f>P261</f>
        <v>0</v>
      </c>
      <c r="AF48" s="1340">
        <f>P261</f>
        <v>0</v>
      </c>
      <c r="AG48" s="1383">
        <f>P261</f>
        <v>0</v>
      </c>
      <c r="AH48" s="1383">
        <f>P261</f>
        <v>0</v>
      </c>
      <c r="AI48" s="1348">
        <f>P261</f>
        <v>0</v>
      </c>
      <c r="AT48" s="1481" t="s">
        <v>2603</v>
      </c>
    </row>
    <row r="49" spans="1:46" s="77" customFormat="1" ht="10.5" customHeight="1">
      <c r="A49" s="497" t="s">
        <v>1547</v>
      </c>
      <c r="B49" s="1302" t="s">
        <v>2778</v>
      </c>
      <c r="C49" s="1303"/>
      <c r="D49" s="1304"/>
      <c r="E49" s="1304"/>
      <c r="F49" s="1304"/>
      <c r="G49" s="1305">
        <v>2</v>
      </c>
      <c r="H49" s="1306">
        <v>2</v>
      </c>
      <c r="I49" s="1305">
        <v>2</v>
      </c>
      <c r="J49" s="1382">
        <v>2</v>
      </c>
      <c r="K49" s="1382">
        <v>2</v>
      </c>
      <c r="L49" s="1306">
        <v>2</v>
      </c>
      <c r="M49" s="1415" t="s">
        <v>2144</v>
      </c>
      <c r="N49" s="1416"/>
      <c r="O49" s="1417"/>
      <c r="P49" s="2515"/>
      <c r="R49" s="497" t="s">
        <v>1547</v>
      </c>
      <c r="S49" s="1302" t="s">
        <v>2778</v>
      </c>
      <c r="T49" s="1302"/>
      <c r="U49" s="1420"/>
      <c r="V49" s="1420"/>
      <c r="W49" s="1420"/>
      <c r="X49" s="1340">
        <f>O274</f>
        <v>0</v>
      </c>
      <c r="Y49" s="1348">
        <f>O274</f>
        <v>0</v>
      </c>
      <c r="Z49" s="1340">
        <f>O274</f>
        <v>0</v>
      </c>
      <c r="AA49" s="1383">
        <f>O274</f>
        <v>0</v>
      </c>
      <c r="AB49" s="1383">
        <f>O274</f>
        <v>0</v>
      </c>
      <c r="AC49" s="1384">
        <f>O274</f>
        <v>0</v>
      </c>
      <c r="AD49" s="1344">
        <f>P274</f>
        <v>0</v>
      </c>
      <c r="AE49" s="1348">
        <f>P274</f>
        <v>0</v>
      </c>
      <c r="AF49" s="1340">
        <f>P274</f>
        <v>0</v>
      </c>
      <c r="AG49" s="1383">
        <f>P274</f>
        <v>0</v>
      </c>
      <c r="AH49" s="1383">
        <f>P274</f>
        <v>0</v>
      </c>
      <c r="AI49" s="1348">
        <f>P274</f>
        <v>0</v>
      </c>
      <c r="AQ49" s="1480" t="s">
        <v>2791</v>
      </c>
      <c r="AR49" s="135"/>
      <c r="AS49" s="43"/>
      <c r="AT49" s="1471" t="e">
        <f>#REF!+#REF!+#REF!</f>
        <v>#REF!</v>
      </c>
    </row>
    <row r="50" spans="1:46" s="77" customFormat="1" ht="10.5" customHeight="1">
      <c r="A50" s="497" t="s">
        <v>1568</v>
      </c>
      <c r="B50" s="1302" t="s">
        <v>2099</v>
      </c>
      <c r="C50" s="1303"/>
      <c r="D50" s="1304"/>
      <c r="E50" s="1304"/>
      <c r="F50" s="1304"/>
      <c r="G50" s="1305">
        <v>2</v>
      </c>
      <c r="H50" s="1306">
        <v>2</v>
      </c>
      <c r="I50" s="1305">
        <v>2</v>
      </c>
      <c r="J50" s="1382">
        <v>2</v>
      </c>
      <c r="K50" s="1382">
        <v>2</v>
      </c>
      <c r="L50" s="1306">
        <v>2</v>
      </c>
      <c r="M50" s="98" t="s">
        <v>2148</v>
      </c>
      <c r="N50" s="43"/>
      <c r="O50" s="43"/>
      <c r="P50" s="336" t="e">
        <f>#REF!</f>
        <v>#REF!</v>
      </c>
      <c r="R50" s="497" t="s">
        <v>1568</v>
      </c>
      <c r="S50" s="1302" t="s">
        <v>2099</v>
      </c>
      <c r="T50" s="1302"/>
      <c r="U50" s="1420"/>
      <c r="V50" s="1420"/>
      <c r="W50" s="1420"/>
      <c r="X50" s="1340">
        <f>O285</f>
        <v>0</v>
      </c>
      <c r="Y50" s="1348">
        <f>O285</f>
        <v>0</v>
      </c>
      <c r="Z50" s="1340">
        <f>O285</f>
        <v>0</v>
      </c>
      <c r="AA50" s="1383">
        <f>O285</f>
        <v>0</v>
      </c>
      <c r="AB50" s="1383">
        <f>O285</f>
        <v>0</v>
      </c>
      <c r="AC50" s="1384">
        <f>O285</f>
        <v>0</v>
      </c>
      <c r="AD50" s="1344">
        <f>P285</f>
        <v>0</v>
      </c>
      <c r="AE50" s="1348">
        <f>P285</f>
        <v>0</v>
      </c>
      <c r="AF50" s="1340">
        <f>P285</f>
        <v>0</v>
      </c>
      <c r="AG50" s="1383">
        <f>P285</f>
        <v>0</v>
      </c>
      <c r="AH50" s="1383">
        <f>P285</f>
        <v>0</v>
      </c>
      <c r="AI50" s="1348">
        <f>P285</f>
        <v>0</v>
      </c>
      <c r="AQ50" s="1480" t="s">
        <v>2792</v>
      </c>
      <c r="AR50" s="1135"/>
      <c r="AS50" s="1135"/>
      <c r="AT50" s="1472" t="e">
        <f>#REF!+#REF!-#REF!-#REF!</f>
        <v>#REF!</v>
      </c>
    </row>
    <row r="51" spans="1:46" s="77" customFormat="1" ht="10.5" customHeight="1">
      <c r="A51" s="497" t="s">
        <v>1578</v>
      </c>
      <c r="B51" s="1302" t="s">
        <v>2164</v>
      </c>
      <c r="C51" s="1303"/>
      <c r="D51" s="1304"/>
      <c r="E51" s="1304"/>
      <c r="F51" s="1304"/>
      <c r="G51" s="1305">
        <v>2</v>
      </c>
      <c r="H51" s="1306"/>
      <c r="I51" s="1305"/>
      <c r="J51" s="1382">
        <v>2</v>
      </c>
      <c r="K51" s="1382">
        <v>2</v>
      </c>
      <c r="L51" s="1306">
        <v>2</v>
      </c>
      <c r="Q51" s="93"/>
      <c r="R51" s="497" t="s">
        <v>1578</v>
      </c>
      <c r="S51" s="1302" t="s">
        <v>2164</v>
      </c>
      <c r="T51" s="1302"/>
      <c r="U51" s="1420"/>
      <c r="V51" s="1420"/>
      <c r="W51" s="1420"/>
      <c r="X51" s="1340">
        <f>O310</f>
        <v>0</v>
      </c>
      <c r="Y51" s="1306"/>
      <c r="Z51" s="1305"/>
      <c r="AA51" s="1383">
        <f>O310</f>
        <v>0</v>
      </c>
      <c r="AB51" s="1383">
        <f>O310</f>
        <v>0</v>
      </c>
      <c r="AC51" s="1384">
        <f>O310</f>
        <v>0</v>
      </c>
      <c r="AD51" s="1344">
        <f>P310</f>
        <v>0</v>
      </c>
      <c r="AE51" s="1306"/>
      <c r="AF51" s="1305"/>
      <c r="AG51" s="1383">
        <f>P310</f>
        <v>0</v>
      </c>
      <c r="AH51" s="1383">
        <f>P310</f>
        <v>0</v>
      </c>
      <c r="AI51" s="1348">
        <f>P310</f>
        <v>0</v>
      </c>
    </row>
    <row r="52" spans="1:46" s="77" customFormat="1" ht="10.5" customHeight="1">
      <c r="A52" s="497" t="s">
        <v>1589</v>
      </c>
      <c r="B52" s="1302" t="s">
        <v>2793</v>
      </c>
      <c r="C52" s="1303"/>
      <c r="D52" s="1304"/>
      <c r="E52" s="1304"/>
      <c r="F52" s="1304"/>
      <c r="G52" s="1305">
        <v>2</v>
      </c>
      <c r="H52" s="1306"/>
      <c r="I52" s="1305"/>
      <c r="J52" s="1382">
        <v>2</v>
      </c>
      <c r="K52" s="1382">
        <v>2</v>
      </c>
      <c r="L52" s="1306">
        <v>2</v>
      </c>
      <c r="M52" s="4206" t="s">
        <v>2794</v>
      </c>
      <c r="N52" s="4207"/>
      <c r="O52" s="4207"/>
      <c r="P52" s="4207"/>
      <c r="Q52" s="284"/>
      <c r="R52" s="497" t="s">
        <v>1589</v>
      </c>
      <c r="S52" s="1302" t="s">
        <v>2793</v>
      </c>
      <c r="T52" s="1302"/>
      <c r="U52" s="1420"/>
      <c r="V52" s="1420"/>
      <c r="W52" s="1420"/>
      <c r="X52" s="1346"/>
      <c r="Y52" s="1347"/>
      <c r="Z52" s="1342"/>
      <c r="AA52" s="1390"/>
      <c r="AB52" s="1390"/>
      <c r="AC52" s="1391"/>
      <c r="AD52" s="1344">
        <f>P318</f>
        <v>0</v>
      </c>
      <c r="AE52" s="1306"/>
      <c r="AF52" s="1305"/>
      <c r="AG52" s="1383">
        <f>P318</f>
        <v>0</v>
      </c>
      <c r="AH52" s="1383">
        <f>P318</f>
        <v>0</v>
      </c>
      <c r="AI52" s="1348">
        <f>P318</f>
        <v>0</v>
      </c>
    </row>
    <row r="53" spans="1:46" s="77" customFormat="1" ht="10.5" customHeight="1">
      <c r="A53" s="497" t="s">
        <v>1601</v>
      </c>
      <c r="B53" s="1302" t="s">
        <v>2168</v>
      </c>
      <c r="C53" s="1303"/>
      <c r="D53" s="1304"/>
      <c r="E53" s="1304"/>
      <c r="F53" s="1304"/>
      <c r="G53" s="1305">
        <v>2</v>
      </c>
      <c r="H53" s="1306"/>
      <c r="I53" s="1305"/>
      <c r="J53" s="1382">
        <v>2</v>
      </c>
      <c r="K53" s="1382">
        <v>2</v>
      </c>
      <c r="L53" s="1306">
        <v>2</v>
      </c>
      <c r="M53" s="4206"/>
      <c r="N53" s="4207"/>
      <c r="O53" s="4207"/>
      <c r="P53" s="4207"/>
      <c r="R53" s="497" t="s">
        <v>1601</v>
      </c>
      <c r="S53" s="1302" t="s">
        <v>2168</v>
      </c>
      <c r="T53" s="1302"/>
      <c r="U53" s="1420"/>
      <c r="V53" s="1420"/>
      <c r="W53" s="1420"/>
      <c r="X53" s="1340">
        <f>O334</f>
        <v>0</v>
      </c>
      <c r="Y53" s="1348"/>
      <c r="Z53" s="1340"/>
      <c r="AA53" s="1383">
        <f>O334</f>
        <v>0</v>
      </c>
      <c r="AB53" s="1383">
        <f>O334</f>
        <v>0</v>
      </c>
      <c r="AC53" s="1384">
        <f>O334</f>
        <v>0</v>
      </c>
      <c r="AD53" s="1344">
        <f>P334</f>
        <v>0</v>
      </c>
      <c r="AE53" s="1348"/>
      <c r="AF53" s="1340"/>
      <c r="AG53" s="1383">
        <f>P334</f>
        <v>0</v>
      </c>
      <c r="AH53" s="1383">
        <f>P334</f>
        <v>0</v>
      </c>
      <c r="AI53" s="1348">
        <f>P334</f>
        <v>0</v>
      </c>
    </row>
    <row r="54" spans="1:46" s="77" customFormat="1" ht="10.5" customHeight="1">
      <c r="A54" s="497" t="s">
        <v>1606</v>
      </c>
      <c r="B54" s="1302" t="s">
        <v>2101</v>
      </c>
      <c r="C54" s="1303"/>
      <c r="D54" s="1304"/>
      <c r="E54" s="1304"/>
      <c r="F54" s="1304"/>
      <c r="G54" s="1305">
        <v>4</v>
      </c>
      <c r="H54" s="1306">
        <v>2</v>
      </c>
      <c r="I54" s="1305">
        <v>2</v>
      </c>
      <c r="J54" s="1382">
        <v>4</v>
      </c>
      <c r="K54" s="1382">
        <v>4</v>
      </c>
      <c r="L54" s="1306">
        <v>4</v>
      </c>
      <c r="M54" s="4208"/>
      <c r="N54" s="4209"/>
      <c r="O54" s="4209"/>
      <c r="P54" s="4209"/>
      <c r="R54" s="497" t="s">
        <v>1606</v>
      </c>
      <c r="S54" s="1302" t="s">
        <v>2101</v>
      </c>
      <c r="T54" s="1302"/>
      <c r="U54" s="1420"/>
      <c r="V54" s="1420"/>
      <c r="W54" s="1420"/>
      <c r="X54" s="1340">
        <f>O342</f>
        <v>0</v>
      </c>
      <c r="Y54" s="1348">
        <f>O342</f>
        <v>0</v>
      </c>
      <c r="Z54" s="1340">
        <f>O342</f>
        <v>0</v>
      </c>
      <c r="AA54" s="1383">
        <f>O342</f>
        <v>0</v>
      </c>
      <c r="AB54" s="1383">
        <f>O342</f>
        <v>0</v>
      </c>
      <c r="AC54" s="1384">
        <f>O342</f>
        <v>0</v>
      </c>
      <c r="AD54" s="1344">
        <f>P342</f>
        <v>0</v>
      </c>
      <c r="AE54" s="1348">
        <f>P342</f>
        <v>0</v>
      </c>
      <c r="AF54" s="1340">
        <f>P342</f>
        <v>0</v>
      </c>
      <c r="AG54" s="1383">
        <f>P342</f>
        <v>0</v>
      </c>
      <c r="AH54" s="1383">
        <f>P342</f>
        <v>0</v>
      </c>
      <c r="AI54" s="1348">
        <f>P342</f>
        <v>0</v>
      </c>
    </row>
    <row r="55" spans="1:46" s="77" customFormat="1" ht="10.5" customHeight="1">
      <c r="A55" s="497" t="s">
        <v>1613</v>
      </c>
      <c r="B55" s="1302" t="s">
        <v>2160</v>
      </c>
      <c r="C55" s="1303"/>
      <c r="D55" s="1304"/>
      <c r="E55" s="1304"/>
      <c r="F55" s="1304"/>
      <c r="G55" s="1305">
        <v>2</v>
      </c>
      <c r="H55" s="1306"/>
      <c r="I55" s="1305"/>
      <c r="J55" s="1382"/>
      <c r="K55" s="1382"/>
      <c r="L55" s="1306"/>
      <c r="M55" s="4412" t="s">
        <v>1759</v>
      </c>
      <c r="N55" s="4413"/>
      <c r="O55" s="4413"/>
      <c r="P55" s="4732"/>
      <c r="R55" s="497" t="s">
        <v>1613</v>
      </c>
      <c r="S55" s="1302" t="s">
        <v>2160</v>
      </c>
      <c r="T55" s="1302"/>
      <c r="U55" s="1420"/>
      <c r="V55" s="1420"/>
      <c r="W55" s="1420"/>
      <c r="X55" s="1340">
        <f>O378</f>
        <v>0</v>
      </c>
      <c r="Y55" s="1348"/>
      <c r="Z55" s="1340"/>
      <c r="AA55" s="1383"/>
      <c r="AB55" s="1383"/>
      <c r="AC55" s="1384"/>
      <c r="AD55" s="1344">
        <f>P378</f>
        <v>0</v>
      </c>
      <c r="AE55" s="1348"/>
      <c r="AF55" s="1340"/>
      <c r="AG55" s="1383"/>
      <c r="AH55" s="1383"/>
      <c r="AI55" s="1348"/>
    </row>
    <row r="56" spans="1:46" s="77" customFormat="1" ht="10.5" customHeight="1">
      <c r="A56" s="497" t="s">
        <v>1620</v>
      </c>
      <c r="B56" s="1302" t="s">
        <v>2104</v>
      </c>
      <c r="C56" s="1303"/>
      <c r="D56" s="1304"/>
      <c r="E56" s="1304"/>
      <c r="F56" s="1304"/>
      <c r="G56" s="1305">
        <v>10</v>
      </c>
      <c r="H56" s="1306">
        <v>10</v>
      </c>
      <c r="I56" s="1305">
        <v>10</v>
      </c>
      <c r="J56" s="1382">
        <v>10</v>
      </c>
      <c r="K56" s="1382">
        <v>10</v>
      </c>
      <c r="L56" s="1306">
        <v>10</v>
      </c>
      <c r="M56" s="4414"/>
      <c r="N56" s="4415"/>
      <c r="O56" s="4415"/>
      <c r="P56" s="4416"/>
      <c r="R56" s="497" t="s">
        <v>1620</v>
      </c>
      <c r="S56" s="1302" t="s">
        <v>2104</v>
      </c>
      <c r="T56" s="1302"/>
      <c r="U56" s="1420"/>
      <c r="V56" s="1420"/>
      <c r="W56" s="1420"/>
      <c r="X56" s="1340">
        <f>O397</f>
        <v>10</v>
      </c>
      <c r="Y56" s="1348">
        <f>O397</f>
        <v>10</v>
      </c>
      <c r="Z56" s="1340">
        <f>O397</f>
        <v>10</v>
      </c>
      <c r="AA56" s="1383">
        <f>O397</f>
        <v>10</v>
      </c>
      <c r="AB56" s="1383">
        <f>O397</f>
        <v>10</v>
      </c>
      <c r="AC56" s="1384">
        <f>O397</f>
        <v>10</v>
      </c>
      <c r="AD56" s="1344">
        <f>P397</f>
        <v>10</v>
      </c>
      <c r="AE56" s="1348">
        <f>P397</f>
        <v>10</v>
      </c>
      <c r="AF56" s="1340">
        <f>P397</f>
        <v>10</v>
      </c>
      <c r="AG56" s="1383">
        <f>P397</f>
        <v>10</v>
      </c>
      <c r="AH56" s="1383">
        <f>P397</f>
        <v>10</v>
      </c>
      <c r="AI56" s="1348">
        <f>P397</f>
        <v>10</v>
      </c>
    </row>
    <row r="57" spans="1:46" s="77" customFormat="1" ht="10.5" customHeight="1">
      <c r="A57" s="497" t="s">
        <v>1625</v>
      </c>
      <c r="B57" s="1302" t="s">
        <v>2106</v>
      </c>
      <c r="C57" s="1303"/>
      <c r="D57" s="1304"/>
      <c r="E57" s="1304"/>
      <c r="F57" s="1304"/>
      <c r="G57" s="1305">
        <v>3</v>
      </c>
      <c r="H57" s="1306">
        <v>3</v>
      </c>
      <c r="I57" s="1305">
        <v>3</v>
      </c>
      <c r="J57" s="1382">
        <v>3</v>
      </c>
      <c r="K57" s="1382">
        <v>3</v>
      </c>
      <c r="L57" s="1306">
        <v>3</v>
      </c>
      <c r="R57" s="497" t="s">
        <v>1625</v>
      </c>
      <c r="S57" s="1302" t="s">
        <v>2106</v>
      </c>
      <c r="T57" s="1302"/>
      <c r="U57" s="1420"/>
      <c r="V57" s="1420"/>
      <c r="W57" s="1420"/>
      <c r="X57" s="1340">
        <f>O405</f>
        <v>2</v>
      </c>
      <c r="Y57" s="1348">
        <f>O405</f>
        <v>2</v>
      </c>
      <c r="Z57" s="1340">
        <f>O405</f>
        <v>2</v>
      </c>
      <c r="AA57" s="1383">
        <f>O405</f>
        <v>2</v>
      </c>
      <c r="AB57" s="1383">
        <f t="shared" ref="AB57:AB61" si="1">O398</f>
        <v>0</v>
      </c>
      <c r="AC57" s="1384">
        <f>O405</f>
        <v>2</v>
      </c>
      <c r="AD57" s="1344">
        <f>P405</f>
        <v>2</v>
      </c>
      <c r="AE57" s="1348">
        <f>P405</f>
        <v>2</v>
      </c>
      <c r="AF57" s="1340">
        <f>P405</f>
        <v>2</v>
      </c>
      <c r="AG57" s="1383">
        <f>P405</f>
        <v>2</v>
      </c>
      <c r="AH57" s="1383">
        <f>P405</f>
        <v>2</v>
      </c>
      <c r="AI57" s="1348">
        <f>P405</f>
        <v>2</v>
      </c>
    </row>
    <row r="58" spans="1:46" s="77" customFormat="1" ht="10.5" customHeight="1">
      <c r="A58" s="497" t="s">
        <v>1632</v>
      </c>
      <c r="B58" s="1302" t="s">
        <v>2043</v>
      </c>
      <c r="C58" s="1303"/>
      <c r="D58" s="1304"/>
      <c r="E58" s="1304"/>
      <c r="F58" s="1304"/>
      <c r="G58" s="1305"/>
      <c r="H58" s="1306"/>
      <c r="I58" s="1305">
        <v>6</v>
      </c>
      <c r="J58" s="1382">
        <v>6</v>
      </c>
      <c r="K58" s="1382">
        <v>6</v>
      </c>
      <c r="L58" s="1306">
        <v>6</v>
      </c>
      <c r="M58" s="4202" t="s">
        <v>1756</v>
      </c>
      <c r="N58" s="4203"/>
      <c r="O58" s="4203"/>
      <c r="P58" s="4203"/>
      <c r="Q58" s="93"/>
      <c r="R58" s="497" t="s">
        <v>1632</v>
      </c>
      <c r="S58" s="1302" t="s">
        <v>2043</v>
      </c>
      <c r="T58" s="1302"/>
      <c r="U58" s="1420"/>
      <c r="V58" s="1420"/>
      <c r="W58" s="1420"/>
      <c r="X58" s="1305"/>
      <c r="Y58" s="1306"/>
      <c r="Z58" s="1340">
        <f>O418</f>
        <v>0</v>
      </c>
      <c r="AA58" s="1383">
        <f>O418</f>
        <v>0</v>
      </c>
      <c r="AB58" s="1383">
        <f t="shared" si="1"/>
        <v>10</v>
      </c>
      <c r="AC58" s="1384">
        <f>O418</f>
        <v>0</v>
      </c>
      <c r="AD58" s="1339"/>
      <c r="AE58" s="1306"/>
      <c r="AF58" s="1340">
        <f>P418</f>
        <v>0</v>
      </c>
      <c r="AG58" s="1383">
        <f>P418</f>
        <v>0</v>
      </c>
      <c r="AH58" s="1383">
        <f>P418</f>
        <v>0</v>
      </c>
      <c r="AI58" s="1348">
        <f>P418</f>
        <v>0</v>
      </c>
    </row>
    <row r="59" spans="1:46" s="77" customFormat="1" ht="10.5" customHeight="1">
      <c r="A59" s="497" t="s">
        <v>1636</v>
      </c>
      <c r="B59" s="1302" t="s">
        <v>2795</v>
      </c>
      <c r="C59" s="1303"/>
      <c r="D59" s="1304"/>
      <c r="E59" s="1304"/>
      <c r="F59" s="1304"/>
      <c r="G59" s="1305"/>
      <c r="H59" s="1306"/>
      <c r="I59" s="1305">
        <v>6</v>
      </c>
      <c r="J59" s="1382">
        <v>6</v>
      </c>
      <c r="K59" s="1382">
        <v>6</v>
      </c>
      <c r="L59" s="1306">
        <v>6</v>
      </c>
      <c r="M59" s="4204"/>
      <c r="N59" s="4205"/>
      <c r="O59" s="4205"/>
      <c r="P59" s="4205"/>
      <c r="Q59" s="93"/>
      <c r="R59" s="497" t="s">
        <v>1636</v>
      </c>
      <c r="S59" s="1302" t="s">
        <v>2795</v>
      </c>
      <c r="T59" s="1302"/>
      <c r="U59" s="1420"/>
      <c r="V59" s="1420"/>
      <c r="W59" s="1420"/>
      <c r="X59" s="1305"/>
      <c r="Y59" s="1306"/>
      <c r="Z59" s="1340">
        <f>O424</f>
        <v>0</v>
      </c>
      <c r="AA59" s="1383">
        <f>O424</f>
        <v>0</v>
      </c>
      <c r="AB59" s="1383">
        <f t="shared" si="1"/>
        <v>0</v>
      </c>
      <c r="AC59" s="1384">
        <f>O424</f>
        <v>0</v>
      </c>
      <c r="AD59" s="1339"/>
      <c r="AE59" s="1306"/>
      <c r="AF59" s="1340">
        <f>P424</f>
        <v>0</v>
      </c>
      <c r="AG59" s="1383">
        <f>P424</f>
        <v>0</v>
      </c>
      <c r="AH59" s="1383">
        <f>P424</f>
        <v>0</v>
      </c>
      <c r="AI59" s="1348">
        <f>P424</f>
        <v>0</v>
      </c>
    </row>
    <row r="60" spans="1:46" s="77" customFormat="1" ht="10.5" customHeight="1">
      <c r="A60" s="497" t="s">
        <v>1641</v>
      </c>
      <c r="B60" s="1302" t="s">
        <v>2782</v>
      </c>
      <c r="C60" s="1303"/>
      <c r="D60" s="1304"/>
      <c r="E60" s="1304"/>
      <c r="F60" s="1304"/>
      <c r="G60" s="1305"/>
      <c r="H60" s="1306"/>
      <c r="I60" s="1305">
        <v>4</v>
      </c>
      <c r="J60" s="1382">
        <v>4</v>
      </c>
      <c r="K60" s="1382">
        <v>4</v>
      </c>
      <c r="L60" s="1306">
        <v>4</v>
      </c>
      <c r="M60" s="4487" t="s">
        <v>1761</v>
      </c>
      <c r="N60" s="4488"/>
      <c r="O60" s="4488"/>
      <c r="P60" s="4733"/>
      <c r="R60" s="497" t="s">
        <v>1641</v>
      </c>
      <c r="S60" s="1302" t="s">
        <v>2782</v>
      </c>
      <c r="T60" s="1302"/>
      <c r="U60" s="1420"/>
      <c r="V60" s="1420"/>
      <c r="W60" s="1420"/>
      <c r="X60" s="1305"/>
      <c r="Y60" s="1306"/>
      <c r="Z60" s="1340">
        <f>O428</f>
        <v>0</v>
      </c>
      <c r="AA60" s="1383">
        <f>O428</f>
        <v>0</v>
      </c>
      <c r="AB60" s="1383">
        <f t="shared" si="1"/>
        <v>0</v>
      </c>
      <c r="AC60" s="1384">
        <f>O428</f>
        <v>0</v>
      </c>
      <c r="AD60" s="1339"/>
      <c r="AE60" s="1306"/>
      <c r="AF60" s="1340">
        <f>P428</f>
        <v>0</v>
      </c>
      <c r="AG60" s="1383">
        <f>P428</f>
        <v>0</v>
      </c>
      <c r="AH60" s="1383">
        <f>P428</f>
        <v>0</v>
      </c>
      <c r="AI60" s="1348">
        <f>P428</f>
        <v>0</v>
      </c>
    </row>
    <row r="61" spans="1:46" s="77" customFormat="1" ht="10.5" customHeight="1">
      <c r="A61" s="497" t="s">
        <v>2783</v>
      </c>
      <c r="B61" s="1307" t="s">
        <v>2784</v>
      </c>
      <c r="C61" s="1308"/>
      <c r="D61" s="1309"/>
      <c r="E61" s="1309"/>
      <c r="F61" s="1309"/>
      <c r="G61" s="1310"/>
      <c r="H61" s="1311"/>
      <c r="I61" s="1310">
        <v>6</v>
      </c>
      <c r="J61" s="1548">
        <v>4</v>
      </c>
      <c r="K61" s="1548">
        <v>6</v>
      </c>
      <c r="L61" s="1311">
        <v>4</v>
      </c>
      <c r="M61" s="4489"/>
      <c r="N61" s="4490"/>
      <c r="O61" s="4490"/>
      <c r="P61" s="4491"/>
      <c r="Q61" s="93"/>
      <c r="R61" s="497" t="s">
        <v>2783</v>
      </c>
      <c r="S61" s="1307" t="s">
        <v>2784</v>
      </c>
      <c r="T61" s="1307"/>
      <c r="U61" s="1421"/>
      <c r="V61" s="1421"/>
      <c r="W61" s="1421"/>
      <c r="X61" s="1310"/>
      <c r="Y61" s="1352"/>
      <c r="Z61" s="1423">
        <f>O434</f>
        <v>0</v>
      </c>
      <c r="AA61" s="1441">
        <f>O434</f>
        <v>0</v>
      </c>
      <c r="AB61" s="1441">
        <f t="shared" si="1"/>
        <v>0</v>
      </c>
      <c r="AC61" s="1442">
        <f>O434</f>
        <v>0</v>
      </c>
      <c r="AD61" s="1353"/>
      <c r="AE61" s="1352"/>
      <c r="AF61" s="1423">
        <f>P434</f>
        <v>0</v>
      </c>
      <c r="AG61" s="1441">
        <f>P434</f>
        <v>0</v>
      </c>
      <c r="AH61" s="1441">
        <f>P434</f>
        <v>0</v>
      </c>
      <c r="AI61" s="1352">
        <f>P434</f>
        <v>0</v>
      </c>
    </row>
    <row r="62" spans="1:46" s="19" customFormat="1" ht="2.25" customHeight="1">
      <c r="A62" s="43"/>
      <c r="B62" s="22"/>
      <c r="C62" s="13"/>
      <c r="D62" s="48"/>
      <c r="E62" s="48"/>
      <c r="F62" s="48"/>
      <c r="G62" s="48"/>
      <c r="H62" s="48"/>
      <c r="I62" s="48"/>
      <c r="J62" s="48"/>
      <c r="K62" s="43"/>
      <c r="L62" s="43"/>
      <c r="M62" s="32"/>
      <c r="N62" s="58"/>
      <c r="O62" s="2"/>
      <c r="P62" s="2541"/>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213" t="s">
        <v>2178</v>
      </c>
      <c r="E63" s="1106"/>
      <c r="F63" s="1106"/>
      <c r="G63" s="1549">
        <f t="shared" ref="G63:L63" si="2">SUM(G36:G61)</f>
        <v>114</v>
      </c>
      <c r="H63" s="1549">
        <f t="shared" si="2"/>
        <v>69</v>
      </c>
      <c r="I63" s="1549">
        <f t="shared" si="2"/>
        <v>55</v>
      </c>
      <c r="J63" s="1549">
        <f t="shared" si="2"/>
        <v>61</v>
      </c>
      <c r="K63" s="1549">
        <f t="shared" si="2"/>
        <v>63</v>
      </c>
      <c r="L63" s="1549">
        <f t="shared" si="2"/>
        <v>61</v>
      </c>
      <c r="M63" s="32"/>
      <c r="N63" s="58"/>
      <c r="O63" s="2"/>
      <c r="P63" s="2541"/>
      <c r="R63" s="43"/>
      <c r="S63" s="43"/>
      <c r="T63" s="42"/>
      <c r="U63" s="42"/>
      <c r="V63" s="42"/>
      <c r="W63" s="42"/>
      <c r="X63" s="1351" t="e">
        <f>SUM(X35:X61)</f>
        <v>#REF!</v>
      </c>
      <c r="Y63" s="1351" t="e">
        <f t="shared" ref="Y63:AI63" si="3">SUM(Y35:Y61)</f>
        <v>#REF!</v>
      </c>
      <c r="Z63" s="1351">
        <f t="shared" si="3"/>
        <v>22</v>
      </c>
      <c r="AA63" s="1351">
        <f t="shared" si="3"/>
        <v>22</v>
      </c>
      <c r="AB63" s="1351">
        <f t="shared" si="3"/>
        <v>30</v>
      </c>
      <c r="AC63" s="1351">
        <f t="shared" si="3"/>
        <v>22</v>
      </c>
      <c r="AD63" s="1351" t="e">
        <f t="shared" si="3"/>
        <v>#REF!</v>
      </c>
      <c r="AE63" s="1351" t="e">
        <f t="shared" si="3"/>
        <v>#REF!</v>
      </c>
      <c r="AF63" s="1351">
        <f t="shared" si="3"/>
        <v>22</v>
      </c>
      <c r="AG63" s="1351">
        <f t="shared" si="3"/>
        <v>22</v>
      </c>
      <c r="AH63" s="1351">
        <f t="shared" si="3"/>
        <v>22</v>
      </c>
      <c r="AI63" s="1351">
        <f t="shared" si="3"/>
        <v>22</v>
      </c>
    </row>
    <row r="64" spans="1:46" s="18" customFormat="1" ht="13.5" customHeight="1" thickBot="1">
      <c r="A64" s="79" t="s">
        <v>32</v>
      </c>
      <c r="B64" s="50" t="s">
        <v>2796</v>
      </c>
      <c r="C64" s="3"/>
      <c r="D64" s="3"/>
      <c r="E64" s="3"/>
      <c r="F64" s="13"/>
      <c r="G64" s="13"/>
      <c r="H64" s="98" t="s">
        <v>2797</v>
      </c>
      <c r="I64" s="43"/>
      <c r="J64" s="43"/>
      <c r="K64" s="43"/>
      <c r="L64" s="43"/>
      <c r="M64" s="2541">
        <v>10</v>
      </c>
      <c r="N64" s="51"/>
      <c r="O64" s="652">
        <v>10</v>
      </c>
      <c r="P64" s="652">
        <f>MIN($M64, $M64-P67-P72-P68)</f>
        <v>10</v>
      </c>
      <c r="Q64" s="53" t="s">
        <v>795</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541"/>
      <c r="R65" s="43"/>
      <c r="S65" s="43"/>
    </row>
    <row r="66" spans="1:20" s="18" customFormat="1" ht="12.75" customHeight="1">
      <c r="A66" s="72" t="s">
        <v>197</v>
      </c>
      <c r="B66" s="92" t="s">
        <v>2798</v>
      </c>
      <c r="C66" s="43"/>
      <c r="D66" s="48"/>
      <c r="E66" s="48"/>
      <c r="F66" s="2584"/>
      <c r="G66" s="43"/>
      <c r="H66" s="43"/>
      <c r="I66" s="43"/>
      <c r="J66" s="43"/>
      <c r="K66" s="43"/>
      <c r="L66" s="43"/>
      <c r="M66" s="43"/>
      <c r="N66" s="28" t="s">
        <v>197</v>
      </c>
      <c r="O66" s="43"/>
      <c r="P66" s="2807">
        <f>SUM(P67:P69)</f>
        <v>0</v>
      </c>
      <c r="Q66" s="13" t="s">
        <v>2799</v>
      </c>
      <c r="R66" s="43"/>
      <c r="S66" s="43"/>
      <c r="T66" s="43"/>
    </row>
    <row r="67" spans="1:20" s="19" customFormat="1" ht="12.75" customHeight="1">
      <c r="A67" s="72"/>
      <c r="B67" s="1191" t="s">
        <v>212</v>
      </c>
      <c r="C67" s="48" t="s">
        <v>2800</v>
      </c>
      <c r="D67" s="48"/>
      <c r="E67" s="48"/>
      <c r="F67" s="2584"/>
      <c r="H67" s="98" t="s">
        <v>2801</v>
      </c>
      <c r="J67" s="23"/>
      <c r="N67" s="217" t="s">
        <v>212</v>
      </c>
      <c r="P67" s="2808">
        <f>F75</f>
        <v>0</v>
      </c>
    </row>
    <row r="68" spans="1:20" s="19" customFormat="1" ht="12.75" customHeight="1">
      <c r="A68" s="72"/>
      <c r="B68" s="1191" t="s">
        <v>220</v>
      </c>
      <c r="C68" s="48" t="s">
        <v>2802</v>
      </c>
      <c r="D68" s="48"/>
      <c r="E68" s="48"/>
      <c r="F68" s="2584"/>
      <c r="H68" s="98" t="s">
        <v>2803</v>
      </c>
      <c r="J68" s="23"/>
      <c r="N68" s="217" t="s">
        <v>220</v>
      </c>
      <c r="P68" s="856">
        <f>J75</f>
        <v>0</v>
      </c>
    </row>
    <row r="69" spans="1:20" s="19" customFormat="1" ht="12.75" customHeight="1">
      <c r="A69" s="72"/>
      <c r="B69" s="1191" t="s">
        <v>224</v>
      </c>
      <c r="C69" s="48" t="s">
        <v>2804</v>
      </c>
      <c r="D69" s="48"/>
      <c r="E69" s="48"/>
      <c r="F69" s="2584"/>
      <c r="H69" s="98" t="s">
        <v>2805</v>
      </c>
      <c r="J69" s="23"/>
      <c r="N69" s="217" t="s">
        <v>224</v>
      </c>
      <c r="P69" s="857"/>
    </row>
    <row r="70" spans="1:20" s="19" customFormat="1" ht="12.75" customHeight="1">
      <c r="C70" s="4240" t="s">
        <v>2806</v>
      </c>
      <c r="D70" s="4241"/>
      <c r="E70" s="4241"/>
      <c r="F70" s="4241"/>
      <c r="G70" s="4241"/>
      <c r="H70" s="4241"/>
      <c r="I70" s="4241"/>
      <c r="J70" s="4241"/>
      <c r="K70" s="4241"/>
      <c r="L70" s="4241"/>
      <c r="M70" s="4241"/>
      <c r="N70" s="4241"/>
      <c r="O70" s="4241"/>
      <c r="P70" s="4242"/>
      <c r="Q70" s="249"/>
      <c r="R70" s="249"/>
    </row>
    <row r="71" spans="1:20" s="19" customFormat="1" ht="3" customHeight="1">
      <c r="A71" s="336"/>
      <c r="B71" s="333"/>
      <c r="C71" s="334"/>
      <c r="D71" s="73"/>
      <c r="K71" s="518"/>
      <c r="L71" s="518"/>
      <c r="M71" s="2659"/>
      <c r="N71" s="217"/>
      <c r="O71" s="520"/>
      <c r="P71" s="520"/>
    </row>
    <row r="72" spans="1:20" s="18" customFormat="1" ht="12.75" customHeight="1">
      <c r="A72" s="72" t="s">
        <v>209</v>
      </c>
      <c r="B72" s="92" t="s">
        <v>2807</v>
      </c>
      <c r="C72" s="43"/>
      <c r="D72" s="48"/>
      <c r="E72" s="48"/>
      <c r="F72" s="2584"/>
      <c r="G72" s="43"/>
      <c r="H72" s="98" t="s">
        <v>2808</v>
      </c>
      <c r="I72" s="43"/>
      <c r="J72" s="23"/>
      <c r="K72" s="43"/>
      <c r="L72" s="43"/>
      <c r="M72" s="32"/>
      <c r="N72" s="28" t="s">
        <v>209</v>
      </c>
      <c r="O72" s="43"/>
      <c r="P72" s="859">
        <f>O75</f>
        <v>0</v>
      </c>
      <c r="Q72" s="13" t="s">
        <v>2799</v>
      </c>
      <c r="R72" s="43"/>
      <c r="S72" s="43"/>
      <c r="T72" s="43"/>
    </row>
    <row r="73" spans="1:20" s="19" customFormat="1" ht="3" customHeight="1">
      <c r="A73" s="336"/>
      <c r="B73" s="333"/>
      <c r="C73" s="334"/>
      <c r="D73" s="73"/>
      <c r="K73" s="518"/>
      <c r="L73" s="518"/>
      <c r="M73" s="2659"/>
      <c r="N73" s="217"/>
      <c r="O73" s="520"/>
      <c r="P73" s="520"/>
    </row>
    <row r="74" spans="1:20" s="18" customFormat="1" ht="12.75" customHeight="1">
      <c r="A74" s="4168" t="s">
        <v>2809</v>
      </c>
      <c r="B74" s="4168"/>
      <c r="C74" s="4168"/>
      <c r="D74" s="4168"/>
      <c r="E74" s="4168"/>
      <c r="F74" s="855" t="s">
        <v>2810</v>
      </c>
      <c r="G74" s="4390" t="s">
        <v>2811</v>
      </c>
      <c r="H74" s="4390"/>
      <c r="I74" s="4390"/>
      <c r="J74" s="855" t="s">
        <v>2810</v>
      </c>
      <c r="K74" s="4394" t="s">
        <v>2812</v>
      </c>
      <c r="L74" s="4394"/>
      <c r="M74" s="4394"/>
      <c r="N74" s="4394"/>
      <c r="O74" s="4388" t="s">
        <v>2810</v>
      </c>
      <c r="P74" s="4389"/>
      <c r="Q74" s="43"/>
      <c r="R74" s="250"/>
      <c r="S74" s="82"/>
      <c r="T74" s="43"/>
    </row>
    <row r="75" spans="1:20" s="18" customFormat="1" ht="12.75" customHeight="1">
      <c r="A75" s="4387"/>
      <c r="B75" s="4387"/>
      <c r="C75" s="4387"/>
      <c r="D75" s="4387"/>
      <c r="E75" s="4387"/>
      <c r="F75" s="2809">
        <f>SUM(F76:F87)</f>
        <v>0</v>
      </c>
      <c r="G75" s="4391"/>
      <c r="H75" s="4392"/>
      <c r="I75" s="4393"/>
      <c r="J75" s="2809">
        <f>SUM(J76:J87)</f>
        <v>0</v>
      </c>
      <c r="K75" s="4395"/>
      <c r="L75" s="4396"/>
      <c r="M75" s="4396"/>
      <c r="N75" s="4397"/>
      <c r="O75" s="4379">
        <f>SUM(O76:O87)</f>
        <v>0</v>
      </c>
      <c r="P75" s="4380"/>
      <c r="Q75" s="250"/>
      <c r="R75" s="82"/>
      <c r="S75" s="43"/>
      <c r="T75" s="43"/>
    </row>
    <row r="76" spans="1:20" s="18" customFormat="1" ht="24.75" customHeight="1">
      <c r="A76" s="4381">
        <v>1</v>
      </c>
      <c r="B76" s="4382"/>
      <c r="C76" s="4382"/>
      <c r="D76" s="4382"/>
      <c r="E76" s="4383"/>
      <c r="F76" s="2810"/>
      <c r="G76" s="4381">
        <v>1</v>
      </c>
      <c r="H76" s="4382"/>
      <c r="I76" s="4383"/>
      <c r="J76" s="2811" t="s">
        <v>2135</v>
      </c>
      <c r="K76" s="4384">
        <v>1</v>
      </c>
      <c r="L76" s="4385"/>
      <c r="M76" s="4385"/>
      <c r="N76" s="4385"/>
      <c r="O76" s="4386" t="s">
        <v>2135</v>
      </c>
      <c r="P76" s="4734"/>
      <c r="Q76" s="248" t="s">
        <v>2401</v>
      </c>
      <c r="R76" s="82"/>
      <c r="S76" s="43"/>
      <c r="T76" s="43"/>
    </row>
    <row r="77" spans="1:20" s="18" customFormat="1" ht="24.75" customHeight="1">
      <c r="A77" s="4233">
        <v>2</v>
      </c>
      <c r="B77" s="4234"/>
      <c r="C77" s="4234"/>
      <c r="D77" s="4234"/>
      <c r="E77" s="4235"/>
      <c r="F77" s="512"/>
      <c r="G77" s="4233">
        <v>2</v>
      </c>
      <c r="H77" s="4234"/>
      <c r="I77" s="4235"/>
      <c r="J77" s="512"/>
      <c r="K77" s="4236">
        <v>2</v>
      </c>
      <c r="L77" s="4237"/>
      <c r="M77" s="4237"/>
      <c r="N77" s="4237"/>
      <c r="O77" s="4238"/>
      <c r="P77" s="4239"/>
      <c r="Q77" s="249"/>
      <c r="R77" s="82"/>
      <c r="S77" s="43"/>
      <c r="T77" s="43"/>
    </row>
    <row r="78" spans="1:20" s="18" customFormat="1" ht="24.75" customHeight="1">
      <c r="A78" s="4233">
        <v>3</v>
      </c>
      <c r="B78" s="4234"/>
      <c r="C78" s="4234"/>
      <c r="D78" s="4234"/>
      <c r="E78" s="4235"/>
      <c r="F78" s="512"/>
      <c r="G78" s="4233">
        <v>3</v>
      </c>
      <c r="H78" s="4234"/>
      <c r="I78" s="4235"/>
      <c r="J78" s="696" t="s">
        <v>2813</v>
      </c>
      <c r="K78" s="4236">
        <v>3</v>
      </c>
      <c r="L78" s="4237"/>
      <c r="M78" s="4237"/>
      <c r="N78" s="4237"/>
      <c r="O78" s="4212" t="s">
        <v>2813</v>
      </c>
      <c r="P78" s="4213"/>
      <c r="Q78" s="4210" t="s">
        <v>2814</v>
      </c>
      <c r="R78" s="4211"/>
      <c r="S78" s="858"/>
      <c r="T78" s="858"/>
    </row>
    <row r="79" spans="1:20" s="18" customFormat="1" ht="24.75" customHeight="1">
      <c r="A79" s="4233">
        <v>4</v>
      </c>
      <c r="B79" s="4234"/>
      <c r="C79" s="4234"/>
      <c r="D79" s="4234"/>
      <c r="E79" s="4235"/>
      <c r="F79" s="512"/>
      <c r="G79" s="4233">
        <v>4</v>
      </c>
      <c r="H79" s="4234"/>
      <c r="I79" s="4235"/>
      <c r="J79" s="512"/>
      <c r="K79" s="4236">
        <v>4</v>
      </c>
      <c r="L79" s="4237"/>
      <c r="M79" s="4237"/>
      <c r="N79" s="4237"/>
      <c r="O79" s="4212" t="s">
        <v>2813</v>
      </c>
      <c r="P79" s="4213"/>
      <c r="Q79" s="4210"/>
      <c r="R79" s="4211"/>
      <c r="S79" s="858"/>
      <c r="T79" s="858"/>
    </row>
    <row r="80" spans="1:20" s="18" customFormat="1" ht="24.75" customHeight="1">
      <c r="A80" s="4233">
        <v>5</v>
      </c>
      <c r="B80" s="4234"/>
      <c r="C80" s="4234"/>
      <c r="D80" s="4234"/>
      <c r="E80" s="4235"/>
      <c r="F80" s="512"/>
      <c r="G80" s="4233">
        <v>5</v>
      </c>
      <c r="H80" s="4234"/>
      <c r="I80" s="4235"/>
      <c r="J80" s="696" t="s">
        <v>2815</v>
      </c>
      <c r="K80" s="4236">
        <v>5</v>
      </c>
      <c r="L80" s="4237"/>
      <c r="M80" s="4237"/>
      <c r="N80" s="4237"/>
      <c r="O80" s="4238"/>
      <c r="P80" s="4239"/>
      <c r="Q80" s="4210"/>
      <c r="R80" s="4211"/>
      <c r="S80" s="858"/>
      <c r="T80" s="858"/>
    </row>
    <row r="81" spans="1:19" s="18" customFormat="1" ht="24" customHeight="1">
      <c r="A81" s="4233">
        <v>6</v>
      </c>
      <c r="B81" s="4234"/>
      <c r="C81" s="4234"/>
      <c r="D81" s="4234"/>
      <c r="E81" s="4235"/>
      <c r="F81" s="512"/>
      <c r="G81" s="4233">
        <v>6</v>
      </c>
      <c r="H81" s="4234"/>
      <c r="I81" s="4235"/>
      <c r="J81" s="512"/>
      <c r="K81" s="4236">
        <v>6</v>
      </c>
      <c r="L81" s="4237"/>
      <c r="M81" s="4237"/>
      <c r="N81" s="4237"/>
      <c r="O81" s="4238"/>
      <c r="P81" s="4239"/>
      <c r="Q81" s="4210"/>
      <c r="R81" s="4211"/>
      <c r="S81" s="43"/>
    </row>
    <row r="82" spans="1:19" s="18" customFormat="1" ht="24.75" customHeight="1">
      <c r="A82" s="4233">
        <v>7</v>
      </c>
      <c r="B82" s="4234"/>
      <c r="C82" s="4234"/>
      <c r="D82" s="4234"/>
      <c r="E82" s="4235"/>
      <c r="F82" s="512"/>
      <c r="G82" s="4233">
        <v>7</v>
      </c>
      <c r="H82" s="4234"/>
      <c r="I82" s="4235"/>
      <c r="J82" s="696" t="s">
        <v>2816</v>
      </c>
      <c r="K82" s="4236">
        <v>7</v>
      </c>
      <c r="L82" s="4237"/>
      <c r="M82" s="4237"/>
      <c r="N82" s="4237"/>
      <c r="O82" s="4238"/>
      <c r="P82" s="4239"/>
      <c r="Q82" s="82"/>
      <c r="R82" s="82"/>
      <c r="S82" s="43"/>
    </row>
    <row r="83" spans="1:19" s="18" customFormat="1" ht="24.75" customHeight="1">
      <c r="A83" s="4233">
        <v>8</v>
      </c>
      <c r="B83" s="4234"/>
      <c r="C83" s="4234"/>
      <c r="D83" s="4234"/>
      <c r="E83" s="4235"/>
      <c r="F83" s="512"/>
      <c r="G83" s="4233">
        <v>8</v>
      </c>
      <c r="H83" s="4234"/>
      <c r="I83" s="4235"/>
      <c r="J83" s="512"/>
      <c r="K83" s="4236">
        <v>8</v>
      </c>
      <c r="L83" s="4237"/>
      <c r="M83" s="4237"/>
      <c r="N83" s="4237"/>
      <c r="O83" s="4238"/>
      <c r="P83" s="4239"/>
      <c r="Q83" s="82"/>
      <c r="R83" s="82"/>
      <c r="S83" s="43"/>
    </row>
    <row r="84" spans="1:19" s="18" customFormat="1" ht="24.75" customHeight="1">
      <c r="A84" s="4233">
        <v>9</v>
      </c>
      <c r="B84" s="4234"/>
      <c r="C84" s="4234"/>
      <c r="D84" s="4234"/>
      <c r="E84" s="4235"/>
      <c r="F84" s="512"/>
      <c r="G84" s="4233">
        <v>9</v>
      </c>
      <c r="H84" s="4234"/>
      <c r="I84" s="4235"/>
      <c r="J84" s="696" t="s">
        <v>2817</v>
      </c>
      <c r="K84" s="4236">
        <v>9</v>
      </c>
      <c r="L84" s="4237"/>
      <c r="M84" s="4237"/>
      <c r="N84" s="4237"/>
      <c r="O84" s="4238"/>
      <c r="P84" s="4239"/>
      <c r="Q84" s="82"/>
      <c r="R84" s="82"/>
      <c r="S84" s="43"/>
    </row>
    <row r="85" spans="1:19" s="18" customFormat="1" ht="24.75" customHeight="1">
      <c r="A85" s="4233">
        <v>10</v>
      </c>
      <c r="B85" s="4234"/>
      <c r="C85" s="4234"/>
      <c r="D85" s="4234"/>
      <c r="E85" s="4235"/>
      <c r="F85" s="512"/>
      <c r="G85" s="4233">
        <v>10</v>
      </c>
      <c r="H85" s="4234"/>
      <c r="I85" s="4235"/>
      <c r="J85" s="512"/>
      <c r="K85" s="4236">
        <v>10</v>
      </c>
      <c r="L85" s="4237"/>
      <c r="M85" s="4237"/>
      <c r="N85" s="4237"/>
      <c r="O85" s="4238"/>
      <c r="P85" s="4239"/>
      <c r="Q85" s="82"/>
      <c r="R85" s="43"/>
      <c r="S85" s="43"/>
    </row>
    <row r="86" spans="1:19" s="18" customFormat="1" ht="24.75" customHeight="1">
      <c r="A86" s="4233">
        <v>11</v>
      </c>
      <c r="B86" s="4234"/>
      <c r="C86" s="4234"/>
      <c r="D86" s="4234"/>
      <c r="E86" s="4235"/>
      <c r="F86" s="512"/>
      <c r="G86" s="4233">
        <v>11</v>
      </c>
      <c r="H86" s="4234"/>
      <c r="I86" s="4235"/>
      <c r="J86" s="696" t="s">
        <v>2818</v>
      </c>
      <c r="K86" s="4233">
        <v>11</v>
      </c>
      <c r="L86" s="4234"/>
      <c r="M86" s="4234"/>
      <c r="N86" s="4235"/>
      <c r="O86" s="4238"/>
      <c r="P86" s="4239"/>
      <c r="Q86" s="82"/>
      <c r="R86" s="82"/>
      <c r="S86" s="43"/>
    </row>
    <row r="87" spans="1:19" s="18" customFormat="1" ht="24.75" customHeight="1">
      <c r="A87" s="4460">
        <v>12</v>
      </c>
      <c r="B87" s="4461"/>
      <c r="C87" s="4461"/>
      <c r="D87" s="4461"/>
      <c r="E87" s="4462"/>
      <c r="F87" s="513"/>
      <c r="G87" s="4460">
        <v>12</v>
      </c>
      <c r="H87" s="4461"/>
      <c r="I87" s="4462"/>
      <c r="J87" s="513"/>
      <c r="K87" s="4460">
        <v>12</v>
      </c>
      <c r="L87" s="4461"/>
      <c r="M87" s="4461"/>
      <c r="N87" s="4462"/>
      <c r="O87" s="4463"/>
      <c r="P87" s="4464"/>
      <c r="Q87" s="43"/>
      <c r="R87" s="43"/>
      <c r="S87" s="43"/>
    </row>
    <row r="88" spans="1:19" s="19" customFormat="1" ht="3" customHeight="1" thickBot="1">
      <c r="D88" s="13"/>
      <c r="E88" s="13"/>
      <c r="F88" s="2541"/>
      <c r="G88" s="2541"/>
      <c r="H88" s="2541"/>
      <c r="I88" s="2541"/>
      <c r="J88" s="16"/>
      <c r="K88" s="16"/>
      <c r="L88" s="16"/>
      <c r="M88" s="2584"/>
      <c r="N88" s="2541"/>
      <c r="O88" s="2535"/>
      <c r="P88" s="2"/>
    </row>
    <row r="89" spans="1:19" s="42" customFormat="1" ht="13.5" customHeight="1" thickBot="1">
      <c r="A89" s="79" t="s">
        <v>51</v>
      </c>
      <c r="B89" s="50" t="s">
        <v>1877</v>
      </c>
      <c r="E89" s="13"/>
      <c r="G89" s="38"/>
      <c r="I89" s="1138" t="s">
        <v>646</v>
      </c>
      <c r="J89" s="1192" t="e">
        <f>IF(OR($M$34="9% Credit Competitive Round only", $M$34="9% Credit &amp; HOME"),"9%",IF(OR($M$34="4% Credit/TE Bond", $M$34="4% Credit/TE Bond &amp; HOME", $M$34="4% Credit/TE Bond &amp; HOME NOFA", $M$34="4% Credit &amp; NHTF", $M$34="4% Credit &amp; NHTF &amp; HOME"),"4%",""))</f>
        <v>#REF!</v>
      </c>
      <c r="K89" s="1141" t="s">
        <v>829</v>
      </c>
      <c r="L89" s="1140" t="str">
        <f>$M$55</f>
        <v>&lt;&lt; Select Activity Type &gt;&gt;</v>
      </c>
      <c r="M89" s="2541">
        <v>3</v>
      </c>
      <c r="N89" s="32"/>
      <c r="O89" s="652" t="e">
        <f>IF(AND(O93&gt;0,O97&gt;0),"AorB?",MIN($M$89,O93+O97))</f>
        <v>#REF!</v>
      </c>
      <c r="P89" s="652" t="e">
        <f>IF(AND(P93&gt;0,P97&gt;0),"AorB?",MIN($M$89,P93+P97))</f>
        <v>#REF!</v>
      </c>
      <c r="Q89" s="53" t="s">
        <v>795</v>
      </c>
      <c r="S89" s="300"/>
    </row>
    <row r="90" spans="1:19" s="19" customFormat="1" ht="2.25" customHeight="1">
      <c r="A90" s="245"/>
      <c r="B90" s="55"/>
      <c r="E90" s="13"/>
      <c r="F90" s="19" t="s">
        <v>1879</v>
      </c>
      <c r="G90" s="39"/>
      <c r="H90" s="13"/>
      <c r="I90" s="21"/>
      <c r="K90" s="297"/>
      <c r="L90" s="514"/>
      <c r="M90" s="2541"/>
      <c r="N90" s="32"/>
      <c r="O90" s="2"/>
      <c r="P90" s="2"/>
      <c r="Q90" s="53"/>
      <c r="R90" s="209"/>
    </row>
    <row r="91" spans="1:19" s="19" customFormat="1" ht="13.5" customHeight="1">
      <c r="A91" s="72" t="s">
        <v>197</v>
      </c>
      <c r="B91" s="104" t="s">
        <v>2819</v>
      </c>
      <c r="E91" s="13"/>
      <c r="G91" s="39"/>
      <c r="H91" s="25" t="s">
        <v>649</v>
      </c>
      <c r="I91" s="906" t="e">
        <f>#REF!</f>
        <v>#REF!</v>
      </c>
      <c r="M91" s="2541"/>
      <c r="N91" s="32"/>
      <c r="P91" s="1498" t="e">
        <f>IF(AND(O89&gt;0,NOT($M$55="New Supply")), "Ineligible to score in this section, not New Supply!","")</f>
        <v>#REF!</v>
      </c>
      <c r="Q91" s="32"/>
      <c r="R91" s="209"/>
    </row>
    <row r="92" spans="1:19" s="42" customFormat="1" ht="9" customHeight="1">
      <c r="A92" s="72"/>
      <c r="B92" s="4258" t="s">
        <v>2820</v>
      </c>
      <c r="C92" s="4258"/>
      <c r="D92" s="4258"/>
      <c r="E92" s="4258"/>
      <c r="F92" s="4258"/>
      <c r="G92" s="4258"/>
      <c r="H92" s="4258"/>
      <c r="I92" s="4258"/>
      <c r="J92" s="4258"/>
      <c r="K92" s="4258"/>
      <c r="L92" s="4258"/>
      <c r="M92" s="2541"/>
      <c r="N92" s="32"/>
      <c r="Q92" s="32"/>
      <c r="R92" s="209"/>
    </row>
    <row r="93" spans="1:19" s="42" customFormat="1" ht="13.5" customHeight="1">
      <c r="B93" s="4258"/>
      <c r="C93" s="4258"/>
      <c r="D93" s="4258"/>
      <c r="E93" s="4258"/>
      <c r="F93" s="4258"/>
      <c r="G93" s="4258"/>
      <c r="H93" s="4258"/>
      <c r="I93" s="4258"/>
      <c r="J93" s="4258"/>
      <c r="K93" s="4258"/>
      <c r="L93" s="4258"/>
      <c r="M93" s="517">
        <v>2</v>
      </c>
      <c r="N93" s="217" t="s">
        <v>197</v>
      </c>
      <c r="O93" s="521" t="e">
        <f>IF(AND(OR($J$89="9%",$J$89="4%"),$L$89="New Supply"),MIN($M93,O94+O95),0)</f>
        <v>#REF!</v>
      </c>
      <c r="P93" s="521" t="e">
        <f>IF(NOT($J$89="9%"),0,MIN($M93, P94+P95))</f>
        <v>#REF!</v>
      </c>
    </row>
    <row r="94" spans="1:19" s="42" customFormat="1" ht="13.5" customHeight="1">
      <c r="A94" s="72"/>
      <c r="B94" s="872" t="s">
        <v>212</v>
      </c>
      <c r="C94" s="862" t="s">
        <v>1881</v>
      </c>
      <c r="D94" s="13"/>
      <c r="H94" s="13" t="s">
        <v>1882</v>
      </c>
      <c r="I94" s="861"/>
      <c r="J94" s="908" t="e">
        <f>#REF!</f>
        <v>#REF!</v>
      </c>
      <c r="L94" s="4286" t="str">
        <f>IF(AND(O94&gt;0,O95&gt;0), "CHOOSE EITHER A OR B, NOT BOTH!", "")</f>
        <v/>
      </c>
      <c r="M94" s="2659">
        <v>2</v>
      </c>
      <c r="N94" s="101" t="s">
        <v>212</v>
      </c>
      <c r="O94" s="2594"/>
      <c r="P94" s="2604"/>
      <c r="Q94" s="890" t="str">
        <f>IF(OR($O94=$M94,$O94=0,$O94=""),"","*CHECK!*")</f>
        <v/>
      </c>
      <c r="R94" s="606" t="s">
        <v>2821</v>
      </c>
    </row>
    <row r="95" spans="1:19" s="42" customFormat="1" ht="13.5" customHeight="1">
      <c r="A95" s="288" t="s">
        <v>2822</v>
      </c>
      <c r="B95" s="872" t="s">
        <v>220</v>
      </c>
      <c r="C95" s="862" t="s">
        <v>1883</v>
      </c>
      <c r="D95" s="13"/>
      <c r="I95" s="861"/>
      <c r="K95" s="13"/>
      <c r="L95" s="4286"/>
      <c r="M95" s="2659">
        <v>2</v>
      </c>
      <c r="N95" s="101" t="s">
        <v>220</v>
      </c>
      <c r="O95" s="298"/>
      <c r="P95" s="305"/>
      <c r="Q95" s="890" t="str">
        <f>IF(OR($O95=$M95,$O95=0,$O95=""),"","*CHECK!*")</f>
        <v/>
      </c>
      <c r="R95" s="606" t="s">
        <v>2821</v>
      </c>
    </row>
    <row r="96" spans="1:19" s="19" customFormat="1" ht="6.75" customHeight="1">
      <c r="A96" s="336"/>
      <c r="B96" s="333"/>
      <c r="C96" s="334"/>
      <c r="D96" s="73"/>
      <c r="K96" s="518"/>
      <c r="L96" s="518"/>
      <c r="M96" s="2659"/>
      <c r="N96" s="217"/>
      <c r="O96" s="520"/>
      <c r="P96" s="520"/>
    </row>
    <row r="97" spans="1:18" s="19" customFormat="1" ht="13.5" customHeight="1">
      <c r="A97" s="72" t="s">
        <v>209</v>
      </c>
      <c r="B97" s="104" t="s">
        <v>2823</v>
      </c>
      <c r="E97" s="25"/>
      <c r="H97" s="4492" t="s">
        <v>2824</v>
      </c>
      <c r="I97" s="4493"/>
      <c r="J97" s="865" t="s">
        <v>2825</v>
      </c>
      <c r="M97" s="517">
        <v>3</v>
      </c>
      <c r="N97" s="84" t="s">
        <v>209</v>
      </c>
      <c r="O97" s="521" t="e">
        <f>IF(AND(O98="Yes", O99="Yes"),$M$97,0)</f>
        <v>#REF!</v>
      </c>
      <c r="P97" s="521" t="e">
        <f>IF(AND(P98="Yes", P99="Yes"),$M$97,0)</f>
        <v>#REF!</v>
      </c>
    </row>
    <row r="98" spans="1:18" s="19" customFormat="1" ht="13.5" customHeight="1">
      <c r="A98" s="240"/>
      <c r="B98" s="872" t="s">
        <v>212</v>
      </c>
      <c r="C98" s="863">
        <v>0.3</v>
      </c>
      <c r="D98" s="568" t="s">
        <v>2826</v>
      </c>
      <c r="E98" s="25"/>
      <c r="F98" s="264"/>
      <c r="H98" s="700"/>
      <c r="I98" s="701"/>
      <c r="J98" s="864" t="e">
        <f>#REF!</f>
        <v>#REF!</v>
      </c>
      <c r="K98" s="1443" t="e">
        <f>IF(OR(#REF!="",#REF!= 0),0,H98/#REF!)</f>
        <v>#REF!</v>
      </c>
      <c r="L98" s="1444" t="e">
        <f>IF(OR(#REF!="",#REF!= 0),0,I98/#REF!)</f>
        <v>#REF!</v>
      </c>
      <c r="M98" s="2659"/>
      <c r="N98" s="217" t="s">
        <v>212</v>
      </c>
      <c r="O98" s="2812" t="e">
        <f>IF(AND(K98 &gt;= $C$98,O99="Yes"),"Yes","No")</f>
        <v>#REF!</v>
      </c>
      <c r="P98" s="2812" t="e">
        <f>IF(AND(L98 &gt;= $C$98,P99="Yes"),"Yes","No")</f>
        <v>#REF!</v>
      </c>
    </row>
    <row r="99" spans="1:18" s="19" customFormat="1" ht="13.5" customHeight="1">
      <c r="A99" s="336"/>
      <c r="B99" s="872" t="s">
        <v>220</v>
      </c>
      <c r="C99" s="274" t="s">
        <v>2827</v>
      </c>
      <c r="E99" s="542"/>
      <c r="F99" s="264"/>
      <c r="I99" s="14"/>
      <c r="J99" s="14"/>
      <c r="K99" s="14"/>
      <c r="L99" s="14"/>
      <c r="M99" s="14"/>
      <c r="N99" s="217" t="s">
        <v>220</v>
      </c>
      <c r="O99" s="118"/>
      <c r="P99" s="308"/>
    </row>
    <row r="100" spans="1:18" s="19" customFormat="1" ht="10.5" customHeight="1">
      <c r="A100" s="43"/>
      <c r="B100" s="45" t="s">
        <v>1447</v>
      </c>
      <c r="D100" s="37"/>
      <c r="E100" s="2574"/>
      <c r="F100" s="2574"/>
      <c r="G100" s="2574"/>
      <c r="H100" s="2574"/>
      <c r="I100" s="2574"/>
      <c r="J100" s="2574"/>
      <c r="K100" s="2574"/>
      <c r="L100" s="2574"/>
      <c r="M100" s="2574"/>
      <c r="N100" s="2813"/>
      <c r="O100" s="31"/>
      <c r="P100" s="2541"/>
    </row>
    <row r="101" spans="1:18" s="19" customFormat="1" ht="22.5" customHeight="1">
      <c r="A101" s="3999"/>
      <c r="B101" s="4000"/>
      <c r="C101" s="4000"/>
      <c r="D101" s="4000"/>
      <c r="E101" s="4000"/>
      <c r="F101" s="4000"/>
      <c r="G101" s="4000"/>
      <c r="H101" s="4000"/>
      <c r="I101" s="4000"/>
      <c r="J101" s="4000"/>
      <c r="K101" s="4000"/>
      <c r="L101" s="4000"/>
      <c r="M101" s="4000"/>
      <c r="N101" s="4000"/>
      <c r="O101" s="4000"/>
      <c r="P101" s="4001"/>
      <c r="Q101" s="248"/>
    </row>
    <row r="102" spans="1:18" ht="7.5" customHeight="1" thickBot="1">
      <c r="N102" s="58"/>
      <c r="O102" s="2535"/>
      <c r="P102" s="2535"/>
    </row>
    <row r="103" spans="1:18" s="19" customFormat="1" ht="13.5" customHeight="1" thickBot="1">
      <c r="A103" s="79" t="s">
        <v>68</v>
      </c>
      <c r="B103" s="50" t="s">
        <v>1889</v>
      </c>
      <c r="D103" s="17"/>
      <c r="K103" s="1141" t="s">
        <v>829</v>
      </c>
      <c r="L103" s="1140" t="str">
        <f>M55</f>
        <v>&lt;&lt; Select Activity Type &gt;&gt;</v>
      </c>
      <c r="M103" s="2541" t="e">
        <f>IF(AND($P$37="4%",$M$55="New Supply"),$H$38,IF(AND($P$37="4%",$M$55="Preservation"),$I$38,$G$38))</f>
        <v>#REF!</v>
      </c>
      <c r="N103" s="28"/>
      <c r="O103" s="652">
        <f>IF(OR($M106-O107&lt;0,O106-O107&lt;0),0,IF(O106&lt;=$M106,O106-O107,IF(O106&gt;$M106,$M106-O107,0)))</f>
        <v>0</v>
      </c>
      <c r="P103" s="652">
        <f>IF(OR($M106-P107&lt;0,P106-P107&lt;0),0,IF(P106&lt;=$M106,P106-P107,IF(P106&gt;$M106,$M106-P107,0)))</f>
        <v>0</v>
      </c>
      <c r="Q103" s="53" t="s">
        <v>795</v>
      </c>
    </row>
    <row r="104" spans="1:18" s="19" customFormat="1" ht="15">
      <c r="A104" s="43"/>
      <c r="B104" s="150" t="s">
        <v>2828</v>
      </c>
      <c r="D104" s="13"/>
      <c r="E104" s="13"/>
      <c r="F104" s="2541"/>
      <c r="G104" s="2541"/>
      <c r="H104" s="142"/>
      <c r="I104" s="142"/>
      <c r="J104" s="142"/>
      <c r="K104" s="142"/>
      <c r="M104" s="2584"/>
      <c r="N104" s="2541"/>
      <c r="O104" s="2535"/>
      <c r="P104" s="288" t="str">
        <f>IF(AND(O103&gt;0,NOT($M$55="New Supply")), "Ineligible to score in this section, not New Supply!","")</f>
        <v/>
      </c>
    </row>
    <row r="105" spans="1:18" s="42" customFormat="1" ht="12.75" customHeight="1">
      <c r="A105" s="72"/>
      <c r="B105" s="13" t="s">
        <v>2829</v>
      </c>
      <c r="D105" s="11"/>
      <c r="N105" s="28"/>
      <c r="O105" s="2800"/>
      <c r="P105" s="2814"/>
    </row>
    <row r="106" spans="1:18" s="42" customFormat="1" ht="12.75" customHeight="1">
      <c r="A106" s="72" t="s">
        <v>197</v>
      </c>
      <c r="B106" s="92" t="s">
        <v>1890</v>
      </c>
      <c r="C106" s="3"/>
      <c r="D106" s="3"/>
      <c r="F106" s="151"/>
      <c r="H106" s="497" t="s">
        <v>2830</v>
      </c>
      <c r="I106" s="4465" t="s">
        <v>2831</v>
      </c>
      <c r="J106" s="4466"/>
      <c r="K106" s="4466"/>
      <c r="L106" s="4467"/>
      <c r="M106" s="2659">
        <v>20</v>
      </c>
      <c r="N106" s="101" t="s">
        <v>197</v>
      </c>
      <c r="O106" s="1331"/>
      <c r="P106" s="1332"/>
      <c r="Q106" s="890"/>
      <c r="R106" s="606" t="s">
        <v>2821</v>
      </c>
    </row>
    <row r="107" spans="1:18" s="42" customFormat="1" ht="12.75" customHeight="1">
      <c r="A107" s="72" t="s">
        <v>209</v>
      </c>
      <c r="B107" s="92" t="s">
        <v>1891</v>
      </c>
      <c r="D107" s="662"/>
      <c r="F107" s="907"/>
      <c r="H107" s="497" t="s">
        <v>2832</v>
      </c>
      <c r="I107" s="4468"/>
      <c r="J107" s="4378"/>
      <c r="K107" s="4378"/>
      <c r="L107" s="4469"/>
      <c r="M107" s="2584" t="s">
        <v>1892</v>
      </c>
      <c r="N107" s="28" t="s">
        <v>209</v>
      </c>
      <c r="O107" s="1333"/>
      <c r="P107" s="1334"/>
      <c r="R107" s="606" t="s">
        <v>2821</v>
      </c>
    </row>
    <row r="108" spans="1:18" s="19" customFormat="1" ht="12.75" customHeight="1" thickBot="1">
      <c r="A108" s="43"/>
      <c r="B108" s="699" t="s">
        <v>2833</v>
      </c>
      <c r="C108" s="43"/>
      <c r="D108" s="48"/>
      <c r="E108" s="48"/>
      <c r="F108" s="48"/>
      <c r="G108" s="48"/>
      <c r="H108" s="13"/>
      <c r="I108" s="4470"/>
      <c r="J108" s="4471"/>
      <c r="K108" s="4471"/>
      <c r="L108" s="4472"/>
      <c r="M108" s="32"/>
      <c r="N108" s="58"/>
      <c r="O108" s="2"/>
      <c r="P108" s="2535"/>
    </row>
    <row r="109" spans="1:18" s="19" customFormat="1" ht="90" customHeight="1" thickTop="1" thickBot="1">
      <c r="A109" s="4291"/>
      <c r="B109" s="4292"/>
      <c r="C109" s="4292"/>
      <c r="D109" s="4292"/>
      <c r="E109" s="4292"/>
      <c r="F109" s="4292"/>
      <c r="G109" s="4292"/>
      <c r="H109" s="4292"/>
      <c r="I109" s="4292"/>
      <c r="J109" s="4292"/>
      <c r="K109" s="4292"/>
      <c r="L109" s="4292"/>
      <c r="M109" s="4292"/>
      <c r="N109" s="4292"/>
      <c r="O109" s="4292"/>
      <c r="P109" s="4293"/>
      <c r="Q109" s="249" t="s">
        <v>2401</v>
      </c>
      <c r="R109" s="249"/>
    </row>
    <row r="110" spans="1:18" s="19" customFormat="1" ht="11.65" customHeight="1" thickTop="1">
      <c r="A110" s="43"/>
      <c r="B110" s="23" t="s">
        <v>1447</v>
      </c>
      <c r="C110" s="43"/>
      <c r="D110" s="70"/>
      <c r="E110" s="2574"/>
      <c r="F110" s="2574"/>
      <c r="G110" s="2574"/>
      <c r="H110" s="2574"/>
      <c r="I110" s="2574"/>
      <c r="J110" s="2574"/>
      <c r="K110" s="2574"/>
      <c r="L110" s="2574"/>
      <c r="M110" s="2574"/>
      <c r="N110" s="2813"/>
      <c r="O110" s="31"/>
      <c r="P110" s="2541"/>
    </row>
    <row r="111" spans="1:18" s="19" customFormat="1" ht="90" customHeight="1">
      <c r="A111" s="3999"/>
      <c r="B111" s="4000"/>
      <c r="C111" s="4000"/>
      <c r="D111" s="4000"/>
      <c r="E111" s="4000"/>
      <c r="F111" s="4000"/>
      <c r="G111" s="4000"/>
      <c r="H111" s="4000"/>
      <c r="I111" s="4000"/>
      <c r="J111" s="4000"/>
      <c r="K111" s="4000"/>
      <c r="L111" s="4000"/>
      <c r="M111" s="4000"/>
      <c r="N111" s="4000"/>
      <c r="O111" s="4000"/>
      <c r="P111" s="4001"/>
      <c r="Q111" s="248"/>
      <c r="R111" s="249"/>
    </row>
    <row r="112" spans="1:18" ht="7.5" customHeight="1" thickBot="1">
      <c r="M112" s="11"/>
      <c r="N112" s="32"/>
      <c r="O112" s="2541"/>
      <c r="P112" s="2541"/>
    </row>
    <row r="113" spans="1:21" s="19" customFormat="1" ht="13.5" customHeight="1" thickBot="1">
      <c r="A113" s="79" t="s">
        <v>77</v>
      </c>
      <c r="B113" s="50" t="s">
        <v>1894</v>
      </c>
      <c r="D113" s="17"/>
      <c r="H113" s="1139" t="s">
        <v>2834</v>
      </c>
      <c r="I113" s="1203" t="s">
        <v>1756</v>
      </c>
      <c r="J113" s="1140" t="str">
        <f>M60</f>
        <v>&lt;&lt; Select Pool &gt;&gt;</v>
      </c>
      <c r="K113" s="1141" t="s">
        <v>829</v>
      </c>
      <c r="L113" s="1140" t="str">
        <f>M55</f>
        <v>&lt;&lt; Select Activity Type &gt;&gt;</v>
      </c>
      <c r="M113" s="2541">
        <v>6</v>
      </c>
      <c r="N113" s="28"/>
      <c r="O113" s="1195">
        <f>MAX(O131,O138)</f>
        <v>0</v>
      </c>
      <c r="P113" s="1195">
        <f>MAX(P131,P138)</f>
        <v>0</v>
      </c>
      <c r="Q113" s="53" t="s">
        <v>795</v>
      </c>
      <c r="R113" s="661"/>
      <c r="S113" s="661"/>
      <c r="T113" s="661"/>
      <c r="U113" s="661"/>
    </row>
    <row r="114" spans="1:21" s="19" customFormat="1" ht="17.25" customHeight="1">
      <c r="A114" s="79"/>
      <c r="B114" s="48" t="s">
        <v>2835</v>
      </c>
      <c r="D114" s="17"/>
      <c r="H114" s="92"/>
      <c r="L114" s="1489" t="str">
        <f>IF(AND(O113&gt;0,NOT($M$55="New Supply")), "Ineligible to score in this section, not New Supply!","")</f>
        <v/>
      </c>
      <c r="M114" s="2541"/>
      <c r="N114" s="28"/>
      <c r="O114" s="2542" t="s">
        <v>2836</v>
      </c>
      <c r="P114" s="2542" t="s">
        <v>1783</v>
      </c>
      <c r="Q114" s="53"/>
      <c r="R114" s="661"/>
      <c r="S114" s="661"/>
      <c r="T114" s="661"/>
      <c r="U114" s="661"/>
    </row>
    <row r="115" spans="1:21" s="19" customFormat="1" ht="11.25" customHeight="1">
      <c r="A115" s="79"/>
      <c r="B115" s="208" t="s">
        <v>212</v>
      </c>
      <c r="C115" s="13" t="s">
        <v>2837</v>
      </c>
      <c r="D115" s="662"/>
      <c r="E115" s="42"/>
      <c r="F115" s="42"/>
      <c r="G115" s="42"/>
      <c r="H115" s="21"/>
      <c r="I115" s="23"/>
      <c r="M115" s="2541"/>
      <c r="N115" s="28"/>
      <c r="O115" s="935"/>
      <c r="P115" s="936"/>
      <c r="Q115" s="53"/>
      <c r="R115" s="661"/>
      <c r="S115" s="661"/>
      <c r="T115" s="661"/>
      <c r="U115" s="661"/>
    </row>
    <row r="116" spans="1:21" s="19" customFormat="1" ht="11.25" customHeight="1">
      <c r="A116" s="79"/>
      <c r="B116" s="208" t="s">
        <v>220</v>
      </c>
      <c r="C116" s="13" t="s">
        <v>2838</v>
      </c>
      <c r="D116" s="662"/>
      <c r="E116" s="42"/>
      <c r="F116" s="42"/>
      <c r="G116" s="42"/>
      <c r="H116" s="21"/>
      <c r="I116" s="23"/>
      <c r="J116" s="48"/>
      <c r="K116" s="48"/>
      <c r="L116" s="42"/>
      <c r="M116" s="42"/>
      <c r="N116" s="28"/>
      <c r="O116" s="202"/>
      <c r="P116" s="307"/>
      <c r="Q116" s="53"/>
      <c r="R116" s="661"/>
      <c r="S116" s="661"/>
      <c r="T116" s="661"/>
      <c r="U116" s="661"/>
    </row>
    <row r="117" spans="1:21" s="19" customFormat="1" ht="11.25" customHeight="1">
      <c r="A117" s="79"/>
      <c r="B117" s="208" t="s">
        <v>224</v>
      </c>
      <c r="C117" s="13" t="s">
        <v>2839</v>
      </c>
      <c r="D117" s="662"/>
      <c r="E117" s="42"/>
      <c r="F117" s="42"/>
      <c r="G117" s="42"/>
      <c r="H117" s="21"/>
      <c r="I117" s="23"/>
      <c r="J117" s="48"/>
      <c r="K117" s="48"/>
      <c r="L117" s="42"/>
      <c r="M117" s="42"/>
      <c r="N117" s="28"/>
      <c r="O117" s="202"/>
      <c r="P117" s="307"/>
      <c r="Q117" s="53"/>
      <c r="R117" s="661"/>
      <c r="S117" s="661"/>
      <c r="T117" s="661"/>
      <c r="U117" s="661"/>
    </row>
    <row r="118" spans="1:21" s="19" customFormat="1" ht="11.25" customHeight="1">
      <c r="A118" s="79"/>
      <c r="B118" s="208" t="s">
        <v>264</v>
      </c>
      <c r="C118" s="13" t="s">
        <v>2840</v>
      </c>
      <c r="D118" s="662"/>
      <c r="E118" s="42"/>
      <c r="F118" s="42"/>
      <c r="G118" s="42"/>
      <c r="H118" s="21"/>
      <c r="I118" s="23"/>
      <c r="J118" s="48"/>
      <c r="K118" s="48"/>
      <c r="L118" s="42"/>
      <c r="M118" s="42"/>
      <c r="N118" s="28"/>
      <c r="O118" s="202"/>
      <c r="P118" s="307"/>
      <c r="Q118" s="53"/>
      <c r="R118" s="661"/>
      <c r="S118" s="661"/>
      <c r="T118" s="661"/>
      <c r="U118" s="661"/>
    </row>
    <row r="119" spans="1:21" s="19" customFormat="1" ht="11.25" customHeight="1">
      <c r="A119" s="79"/>
      <c r="B119" s="208">
        <v>5</v>
      </c>
      <c r="C119" s="13" t="s">
        <v>2841</v>
      </c>
      <c r="D119" s="662"/>
      <c r="E119" s="42"/>
      <c r="F119" s="42"/>
      <c r="G119" s="42"/>
      <c r="H119" s="21"/>
      <c r="I119" s="23"/>
      <c r="J119" s="48"/>
      <c r="K119" s="48"/>
      <c r="L119" s="42"/>
      <c r="M119" s="42"/>
      <c r="N119" s="28"/>
      <c r="O119" s="118"/>
      <c r="P119" s="308"/>
      <c r="Q119" s="53"/>
      <c r="R119" s="661"/>
      <c r="S119" s="661"/>
      <c r="T119" s="661"/>
      <c r="U119" s="661"/>
    </row>
    <row r="120" spans="1:21" s="19" customFormat="1" ht="3" customHeight="1">
      <c r="A120" s="79"/>
      <c r="C120" s="13"/>
      <c r="D120" s="662"/>
      <c r="E120" s="42"/>
      <c r="F120" s="42"/>
      <c r="G120" s="42"/>
      <c r="H120" s="21"/>
      <c r="I120" s="23"/>
      <c r="J120" s="48"/>
      <c r="K120" s="48"/>
      <c r="L120" s="42"/>
      <c r="M120" s="42"/>
      <c r="N120" s="28"/>
      <c r="O120" s="28"/>
      <c r="P120" s="28"/>
      <c r="Q120" s="53"/>
      <c r="R120" s="661"/>
      <c r="S120" s="661"/>
      <c r="T120" s="661"/>
      <c r="U120" s="661"/>
    </row>
    <row r="121" spans="1:21" s="19" customFormat="1" ht="11.25" customHeight="1">
      <c r="A121" s="79"/>
      <c r="B121" s="1400" t="s">
        <v>2842</v>
      </c>
      <c r="C121" s="13"/>
      <c r="D121" s="662"/>
      <c r="E121" s="42"/>
      <c r="F121" s="42"/>
      <c r="G121" s="42"/>
      <c r="H121" s="21"/>
      <c r="I121" s="23"/>
      <c r="J121" s="48"/>
      <c r="K121" s="48"/>
      <c r="L121" s="42"/>
      <c r="M121" s="42"/>
      <c r="N121" s="28"/>
      <c r="O121" s="28"/>
      <c r="P121" s="28"/>
      <c r="Q121" s="53"/>
      <c r="R121" s="661"/>
      <c r="S121" s="661"/>
      <c r="T121" s="661"/>
      <c r="U121" s="661"/>
    </row>
    <row r="122" spans="1:21" s="19" customFormat="1" ht="1.5" customHeight="1">
      <c r="A122" s="79"/>
      <c r="B122" s="50"/>
      <c r="D122" s="17"/>
      <c r="H122" s="21"/>
      <c r="I122" s="23"/>
      <c r="J122" s="48"/>
      <c r="K122" s="48"/>
      <c r="M122" s="2541"/>
      <c r="N122" s="28"/>
      <c r="O122" s="2"/>
      <c r="P122" s="2"/>
      <c r="Q122" s="53"/>
      <c r="R122" s="661"/>
      <c r="S122" s="661"/>
      <c r="T122" s="661"/>
      <c r="U122" s="661"/>
    </row>
    <row r="123" spans="1:21" s="19" customFormat="1" ht="12.75" customHeight="1">
      <c r="A123" s="79"/>
      <c r="B123" s="48" t="s">
        <v>1895</v>
      </c>
      <c r="D123" s="17"/>
      <c r="F123" s="4418" t="s">
        <v>1896</v>
      </c>
      <c r="G123" s="4418"/>
      <c r="H123" s="4418"/>
      <c r="I123" s="4418"/>
      <c r="J123" s="4418" t="s">
        <v>1897</v>
      </c>
      <c r="K123" s="4418"/>
      <c r="L123" s="4418"/>
      <c r="M123" s="4418"/>
      <c r="N123" s="28"/>
      <c r="O123" s="4419" t="s">
        <v>2843</v>
      </c>
      <c r="P123" s="4420"/>
      <c r="Q123" s="53"/>
      <c r="R123" s="661"/>
      <c r="S123" s="661"/>
      <c r="T123" s="661"/>
      <c r="U123" s="661"/>
    </row>
    <row r="124" spans="1:21" s="19" customFormat="1" ht="12" customHeight="1">
      <c r="B124" s="1400"/>
      <c r="C124" s="861" t="s">
        <v>2844</v>
      </c>
      <c r="E124" s="135"/>
      <c r="F124" s="4423"/>
      <c r="G124" s="4424"/>
      <c r="H124" s="4421"/>
      <c r="I124" s="4422"/>
      <c r="J124" s="4423"/>
      <c r="K124" s="4424"/>
      <c r="L124" s="4421"/>
      <c r="M124" s="4422"/>
      <c r="N124" s="28"/>
      <c r="Q124" s="53"/>
      <c r="R124" s="661"/>
      <c r="S124" s="661"/>
      <c r="T124" s="661"/>
      <c r="U124" s="661"/>
    </row>
    <row r="125" spans="1:21" s="19" customFormat="1" ht="12" customHeight="1">
      <c r="A125" s="1400"/>
      <c r="B125" s="1400"/>
      <c r="C125" s="1400"/>
      <c r="D125" s="146"/>
      <c r="E125" s="1399" t="s">
        <v>2845</v>
      </c>
      <c r="F125" s="4289"/>
      <c r="G125" s="4290"/>
      <c r="H125" s="4278"/>
      <c r="I125" s="4279"/>
      <c r="J125" s="4289"/>
      <c r="K125" s="4290"/>
      <c r="L125" s="4278"/>
      <c r="M125" s="4279"/>
      <c r="N125" s="28"/>
      <c r="O125" s="939"/>
      <c r="P125" s="683"/>
      <c r="Q125" s="53"/>
      <c r="R125" s="661"/>
      <c r="S125" s="661"/>
      <c r="T125" s="661"/>
      <c r="U125" s="661"/>
    </row>
    <row r="126" spans="1:21" s="19" customFormat="1" ht="12" customHeight="1">
      <c r="A126" s="4301" t="s">
        <v>2846</v>
      </c>
      <c r="B126" s="4301"/>
      <c r="C126" s="861" t="s">
        <v>2847</v>
      </c>
      <c r="E126" s="135"/>
      <c r="F126" s="4294"/>
      <c r="G126" s="4295"/>
      <c r="H126" s="4214"/>
      <c r="I126" s="4215"/>
      <c r="J126" s="4294"/>
      <c r="K126" s="4295"/>
      <c r="L126" s="4214"/>
      <c r="M126" s="4215"/>
      <c r="N126" s="28"/>
      <c r="O126" s="28"/>
      <c r="P126" s="28"/>
      <c r="Q126" s="53"/>
      <c r="R126" s="661"/>
      <c r="S126" s="661"/>
      <c r="T126" s="661"/>
      <c r="U126" s="661"/>
    </row>
    <row r="127" spans="1:21" s="19" customFormat="1" ht="12" customHeight="1">
      <c r="A127" s="4301"/>
      <c r="B127" s="4301"/>
      <c r="C127" s="146"/>
      <c r="D127" s="146"/>
      <c r="E127" s="1399" t="s">
        <v>2848</v>
      </c>
      <c r="F127" s="4287"/>
      <c r="G127" s="4288"/>
      <c r="H127" s="4273"/>
      <c r="I127" s="4274"/>
      <c r="J127" s="4287"/>
      <c r="K127" s="4288"/>
      <c r="L127" s="4273"/>
      <c r="M127" s="4274"/>
      <c r="N127" s="28"/>
      <c r="O127" s="939"/>
      <c r="P127" s="683"/>
      <c r="Q127" s="53"/>
      <c r="R127" s="661"/>
      <c r="S127" s="661"/>
      <c r="T127" s="661"/>
      <c r="U127" s="661"/>
    </row>
    <row r="128" spans="1:21" s="19" customFormat="1" ht="9" customHeight="1">
      <c r="A128" s="79"/>
      <c r="B128" s="50"/>
      <c r="D128" s="17"/>
      <c r="H128" s="21"/>
      <c r="I128" s="23"/>
      <c r="J128" s="48"/>
      <c r="K128" s="48"/>
      <c r="M128" s="2541"/>
      <c r="N128" s="28"/>
      <c r="O128" s="2"/>
      <c r="P128" s="2"/>
      <c r="Q128" s="53"/>
      <c r="R128" s="661"/>
      <c r="S128" s="661"/>
      <c r="T128" s="661"/>
      <c r="U128" s="661"/>
    </row>
    <row r="129" spans="1:21" s="19" customFormat="1" ht="12.6" customHeight="1">
      <c r="A129" s="1485" t="s">
        <v>2849</v>
      </c>
      <c r="B129" s="50"/>
      <c r="D129" s="17"/>
      <c r="I129" s="4297" t="str">
        <f>IF(AND(O131&gt;0,O138&gt;0),"Pick A or B, not both!","")</f>
        <v/>
      </c>
      <c r="J129" s="4297"/>
      <c r="K129" s="4297" t="str">
        <f>IF(AND(P131&gt;0,P138&gt;0),"Pick A or B, not both!","")</f>
        <v/>
      </c>
      <c r="L129" s="4297"/>
      <c r="M129" s="2541"/>
      <c r="N129" s="2541"/>
      <c r="O129" s="2541"/>
      <c r="P129" s="2541"/>
      <c r="Q129" s="53"/>
      <c r="R129" s="661"/>
      <c r="S129" s="661"/>
      <c r="T129" s="661"/>
      <c r="U129" s="661"/>
    </row>
    <row r="130" spans="1:21" s="19" customFormat="1" ht="2.25" customHeight="1">
      <c r="A130" s="291"/>
      <c r="B130" s="50"/>
      <c r="D130" s="17"/>
      <c r="F130" s="27"/>
      <c r="M130" s="2541"/>
      <c r="N130" s="2541"/>
      <c r="O130" s="2541"/>
      <c r="P130" s="2541"/>
      <c r="Q130" s="53"/>
      <c r="R130" s="661"/>
      <c r="S130" s="661"/>
      <c r="T130" s="661"/>
      <c r="U130" s="661"/>
    </row>
    <row r="131" spans="1:21" s="19" customFormat="1" ht="12.6" customHeight="1">
      <c r="A131" s="76" t="s">
        <v>197</v>
      </c>
      <c r="B131" s="92" t="s">
        <v>1909</v>
      </c>
      <c r="D131" s="17"/>
      <c r="F131" s="699" t="s">
        <v>2850</v>
      </c>
      <c r="M131" s="2541">
        <v>6</v>
      </c>
      <c r="N131" s="217" t="s">
        <v>197</v>
      </c>
      <c r="O131" s="2815">
        <f>IF(OR($J$113="Atlanta Metro",$J$113="Other Metro"),MIN($M131,O133+O134),0)</f>
        <v>0</v>
      </c>
      <c r="P131" s="2815">
        <f>IF(OR($J$113="Atlanta Metro",$J$113="Other Metro"),MIN($M131,P133+P134),0)</f>
        <v>0</v>
      </c>
      <c r="Q131" s="53"/>
    </row>
    <row r="132" spans="1:21" s="19" customFormat="1" ht="12.6" customHeight="1">
      <c r="A132" s="76"/>
      <c r="B132" s="13" t="s">
        <v>2851</v>
      </c>
      <c r="D132" s="17"/>
      <c r="F132" s="21"/>
      <c r="M132" s="2541"/>
      <c r="N132" s="217"/>
      <c r="O132" s="118"/>
      <c r="P132" s="308"/>
      <c r="Q132" s="53"/>
    </row>
    <row r="133" spans="1:21" s="228" customFormat="1" ht="25.5" customHeight="1">
      <c r="B133" s="244" t="s">
        <v>212</v>
      </c>
      <c r="C133" s="4417" t="s">
        <v>2852</v>
      </c>
      <c r="D133" s="4417"/>
      <c r="E133" s="4417"/>
      <c r="F133" s="4417"/>
      <c r="G133" s="4417"/>
      <c r="H133" s="4417"/>
      <c r="I133" s="4417"/>
      <c r="J133" s="4417"/>
      <c r="K133" s="4417"/>
      <c r="L133" s="4417"/>
      <c r="M133" s="1409">
        <v>6</v>
      </c>
      <c r="N133" s="268" t="s">
        <v>212</v>
      </c>
      <c r="O133" s="2603"/>
      <c r="P133" s="1470"/>
      <c r="Q133" s="890"/>
      <c r="R133" s="606" t="s">
        <v>2821</v>
      </c>
    </row>
    <row r="134" spans="1:21" s="228" customFormat="1" ht="12" customHeight="1">
      <c r="A134" s="336" t="s">
        <v>338</v>
      </c>
      <c r="B134" s="244" t="s">
        <v>220</v>
      </c>
      <c r="C134" s="3379" t="s">
        <v>2853</v>
      </c>
      <c r="D134" s="3379"/>
      <c r="E134" s="3379"/>
      <c r="F134" s="3379"/>
      <c r="G134" s="650"/>
      <c r="J134" s="4425" t="s">
        <v>2854</v>
      </c>
      <c r="K134" s="4426"/>
      <c r="L134" s="4735"/>
      <c r="M134" s="2659">
        <v>5</v>
      </c>
      <c r="N134" s="242" t="s">
        <v>220</v>
      </c>
      <c r="O134" s="1482"/>
      <c r="P134" s="1483"/>
      <c r="Q134" s="1372" t="s">
        <v>1913</v>
      </c>
      <c r="R134" s="855" t="s">
        <v>1910</v>
      </c>
      <c r="S134" s="855" t="s">
        <v>1911</v>
      </c>
    </row>
    <row r="135" spans="1:21" s="228" customFormat="1" ht="12" customHeight="1">
      <c r="B135" s="244"/>
      <c r="C135" s="3379"/>
      <c r="D135" s="3379"/>
      <c r="E135" s="3379"/>
      <c r="F135" s="3379"/>
      <c r="G135" s="650"/>
      <c r="H135" s="3218" t="s">
        <v>2855</v>
      </c>
      <c r="I135" s="3218"/>
      <c r="J135" s="4427"/>
      <c r="K135" s="4428"/>
      <c r="L135" s="4429"/>
      <c r="M135" s="4118" t="str">
        <f>IF(AND(O134&gt;0,O133&gt;0),"Pick A1 or A2!","")</f>
        <v/>
      </c>
      <c r="N135" s="4118"/>
      <c r="O135" s="4118"/>
      <c r="P135" s="4118"/>
      <c r="Q135" s="608"/>
      <c r="R135" s="1142">
        <v>0.25</v>
      </c>
      <c r="S135" s="1142">
        <v>5</v>
      </c>
    </row>
    <row r="136" spans="1:21" s="228" customFormat="1" ht="12" customHeight="1">
      <c r="B136" s="244"/>
      <c r="C136" s="3379"/>
      <c r="D136" s="3379"/>
      <c r="E136" s="3379"/>
      <c r="F136" s="3379"/>
      <c r="G136" s="650"/>
      <c r="H136" s="1335"/>
      <c r="I136" s="1464"/>
      <c r="J136" s="4427"/>
      <c r="K136" s="4428"/>
      <c r="L136" s="4429"/>
      <c r="Q136" s="608"/>
      <c r="R136" s="1142">
        <v>0.5</v>
      </c>
      <c r="S136" s="1142">
        <v>4.5</v>
      </c>
    </row>
    <row r="137" spans="1:21" s="228" customFormat="1" ht="12" customHeight="1">
      <c r="B137" s="244"/>
      <c r="C137" s="3379"/>
      <c r="D137" s="3379"/>
      <c r="E137" s="3379"/>
      <c r="F137" s="3379"/>
      <c r="G137" s="650"/>
      <c r="J137" s="4427"/>
      <c r="K137" s="4428"/>
      <c r="L137" s="4429"/>
      <c r="M137" s="42"/>
      <c r="N137" s="42"/>
      <c r="O137" s="42"/>
      <c r="P137" s="42"/>
      <c r="Q137" s="289"/>
      <c r="R137" s="1143">
        <v>1</v>
      </c>
      <c r="S137" s="1143">
        <v>4</v>
      </c>
    </row>
    <row r="138" spans="1:21" s="228" customFormat="1" ht="12" customHeight="1">
      <c r="A138" s="76" t="s">
        <v>209</v>
      </c>
      <c r="B138" s="668" t="s">
        <v>1915</v>
      </c>
      <c r="C138" s="365"/>
      <c r="D138" s="365"/>
      <c r="F138" s="1462" t="s">
        <v>2856</v>
      </c>
      <c r="J138" s="4458" t="s">
        <v>2857</v>
      </c>
      <c r="K138" s="4459"/>
      <c r="L138" s="1398" t="s">
        <v>2858</v>
      </c>
      <c r="M138" s="517">
        <v>3</v>
      </c>
      <c r="N138" s="28" t="s">
        <v>209</v>
      </c>
      <c r="O138" s="2816">
        <f>IF(OR(AND(O139&gt;0,O141&gt;0,O143&gt;0), AND(O139&gt;0,O141&gt;0), AND(O141&gt;0,O143&gt;0), AND(O139&gt;0,O143&gt;0)),"Choose", IF(OR($J$113="Atlanta Metro",$J$113="Other Metro"), MIN($M138,O139+O141), IF(OR($J$113="Rural"), MIN($M138,O143),0)))</f>
        <v>0</v>
      </c>
      <c r="P138" s="2816">
        <f>IF(OR(AND(P139&gt;0,P141&gt;0,P143&gt;0), AND(P139&gt;0,P141&gt;0), AND(P141&gt;0,P143&gt;0), AND(P139&gt;0,P143&gt;0)),"Choose", IF(OR($J$113="Atlanta Metro",$J$113="Other Metro"), MIN($M138,P139+P141), IF(OR($J$113="Rural"), MIN($M138,P143),0)))</f>
        <v>0</v>
      </c>
      <c r="Q138" s="1372" t="s">
        <v>1917</v>
      </c>
      <c r="R138" s="1465">
        <v>0.25</v>
      </c>
      <c r="S138" s="1465">
        <v>3</v>
      </c>
    </row>
    <row r="139" spans="1:21" s="19" customFormat="1" ht="12" customHeight="1">
      <c r="A139" s="79"/>
      <c r="B139" s="1212" t="s">
        <v>212</v>
      </c>
      <c r="C139" s="3379" t="s">
        <v>2859</v>
      </c>
      <c r="D139" s="3379"/>
      <c r="E139" s="3379"/>
      <c r="F139" s="3379"/>
      <c r="G139" s="650"/>
      <c r="H139" s="3218" t="s">
        <v>2860</v>
      </c>
      <c r="I139" s="3218"/>
      <c r="J139" s="4280" t="s">
        <v>2861</v>
      </c>
      <c r="K139" s="4281"/>
      <c r="L139" s="4282"/>
      <c r="M139" s="2659">
        <v>3</v>
      </c>
      <c r="N139" s="242" t="s">
        <v>212</v>
      </c>
      <c r="O139" s="4256"/>
      <c r="P139" s="4259"/>
      <c r="Q139" s="608" t="str">
        <f>IF(OR($O141=$M141,$O141=0,$O141=""),"","*CHECK!*")</f>
        <v/>
      </c>
      <c r="R139" s="1142">
        <v>0.5</v>
      </c>
      <c r="S139" s="1142">
        <v>2</v>
      </c>
      <c r="U139" s="228"/>
    </row>
    <row r="140" spans="1:21" s="19" customFormat="1" ht="12" customHeight="1">
      <c r="A140" s="79"/>
      <c r="B140" s="2584"/>
      <c r="C140" s="3379"/>
      <c r="D140" s="3379"/>
      <c r="E140" s="3379"/>
      <c r="F140" s="3379"/>
      <c r="G140" s="42"/>
      <c r="H140" s="1335"/>
      <c r="I140" s="1464"/>
      <c r="J140" s="4243" t="s">
        <v>2862</v>
      </c>
      <c r="K140" s="4244"/>
      <c r="L140" s="4245"/>
      <c r="M140" s="42"/>
      <c r="O140" s="4257"/>
      <c r="P140" s="4260"/>
      <c r="Q140" s="53"/>
      <c r="R140" s="1143">
        <v>1</v>
      </c>
      <c r="S140" s="1143">
        <v>1</v>
      </c>
      <c r="U140" s="228"/>
    </row>
    <row r="141" spans="1:21" s="19" customFormat="1" ht="11.25" customHeight="1">
      <c r="A141" s="336" t="s">
        <v>338</v>
      </c>
      <c r="B141" s="1212" t="s">
        <v>220</v>
      </c>
      <c r="C141" s="3379" t="s">
        <v>2863</v>
      </c>
      <c r="D141" s="3379"/>
      <c r="E141" s="3379"/>
      <c r="F141" s="3379"/>
      <c r="G141" s="3379"/>
      <c r="H141" s="3379"/>
      <c r="I141" s="1463"/>
      <c r="J141" s="4246"/>
      <c r="K141" s="4247"/>
      <c r="L141" s="4248"/>
      <c r="M141" s="2659">
        <v>1</v>
      </c>
      <c r="N141" s="242" t="s">
        <v>220</v>
      </c>
      <c r="O141" s="4475"/>
      <c r="P141" s="4300"/>
      <c r="U141" s="228"/>
    </row>
    <row r="142" spans="1:21" s="19" customFormat="1" ht="11.25" customHeight="1">
      <c r="B142" s="1466"/>
      <c r="C142" s="3379"/>
      <c r="D142" s="3379"/>
      <c r="E142" s="3379"/>
      <c r="F142" s="3379"/>
      <c r="G142" s="3379"/>
      <c r="H142" s="3379"/>
      <c r="I142" s="1463"/>
      <c r="J142" s="4249"/>
      <c r="K142" s="4250"/>
      <c r="L142" s="4251"/>
      <c r="O142" s="4475"/>
      <c r="P142" s="4300"/>
      <c r="T142" s="228"/>
      <c r="U142" s="228"/>
    </row>
    <row r="143" spans="1:21" s="228" customFormat="1" ht="12" customHeight="1">
      <c r="A143" s="1211" t="s">
        <v>338</v>
      </c>
      <c r="B143" s="1212" t="s">
        <v>224</v>
      </c>
      <c r="C143" s="3379" t="s">
        <v>2864</v>
      </c>
      <c r="D143" s="3379"/>
      <c r="E143" s="3379"/>
      <c r="F143" s="3379"/>
      <c r="G143" s="3379"/>
      <c r="H143" s="3379"/>
      <c r="I143" s="4255"/>
      <c r="J143" s="4243" t="s">
        <v>2865</v>
      </c>
      <c r="K143" s="4244"/>
      <c r="L143" s="4245"/>
      <c r="M143" s="1409">
        <v>2</v>
      </c>
      <c r="N143" s="268" t="s">
        <v>224</v>
      </c>
      <c r="O143" s="4298"/>
      <c r="P143" s="4473"/>
      <c r="Q143" s="608"/>
      <c r="R143" s="606"/>
    </row>
    <row r="144" spans="1:21" s="19" customFormat="1" ht="36.75" customHeight="1">
      <c r="C144" s="3379"/>
      <c r="D144" s="3379"/>
      <c r="E144" s="3379"/>
      <c r="F144" s="3379"/>
      <c r="G144" s="3379"/>
      <c r="H144" s="3379"/>
      <c r="I144" s="4255"/>
      <c r="J144" s="4252"/>
      <c r="K144" s="4253"/>
      <c r="L144" s="4254"/>
      <c r="O144" s="4299"/>
      <c r="P144" s="4474"/>
    </row>
    <row r="145" spans="1:19" s="19" customFormat="1" ht="12.6" customHeight="1">
      <c r="A145" s="13" t="s">
        <v>2866</v>
      </c>
      <c r="B145" s="92"/>
      <c r="E145" s="17"/>
      <c r="K145" s="48"/>
      <c r="M145" s="32"/>
      <c r="N145" s="32"/>
      <c r="O145" s="32"/>
      <c r="P145" s="32"/>
      <c r="Q145" s="209"/>
      <c r="R145" s="209"/>
    </row>
    <row r="146" spans="1:19" s="19" customFormat="1" ht="11.25" customHeight="1" thickBot="1">
      <c r="A146" s="43"/>
      <c r="B146" s="699" t="s">
        <v>2833</v>
      </c>
      <c r="C146" s="43"/>
      <c r="D146" s="48"/>
      <c r="E146" s="48"/>
      <c r="F146" s="48"/>
      <c r="G146" s="48"/>
      <c r="H146" s="13"/>
      <c r="K146" s="48"/>
      <c r="M146" s="32"/>
      <c r="N146" s="58"/>
      <c r="O146" s="2"/>
      <c r="P146" s="2535"/>
    </row>
    <row r="147" spans="1:19" s="19" customFormat="1" ht="29.25" customHeight="1" thickTop="1" thickBot="1">
      <c r="A147" s="4291"/>
      <c r="B147" s="4292"/>
      <c r="C147" s="4292"/>
      <c r="D147" s="4292"/>
      <c r="E147" s="4292"/>
      <c r="F147" s="4292"/>
      <c r="G147" s="4292"/>
      <c r="H147" s="4292"/>
      <c r="I147" s="4292"/>
      <c r="J147" s="4292"/>
      <c r="K147" s="4292"/>
      <c r="L147" s="4292"/>
      <c r="M147" s="4292"/>
      <c r="N147" s="4292"/>
      <c r="O147" s="4292"/>
      <c r="P147" s="4293"/>
      <c r="Q147" s="249" t="s">
        <v>2401</v>
      </c>
      <c r="R147" s="249"/>
    </row>
    <row r="148" spans="1:19" s="42" customFormat="1" ht="11.65" customHeight="1" thickTop="1">
      <c r="A148" s="43"/>
      <c r="B148" s="45" t="s">
        <v>1447</v>
      </c>
      <c r="C148" s="43"/>
      <c r="D148" s="45"/>
      <c r="E148" s="2578"/>
      <c r="F148" s="2578"/>
      <c r="G148" s="2578"/>
      <c r="H148" s="2578"/>
      <c r="I148" s="2578"/>
      <c r="J148" s="2578"/>
      <c r="K148" s="2578"/>
      <c r="L148" s="2578"/>
      <c r="M148" s="2578"/>
      <c r="N148" s="2817"/>
      <c r="O148" s="509"/>
      <c r="P148" s="2541"/>
      <c r="Q148" s="19"/>
    </row>
    <row r="149" spans="1:19" s="19" customFormat="1" ht="11.25" customHeight="1">
      <c r="A149" s="3999"/>
      <c r="B149" s="4000"/>
      <c r="C149" s="4000"/>
      <c r="D149" s="4000"/>
      <c r="E149" s="4000"/>
      <c r="F149" s="4000"/>
      <c r="G149" s="4000"/>
      <c r="H149" s="4000"/>
      <c r="I149" s="4000"/>
      <c r="J149" s="4000"/>
      <c r="K149" s="4000"/>
      <c r="L149" s="4000"/>
      <c r="M149" s="4000"/>
      <c r="N149" s="4000"/>
      <c r="O149" s="4000"/>
      <c r="P149" s="4001"/>
      <c r="Q149" s="248"/>
    </row>
    <row r="150" spans="1:19" ht="3" customHeight="1">
      <c r="N150" s="58"/>
      <c r="O150" s="2535"/>
      <c r="P150" s="2535"/>
      <c r="R150" s="19"/>
    </row>
    <row r="151" spans="1:19" s="19" customFormat="1" ht="3" customHeight="1" thickBot="1">
      <c r="A151" s="43"/>
      <c r="C151" s="2574"/>
      <c r="D151" s="2574"/>
      <c r="E151" s="2574"/>
      <c r="F151" s="2574"/>
      <c r="G151" s="2574"/>
      <c r="H151" s="2574"/>
      <c r="I151" s="2574"/>
      <c r="J151" s="2574"/>
      <c r="K151" s="2574"/>
      <c r="L151" s="2574"/>
      <c r="M151" s="2574"/>
      <c r="N151" s="2813"/>
      <c r="O151" s="31"/>
      <c r="P151" s="2541"/>
    </row>
    <row r="152" spans="1:19" s="19" customFormat="1" ht="13.5" customHeight="1" thickBot="1">
      <c r="A152" s="79" t="s">
        <v>79</v>
      </c>
      <c r="B152" s="50" t="s">
        <v>1921</v>
      </c>
      <c r="C152" s="2574"/>
      <c r="D152" s="2574"/>
      <c r="E152" s="2574"/>
      <c r="G152" s="1141" t="s">
        <v>2428</v>
      </c>
      <c r="H152" s="651" t="str">
        <f>'Part VII-Threshold Criteria OLD'!$J$35</f>
        <v>&lt;&lt; Select PROPOSED Tenancy &gt;&gt;</v>
      </c>
      <c r="M152" s="2541">
        <v>3</v>
      </c>
      <c r="N152" s="2813"/>
      <c r="O152" s="1196"/>
      <c r="P152" s="1197"/>
      <c r="Q152" s="890" t="str">
        <f>IF(OR($O152&lt;=$M152,$O152=0,$O152=""),"","*CHECK!*")</f>
        <v/>
      </c>
      <c r="R152" s="1199" t="s">
        <v>795</v>
      </c>
      <c r="S152" s="606" t="s">
        <v>2821</v>
      </c>
    </row>
    <row r="153" spans="1:19" ht="18.75" customHeight="1">
      <c r="C153" s="1135" t="s">
        <v>2867</v>
      </c>
      <c r="F153" s="1135"/>
      <c r="G153" s="1135"/>
      <c r="H153" s="1135"/>
      <c r="I153" s="1229"/>
      <c r="J153" s="1230"/>
      <c r="K153" s="1231"/>
      <c r="M153" s="19"/>
      <c r="N153"/>
      <c r="O153"/>
      <c r="P153" s="1518"/>
    </row>
    <row r="154" spans="1:19" ht="11.25" customHeight="1">
      <c r="C154" s="1135" t="s">
        <v>2868</v>
      </c>
      <c r="F154" s="1135"/>
      <c r="G154" s="1135"/>
      <c r="H154" s="1135"/>
      <c r="I154" s="1229"/>
      <c r="J154" s="4275" t="s">
        <v>2869</v>
      </c>
      <c r="K154" s="4276"/>
      <c r="L154" s="4276"/>
      <c r="M154" s="4277"/>
      <c r="N154"/>
      <c r="O154"/>
      <c r="P154"/>
    </row>
    <row r="155" spans="1:19" ht="12.75" customHeight="1">
      <c r="B155" s="313"/>
      <c r="C155" s="313"/>
      <c r="D155" s="313"/>
      <c r="F155" s="4053" t="s">
        <v>2870</v>
      </c>
      <c r="G155" s="4053"/>
      <c r="H155" s="4053" t="s">
        <v>2871</v>
      </c>
      <c r="I155" s="4053"/>
      <c r="J155" s="4261" t="s">
        <v>2872</v>
      </c>
      <c r="K155" s="4262"/>
      <c r="L155" s="4264" t="s">
        <v>1925</v>
      </c>
      <c r="M155" s="4265"/>
      <c r="N155" s="25"/>
      <c r="O155" s="1427"/>
      <c r="P155" s="1428"/>
    </row>
    <row r="156" spans="1:19" ht="30.75" customHeight="1">
      <c r="B156" s="313"/>
      <c r="C156" s="313"/>
      <c r="D156" s="313"/>
      <c r="F156" s="4053"/>
      <c r="G156" s="4053"/>
      <c r="H156" s="4053"/>
      <c r="I156" s="4053"/>
      <c r="J156" s="4263"/>
      <c r="K156" s="4262"/>
      <c r="L156" s="4053"/>
      <c r="M156" s="4266"/>
      <c r="N156" s="25"/>
      <c r="O156" s="1429"/>
      <c r="P156" s="1428"/>
    </row>
    <row r="157" spans="1:19" ht="12" customHeight="1">
      <c r="B157" s="48" t="s">
        <v>1926</v>
      </c>
      <c r="C157" s="2578"/>
      <c r="D157" s="19"/>
      <c r="F157" s="4054"/>
      <c r="G157" s="4054"/>
      <c r="H157" s="4054"/>
      <c r="I157" s="4054"/>
      <c r="J157" s="4263"/>
      <c r="K157" s="4262"/>
      <c r="L157" s="4054"/>
      <c r="M157" s="4267"/>
      <c r="N157" s="25"/>
      <c r="O157" s="1429"/>
      <c r="P157" s="1428"/>
    </row>
    <row r="158" spans="1:19">
      <c r="B158" s="4268"/>
      <c r="C158" s="4269"/>
      <c r="D158" s="4269"/>
      <c r="E158" s="4270"/>
      <c r="F158" s="4268"/>
      <c r="G158" s="4270"/>
      <c r="H158" s="4268"/>
      <c r="I158" s="4270"/>
      <c r="J158" s="4271"/>
      <c r="K158" s="4272"/>
      <c r="L158" s="4271"/>
      <c r="M158" s="4272"/>
      <c r="N158" s="4226"/>
      <c r="O158" s="4227"/>
      <c r="P158" s="2535"/>
    </row>
    <row r="159" spans="1:19">
      <c r="B159" s="4228"/>
      <c r="C159" s="4229"/>
      <c r="D159" s="4229"/>
      <c r="E159" s="4230"/>
      <c r="F159" s="4228"/>
      <c r="G159" s="4230"/>
      <c r="H159" s="4228"/>
      <c r="I159" s="4230"/>
      <c r="J159" s="4231"/>
      <c r="K159" s="4232"/>
      <c r="L159" s="4231"/>
      <c r="M159" s="4232"/>
      <c r="N159" s="4216"/>
      <c r="O159" s="4217"/>
      <c r="P159" s="2535"/>
    </row>
    <row r="160" spans="1:19">
      <c r="B160" s="4228"/>
      <c r="C160" s="4229"/>
      <c r="D160" s="4229"/>
      <c r="E160" s="4230"/>
      <c r="F160" s="4228"/>
      <c r="G160" s="4230"/>
      <c r="H160" s="4228"/>
      <c r="I160" s="4230"/>
      <c r="J160" s="4231"/>
      <c r="K160" s="4232"/>
      <c r="L160" s="4231"/>
      <c r="M160" s="4232"/>
      <c r="N160" s="4216"/>
      <c r="O160" s="4217"/>
      <c r="P160" s="2535"/>
    </row>
    <row r="161" spans="1:26">
      <c r="B161" s="4228"/>
      <c r="C161" s="4229"/>
      <c r="D161" s="4229"/>
      <c r="E161" s="4230"/>
      <c r="F161" s="4228"/>
      <c r="G161" s="4230"/>
      <c r="H161" s="4228"/>
      <c r="I161" s="4230"/>
      <c r="J161" s="4231"/>
      <c r="K161" s="4232"/>
      <c r="L161" s="4231"/>
      <c r="M161" s="4232"/>
      <c r="N161" s="4216"/>
      <c r="O161" s="4217"/>
      <c r="P161" s="2535"/>
    </row>
    <row r="162" spans="1:26">
      <c r="B162" s="4228"/>
      <c r="C162" s="4229"/>
      <c r="D162" s="4229"/>
      <c r="E162" s="4230"/>
      <c r="F162" s="4228"/>
      <c r="G162" s="4230"/>
      <c r="H162" s="4228"/>
      <c r="I162" s="4230"/>
      <c r="J162" s="4231"/>
      <c r="K162" s="4232"/>
      <c r="L162" s="4231"/>
      <c r="M162" s="4232"/>
      <c r="N162" s="4216"/>
      <c r="O162" s="4217"/>
      <c r="P162" s="2535"/>
    </row>
    <row r="163" spans="1:26">
      <c r="B163" s="4219"/>
      <c r="C163" s="4220"/>
      <c r="D163" s="4220"/>
      <c r="E163" s="4221"/>
      <c r="F163" s="4219"/>
      <c r="G163" s="4221"/>
      <c r="H163" s="4219"/>
      <c r="I163" s="4221"/>
      <c r="J163" s="4222"/>
      <c r="K163" s="4223"/>
      <c r="L163" s="4222"/>
      <c r="M163" s="4223"/>
      <c r="N163" s="4224"/>
      <c r="O163" s="4225"/>
      <c r="P163" s="2535"/>
    </row>
    <row r="164" spans="1:26" s="19" customFormat="1" ht="10.5" customHeight="1" thickBot="1">
      <c r="A164" s="43"/>
      <c r="B164" s="699" t="s">
        <v>2833</v>
      </c>
      <c r="C164" s="43"/>
      <c r="D164" s="48"/>
      <c r="E164" s="48"/>
      <c r="F164" s="48"/>
      <c r="G164" s="48"/>
      <c r="H164" s="13"/>
      <c r="I164" s="13"/>
      <c r="J164" s="13"/>
      <c r="K164" s="13"/>
      <c r="M164" s="32"/>
      <c r="N164" s="58"/>
      <c r="O164" s="2"/>
      <c r="P164" s="2535"/>
    </row>
    <row r="165" spans="1:26" s="19" customFormat="1" ht="21.75" customHeight="1" thickTop="1" thickBot="1">
      <c r="A165" s="4291"/>
      <c r="B165" s="4292"/>
      <c r="C165" s="4292"/>
      <c r="D165" s="4292"/>
      <c r="E165" s="4292"/>
      <c r="F165" s="4292"/>
      <c r="G165" s="4292"/>
      <c r="H165" s="4292"/>
      <c r="I165" s="4292"/>
      <c r="J165" s="4292"/>
      <c r="K165" s="4292"/>
      <c r="L165" s="4292"/>
      <c r="M165" s="4292"/>
      <c r="N165" s="4292"/>
      <c r="O165" s="4292"/>
      <c r="P165" s="4293"/>
      <c r="Q165" s="249" t="s">
        <v>2401</v>
      </c>
    </row>
    <row r="166" spans="1:26" s="19" customFormat="1" ht="10.5" customHeight="1" thickTop="1">
      <c r="A166" s="43"/>
      <c r="B166" s="37" t="s">
        <v>1447</v>
      </c>
      <c r="C166" s="755"/>
      <c r="D166" s="37"/>
      <c r="E166" s="46"/>
      <c r="F166" s="2574"/>
      <c r="G166" s="2574"/>
      <c r="H166" s="2574"/>
      <c r="I166" s="2574"/>
      <c r="J166" s="2574"/>
      <c r="K166" s="2574"/>
      <c r="L166" s="2574"/>
      <c r="M166" s="2574"/>
      <c r="N166" s="2813"/>
      <c r="O166" s="31"/>
      <c r="P166" s="2541"/>
    </row>
    <row r="167" spans="1:26" s="19" customFormat="1" ht="11.25" customHeight="1">
      <c r="A167" s="3999"/>
      <c r="B167" s="4000"/>
      <c r="C167" s="4000"/>
      <c r="D167" s="4000"/>
      <c r="E167" s="4000"/>
      <c r="F167" s="4000"/>
      <c r="G167" s="4000"/>
      <c r="H167" s="4000"/>
      <c r="I167" s="4000"/>
      <c r="J167" s="4000"/>
      <c r="K167" s="4000"/>
      <c r="L167" s="4000"/>
      <c r="M167" s="4000"/>
      <c r="N167" s="4000"/>
      <c r="O167" s="4000"/>
      <c r="P167" s="4001"/>
      <c r="Q167" s="248"/>
      <c r="U167" s="867"/>
    </row>
    <row r="168" spans="1:26" s="19" customFormat="1" ht="3" customHeight="1" thickBot="1">
      <c r="A168" s="43"/>
      <c r="C168" s="2574"/>
      <c r="D168" s="2574"/>
      <c r="E168" s="2574"/>
      <c r="F168" s="2574"/>
      <c r="G168" s="2574"/>
      <c r="H168" s="2574"/>
      <c r="I168" s="2574"/>
      <c r="J168" s="2574"/>
      <c r="K168" s="2574"/>
      <c r="L168" s="2574"/>
      <c r="M168" s="2574"/>
      <c r="N168" s="2813"/>
      <c r="O168" s="31"/>
      <c r="P168" s="2541"/>
    </row>
    <row r="169" spans="1:26" s="42" customFormat="1" ht="13.5" customHeight="1" thickBot="1">
      <c r="A169" s="79" t="s">
        <v>1488</v>
      </c>
      <c r="B169" s="50" t="s">
        <v>1931</v>
      </c>
      <c r="D169" s="21"/>
      <c r="E169" s="21"/>
      <c r="L169" s="1232" t="str">
        <f>IF(AND(O169&gt;0,O171="",O184=""),"Indicate subtotal score(s) in A or B below!","")</f>
        <v/>
      </c>
      <c r="M169" s="2541">
        <v>7</v>
      </c>
      <c r="N169" s="32"/>
      <c r="O169" s="1237">
        <f>O171+O184</f>
        <v>0</v>
      </c>
      <c r="P169" s="1237">
        <f>P171+P184</f>
        <v>0</v>
      </c>
      <c r="Q169" s="53" t="s">
        <v>795</v>
      </c>
      <c r="R169" s="651" t="str">
        <f>IF(AND(O169&gt;0,NOT($M$55="New Supply")), "Ineligible to score in this section, not New Supply!","")</f>
        <v/>
      </c>
      <c r="S169" s="1208"/>
      <c r="T169" s="1208"/>
      <c r="U169" s="1208"/>
    </row>
    <row r="170" spans="1:26" s="19" customFormat="1" ht="2.25" customHeight="1">
      <c r="A170" s="53"/>
      <c r="C170" s="92"/>
      <c r="D170" s="92"/>
      <c r="E170" s="98"/>
      <c r="F170" s="92"/>
      <c r="G170" s="92"/>
      <c r="H170" s="92"/>
      <c r="I170" s="92"/>
      <c r="J170" s="92"/>
      <c r="K170" s="92"/>
      <c r="L170" s="92"/>
      <c r="M170" s="92"/>
      <c r="N170" s="92"/>
      <c r="O170" s="92"/>
      <c r="P170" s="92"/>
      <c r="R170" s="1208"/>
      <c r="S170" s="1208"/>
      <c r="T170" s="1208"/>
      <c r="U170" s="1208"/>
    </row>
    <row r="171" spans="1:26" s="19" customFormat="1" ht="12" customHeight="1">
      <c r="A171" s="72" t="s">
        <v>197</v>
      </c>
      <c r="B171" s="92" t="s">
        <v>1939</v>
      </c>
      <c r="C171" s="92"/>
      <c r="D171" s="92"/>
      <c r="E171" s="92"/>
      <c r="F171" s="92"/>
      <c r="G171" s="92"/>
      <c r="H171" s="92"/>
      <c r="I171" s="92"/>
      <c r="J171" s="92"/>
      <c r="K171" s="92"/>
      <c r="L171" s="123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659">
        <v>5</v>
      </c>
      <c r="N171" s="28" t="s">
        <v>197</v>
      </c>
      <c r="O171" s="1233">
        <f>MIN(M171,O172+O180+O181+O182)</f>
        <v>0</v>
      </c>
      <c r="P171" s="1233">
        <f>P172+P180+P181+P182</f>
        <v>0</v>
      </c>
      <c r="Q171" s="890" t="str">
        <f>IF(OR($O171&lt;=$M171,$O171=""),"","*CHECK!*")</f>
        <v/>
      </c>
      <c r="R171" s="606"/>
      <c r="S171" s="1208"/>
      <c r="T171" s="1208"/>
      <c r="U171" s="1208"/>
    </row>
    <row r="172" spans="1:26" s="19" customFormat="1" ht="12.75" customHeight="1">
      <c r="A172" s="53"/>
      <c r="B172" s="909" t="s">
        <v>212</v>
      </c>
      <c r="C172" s="13" t="s">
        <v>2873</v>
      </c>
      <c r="D172" s="92"/>
      <c r="E172" s="92"/>
      <c r="F172" s="92"/>
      <c r="G172" s="92"/>
      <c r="H172" s="92"/>
      <c r="I172" s="92"/>
      <c r="J172" s="92"/>
      <c r="K172" s="92"/>
      <c r="L172" s="92"/>
      <c r="M172" s="2659">
        <v>2</v>
      </c>
      <c r="N172" s="84" t="s">
        <v>1521</v>
      </c>
      <c r="O172" s="1177"/>
      <c r="P172" s="1218"/>
      <c r="Q172" s="890" t="str">
        <f>IF(OR($O172=$M172,$O172=0,$O172=""),"","*CHECK!*")</f>
        <v/>
      </c>
      <c r="R172" s="606" t="s">
        <v>2821</v>
      </c>
      <c r="S172" s="1208"/>
      <c r="T172" s="1208"/>
      <c r="U172" s="1208"/>
    </row>
    <row r="173" spans="1:26" s="218" customFormat="1" ht="12" customHeight="1">
      <c r="B173" s="84" t="s">
        <v>2468</v>
      </c>
      <c r="C173" s="3998" t="s">
        <v>2874</v>
      </c>
      <c r="D173" s="3998"/>
      <c r="E173" s="3998"/>
      <c r="F173" s="3998"/>
      <c r="G173" s="3998"/>
      <c r="H173" s="3998"/>
      <c r="I173" s="3998"/>
      <c r="J173" s="3998"/>
      <c r="K173" s="3998"/>
      <c r="L173" s="84"/>
      <c r="M173" s="4296" t="s">
        <v>2875</v>
      </c>
      <c r="N173" s="4296"/>
      <c r="O173" s="4296"/>
      <c r="P173" s="4296"/>
      <c r="S173" s="1208"/>
      <c r="T173" s="1208"/>
      <c r="U173" s="1208"/>
      <c r="V173" s="229"/>
      <c r="W173" s="229"/>
      <c r="X173" s="229"/>
      <c r="Y173" s="229"/>
      <c r="Z173" s="229"/>
    </row>
    <row r="174" spans="1:26" s="19" customFormat="1" ht="12.75" customHeight="1">
      <c r="A174" s="207"/>
      <c r="B174" s="28"/>
      <c r="C174" s="3998"/>
      <c r="D174" s="3998"/>
      <c r="E174" s="3998"/>
      <c r="F174" s="3998"/>
      <c r="G174" s="3998"/>
      <c r="H174" s="3998"/>
      <c r="I174" s="3998"/>
      <c r="J174" s="3998"/>
      <c r="K174" s="3998"/>
      <c r="L174" s="84" t="s">
        <v>2468</v>
      </c>
      <c r="M174" s="4283" t="s">
        <v>2876</v>
      </c>
      <c r="N174" s="4284"/>
      <c r="O174" s="4284"/>
      <c r="P174" s="4285"/>
      <c r="S174" s="1208"/>
      <c r="T174" s="1208"/>
      <c r="U174" s="1208"/>
    </row>
    <row r="175" spans="1:26" s="11" customFormat="1" ht="12.75" customHeight="1">
      <c r="B175" s="28" t="s">
        <v>2470</v>
      </c>
      <c r="C175" s="13" t="s">
        <v>2877</v>
      </c>
      <c r="D175" s="13"/>
      <c r="E175" s="13"/>
      <c r="F175" s="13"/>
      <c r="G175" s="13"/>
      <c r="H175" s="13"/>
      <c r="L175" s="28" t="s">
        <v>2470</v>
      </c>
      <c r="M175" s="4280" t="s">
        <v>2876</v>
      </c>
      <c r="N175" s="4281"/>
      <c r="O175" s="4281"/>
      <c r="P175" s="4282"/>
      <c r="S175" s="1208"/>
      <c r="T175" s="1208"/>
      <c r="U175" s="1208"/>
      <c r="V175" s="43"/>
      <c r="W175" s="43"/>
      <c r="X175" s="43"/>
      <c r="Y175" s="43"/>
      <c r="Z175" s="43"/>
    </row>
    <row r="176" spans="1:26" s="11" customFormat="1" ht="12.75" customHeight="1">
      <c r="B176" s="28" t="s">
        <v>2677</v>
      </c>
      <c r="C176" s="13" t="s">
        <v>2878</v>
      </c>
      <c r="D176" s="13"/>
      <c r="E176" s="13"/>
      <c r="F176" s="13"/>
      <c r="G176" s="13"/>
      <c r="H176" s="13"/>
      <c r="L176" s="28" t="s">
        <v>2677</v>
      </c>
      <c r="M176" s="4280" t="s">
        <v>2876</v>
      </c>
      <c r="N176" s="4281"/>
      <c r="O176" s="4281"/>
      <c r="P176" s="4282"/>
      <c r="Q176" s="963">
        <f>IF(K176="Yes",1,0)</f>
        <v>0</v>
      </c>
      <c r="S176" s="1208"/>
      <c r="T176" s="1208"/>
      <c r="U176" s="1208"/>
      <c r="V176" s="963" t="e">
        <f>IF(#REF!="Yes",1,0)</f>
        <v>#REF!</v>
      </c>
      <c r="W176" s="43"/>
      <c r="X176" s="43"/>
      <c r="Y176" s="43"/>
      <c r="Z176" s="43"/>
    </row>
    <row r="177" spans="1:26" s="11" customFormat="1" ht="12.75" customHeight="1">
      <c r="A177" s="28"/>
      <c r="B177" s="28" t="s">
        <v>2879</v>
      </c>
      <c r="C177" s="13" t="s">
        <v>2880</v>
      </c>
      <c r="D177" s="13"/>
      <c r="E177" s="13"/>
      <c r="F177" s="13"/>
      <c r="G177" s="13"/>
      <c r="L177" s="28" t="s">
        <v>2879</v>
      </c>
      <c r="M177" s="4333" t="s">
        <v>2876</v>
      </c>
      <c r="N177" s="4334"/>
      <c r="O177" s="4334"/>
      <c r="P177" s="4335"/>
      <c r="Q177" s="963">
        <f>IF(K177="Yes",1,0)</f>
        <v>0</v>
      </c>
      <c r="S177" s="1208"/>
      <c r="T177" s="1208"/>
      <c r="U177" s="1208"/>
      <c r="V177" s="963" t="e">
        <f>IF(#REF!="Yes",1,0)</f>
        <v>#REF!</v>
      </c>
      <c r="W177" s="43"/>
      <c r="X177" s="43"/>
      <c r="Y177" s="43"/>
      <c r="Z177" s="43"/>
    </row>
    <row r="178" spans="1:26" s="19" customFormat="1" ht="4.5" customHeight="1">
      <c r="A178" s="207"/>
      <c r="C178" s="73"/>
      <c r="D178" s="73"/>
      <c r="E178" s="73"/>
      <c r="F178" s="73"/>
      <c r="G178" s="73"/>
      <c r="H178" s="73"/>
      <c r="I178" s="73"/>
      <c r="K178" s="697"/>
      <c r="L178" s="697"/>
      <c r="R178" s="1208"/>
      <c r="S178" s="1208"/>
      <c r="T178" s="1208"/>
      <c r="U178" s="1208"/>
    </row>
    <row r="179" spans="1:26" s="19" customFormat="1" ht="9.75" customHeight="1">
      <c r="A179" s="207"/>
      <c r="B179" s="208" t="s">
        <v>220</v>
      </c>
      <c r="C179" s="56" t="s">
        <v>2881</v>
      </c>
      <c r="D179" s="73"/>
      <c r="E179" s="73"/>
      <c r="F179" s="73"/>
      <c r="G179" s="73"/>
      <c r="H179" s="73"/>
      <c r="I179" s="73"/>
      <c r="K179" s="697"/>
      <c r="L179" s="697"/>
      <c r="R179" s="1208"/>
      <c r="S179" s="1208"/>
      <c r="T179" s="1208"/>
      <c r="U179" s="1208"/>
    </row>
    <row r="180" spans="1:26">
      <c r="A180" s="288"/>
      <c r="B180" s="84" t="s">
        <v>2468</v>
      </c>
      <c r="C180" s="3998" t="s">
        <v>2882</v>
      </c>
      <c r="D180" s="3998"/>
      <c r="E180" s="3998"/>
      <c r="F180" s="3998"/>
      <c r="G180" s="3998"/>
      <c r="H180" s="3998"/>
      <c r="I180" s="3998"/>
      <c r="J180" s="3998"/>
      <c r="K180" s="3998"/>
      <c r="L180" s="3998"/>
      <c r="M180" s="1409">
        <v>1</v>
      </c>
      <c r="N180" s="84" t="s">
        <v>2883</v>
      </c>
      <c r="O180" s="1215"/>
      <c r="P180" s="1219"/>
      <c r="Q180" s="890" t="str">
        <f>IF(OR($O180=$M180,$O180=0,$O180=""),"","*CHECK!*")</f>
        <v/>
      </c>
      <c r="R180" s="606" t="s">
        <v>2821</v>
      </c>
    </row>
    <row r="181" spans="1:26" ht="36.75" customHeight="1">
      <c r="A181" s="288"/>
      <c r="B181" s="84" t="s">
        <v>2470</v>
      </c>
      <c r="C181" s="3998" t="s">
        <v>2884</v>
      </c>
      <c r="D181" s="3998"/>
      <c r="E181" s="3998"/>
      <c r="F181" s="3998"/>
      <c r="G181" s="3998"/>
      <c r="H181" s="3998"/>
      <c r="I181" s="3998"/>
      <c r="J181" s="3998"/>
      <c r="K181" s="3998"/>
      <c r="L181" s="3998"/>
      <c r="M181" s="1409">
        <v>1</v>
      </c>
      <c r="N181" s="84" t="s">
        <v>2885</v>
      </c>
      <c r="O181" s="1234"/>
      <c r="P181" s="1235"/>
      <c r="Q181" s="890" t="str">
        <f>IF(OR($O181=$M181,$O181=0,$O181=""),"","*CHECK!*")</f>
        <v/>
      </c>
      <c r="R181" s="606" t="s">
        <v>2821</v>
      </c>
    </row>
    <row r="182" spans="1:26" ht="12" customHeight="1">
      <c r="A182" s="288"/>
      <c r="B182" s="246" t="s">
        <v>2677</v>
      </c>
      <c r="C182" s="25" t="s">
        <v>2886</v>
      </c>
      <c r="D182" s="65"/>
      <c r="E182" s="65"/>
      <c r="F182" s="65"/>
      <c r="G182" s="65"/>
      <c r="H182" s="65"/>
      <c r="I182" s="65"/>
      <c r="J182" s="65"/>
      <c r="K182" s="65"/>
      <c r="L182" s="65"/>
      <c r="M182" s="2659">
        <v>1</v>
      </c>
      <c r="N182" s="28" t="s">
        <v>2887</v>
      </c>
      <c r="O182" s="1216"/>
      <c r="P182" s="1220"/>
      <c r="Q182" s="890" t="str">
        <f>IF(OR($O182=$M182,$O182=0,$O182=""),"","*CHECK!*")</f>
        <v/>
      </c>
      <c r="R182" s="606" t="s">
        <v>2821</v>
      </c>
    </row>
    <row r="183" spans="1:26" ht="4.5" customHeight="1">
      <c r="A183" s="288"/>
      <c r="B183" s="264"/>
      <c r="C183" s="73"/>
      <c r="D183" s="73"/>
      <c r="E183" s="73"/>
      <c r="F183" s="73"/>
      <c r="G183" s="73"/>
      <c r="H183" s="73"/>
      <c r="M183" s="884"/>
      <c r="N183"/>
      <c r="O183"/>
      <c r="P183"/>
      <c r="R183" s="77"/>
    </row>
    <row r="184" spans="1:26" ht="12.75" customHeight="1">
      <c r="A184" s="72" t="s">
        <v>209</v>
      </c>
      <c r="B184" s="92" t="s">
        <v>1957</v>
      </c>
      <c r="D184" s="11"/>
      <c r="F184" s="868"/>
      <c r="K184" s="682"/>
      <c r="L184" s="209" t="str">
        <f>IF(OR($O184=$M184,$O184=0,$O184=1,$O184=""),"","* * Check Score! * *")</f>
        <v/>
      </c>
      <c r="M184" s="2659">
        <v>2</v>
      </c>
      <c r="N184" s="28" t="s">
        <v>209</v>
      </c>
      <c r="O184" s="338"/>
      <c r="P184" s="503"/>
      <c r="Q184" s="608" t="str">
        <f>IF(OR($O184=$M184,$O184=0,$O184=""),"","*CHECK!*")</f>
        <v/>
      </c>
      <c r="R184" s="606" t="s">
        <v>2821</v>
      </c>
    </row>
    <row r="185" spans="1:26" s="42" customFormat="1" ht="10.5" customHeight="1" thickBot="1">
      <c r="A185" s="43"/>
      <c r="B185" s="699" t="s">
        <v>2833</v>
      </c>
      <c r="C185" s="43"/>
      <c r="D185" s="48"/>
      <c r="E185" s="48"/>
      <c r="F185" s="48"/>
      <c r="G185" s="48"/>
      <c r="H185" s="13"/>
      <c r="I185" s="13"/>
      <c r="J185" s="13"/>
      <c r="K185" s="13"/>
      <c r="M185" s="32"/>
      <c r="N185" s="32"/>
      <c r="O185" s="2"/>
      <c r="P185" s="2541"/>
    </row>
    <row r="186" spans="1:26" s="19" customFormat="1" ht="21.75" customHeight="1" thickTop="1" thickBot="1">
      <c r="A186" s="4291"/>
      <c r="B186" s="4292"/>
      <c r="C186" s="4292"/>
      <c r="D186" s="4292"/>
      <c r="E186" s="4292"/>
      <c r="F186" s="4292"/>
      <c r="G186" s="4292"/>
      <c r="H186" s="4292"/>
      <c r="I186" s="4292"/>
      <c r="J186" s="4292"/>
      <c r="K186" s="4292"/>
      <c r="L186" s="4292"/>
      <c r="M186" s="4292"/>
      <c r="N186" s="4292"/>
      <c r="O186" s="4292"/>
      <c r="P186" s="4293"/>
      <c r="Q186" s="249" t="s">
        <v>2401</v>
      </c>
    </row>
    <row r="187" spans="1:26" s="42" customFormat="1" ht="11.65" customHeight="1" thickTop="1">
      <c r="A187" s="43"/>
      <c r="B187" s="45" t="s">
        <v>1447</v>
      </c>
      <c r="C187" s="43"/>
      <c r="D187" s="45"/>
      <c r="E187" s="2578"/>
      <c r="F187" s="2578"/>
      <c r="G187" s="2578"/>
      <c r="H187" s="2578"/>
      <c r="I187" s="2578"/>
      <c r="J187" s="2578"/>
      <c r="K187" s="2578"/>
      <c r="L187" s="2578"/>
      <c r="M187" s="2578"/>
      <c r="N187" s="2817"/>
      <c r="O187" s="509"/>
      <c r="P187" s="2541"/>
      <c r="Q187" s="19"/>
    </row>
    <row r="188" spans="1:26" s="19" customFormat="1" ht="11.25" customHeight="1">
      <c r="A188" s="3999"/>
      <c r="B188" s="4000"/>
      <c r="C188" s="4000"/>
      <c r="D188" s="4000"/>
      <c r="E188" s="4000"/>
      <c r="F188" s="4000"/>
      <c r="G188" s="4000"/>
      <c r="H188" s="4000"/>
      <c r="I188" s="4000"/>
      <c r="J188" s="4000"/>
      <c r="K188" s="4000"/>
      <c r="L188" s="4000"/>
      <c r="M188" s="4000"/>
      <c r="N188" s="4000"/>
      <c r="O188" s="4000"/>
      <c r="P188" s="4001"/>
      <c r="Q188" s="248"/>
    </row>
    <row r="189" spans="1:26" s="19" customFormat="1" ht="3" customHeight="1" thickBot="1">
      <c r="A189" s="43"/>
      <c r="C189" s="2574"/>
      <c r="D189" s="2574"/>
      <c r="E189" s="2574"/>
      <c r="F189" s="2574"/>
      <c r="G189" s="2574"/>
      <c r="H189" s="2574"/>
      <c r="I189" s="2574"/>
      <c r="J189" s="2574"/>
      <c r="K189" s="2574"/>
      <c r="L189" s="2574"/>
      <c r="M189" s="2574"/>
      <c r="N189" s="2813"/>
      <c r="O189" s="31"/>
      <c r="P189" s="2541"/>
    </row>
    <row r="190" spans="1:26" s="19" customFormat="1" ht="13.5" customHeight="1" thickBot="1">
      <c r="A190" s="79" t="s">
        <v>1491</v>
      </c>
      <c r="B190" s="50" t="s">
        <v>2888</v>
      </c>
      <c r="C190" s="2574"/>
      <c r="D190" s="2574"/>
      <c r="E190" s="2574"/>
      <c r="F190" s="2574"/>
      <c r="G190" s="2574"/>
      <c r="H190" s="2574"/>
      <c r="I190" s="2574"/>
      <c r="J190" s="2574"/>
      <c r="K190" s="2574"/>
      <c r="L190" s="2574"/>
      <c r="M190" s="2541">
        <v>3</v>
      </c>
      <c r="N190" s="2813"/>
      <c r="O190" s="31"/>
      <c r="P190" s="664"/>
      <c r="Q190" s="53" t="s">
        <v>795</v>
      </c>
      <c r="R190" s="606" t="s">
        <v>2889</v>
      </c>
    </row>
    <row r="191" spans="1:26" s="19" customFormat="1" ht="13.5" customHeight="1">
      <c r="A191" s="79"/>
      <c r="B191" s="48" t="s">
        <v>2890</v>
      </c>
      <c r="C191" s="2574"/>
      <c r="D191" s="2574"/>
      <c r="E191" s="2574"/>
      <c r="F191" s="2574"/>
      <c r="G191" s="2574"/>
      <c r="H191" s="2574"/>
      <c r="L191" s="1467" t="str">
        <f>IF(OR(O$233&gt;0,O$205&gt;0),"Applicant is ineligible for points in this section!  Points claimed in Stable Communities or Community Designations.","")</f>
        <v/>
      </c>
      <c r="M191" s="2541"/>
      <c r="N191" s="2813"/>
      <c r="O191" s="267"/>
      <c r="P191" s="786"/>
      <c r="Q191" s="53"/>
      <c r="R191" s="1209"/>
      <c r="S191" s="1209"/>
      <c r="T191" s="1209"/>
      <c r="U191" s="1209"/>
    </row>
    <row r="192" spans="1:26" s="19" customFormat="1" ht="13.5" customHeight="1">
      <c r="A192" s="79"/>
      <c r="B192" s="1066" t="s">
        <v>2891</v>
      </c>
      <c r="C192" s="2574"/>
      <c r="D192" s="2574"/>
      <c r="E192" s="2574"/>
      <c r="F192" s="2574"/>
      <c r="G192" s="2574"/>
      <c r="H192" s="2574"/>
      <c r="L192" s="869"/>
      <c r="M192" s="2541"/>
      <c r="N192" s="2541"/>
      <c r="O192" s="2541"/>
      <c r="P192" s="2541"/>
      <c r="Q192" s="53"/>
      <c r="R192" s="1209"/>
      <c r="S192" s="1209"/>
      <c r="T192" s="1209"/>
      <c r="U192" s="1209"/>
    </row>
    <row r="193" spans="1:24" ht="11.65" customHeight="1">
      <c r="A193" s="72" t="s">
        <v>230</v>
      </c>
      <c r="B193" s="92" t="s">
        <v>2892</v>
      </c>
      <c r="D193" s="11"/>
      <c r="G193" s="264"/>
      <c r="N193"/>
      <c r="O193" s="2584"/>
      <c r="P193" s="2584"/>
      <c r="Q193" s="150"/>
    </row>
    <row r="194" spans="1:24" s="966" customFormat="1" ht="12.75" customHeight="1">
      <c r="B194" s="244" t="s">
        <v>212</v>
      </c>
      <c r="C194" s="3998" t="s">
        <v>2893</v>
      </c>
      <c r="D194" s="3998"/>
      <c r="E194" s="3998"/>
      <c r="F194" s="3998"/>
      <c r="G194" s="3998"/>
      <c r="H194" s="3998"/>
      <c r="I194" s="3998"/>
      <c r="J194" s="3998"/>
      <c r="K194" s="3998"/>
      <c r="L194" s="3998"/>
      <c r="M194" s="665" t="s">
        <v>230</v>
      </c>
      <c r="N194" s="217" t="s">
        <v>212</v>
      </c>
      <c r="O194" s="1374"/>
      <c r="P194" s="1375"/>
      <c r="Q194" s="707"/>
      <c r="V194" s="1185"/>
      <c r="W194" s="1185"/>
    </row>
    <row r="195" spans="1:24" s="11" customFormat="1" ht="12.75" customHeight="1">
      <c r="A195" s="288"/>
      <c r="B195" s="244" t="s">
        <v>220</v>
      </c>
      <c r="C195" s="16" t="s">
        <v>2894</v>
      </c>
      <c r="D195" s="68"/>
      <c r="E195" s="68"/>
      <c r="F195" s="68"/>
      <c r="G195" s="68"/>
      <c r="H195" s="68"/>
      <c r="I195" s="68"/>
      <c r="J195" s="68"/>
      <c r="K195" s="68"/>
      <c r="L195" s="68"/>
      <c r="M195" s="68"/>
      <c r="N195" s="217" t="s">
        <v>220</v>
      </c>
      <c r="O195" s="202"/>
      <c r="P195" s="307"/>
      <c r="Q195" s="610"/>
      <c r="V195" s="702"/>
      <c r="W195" s="702"/>
    </row>
    <row r="196" spans="1:24" s="11" customFormat="1" ht="22.5" customHeight="1">
      <c r="A196" s="288"/>
      <c r="B196" s="244" t="s">
        <v>224</v>
      </c>
      <c r="C196" s="3998" t="s">
        <v>2895</v>
      </c>
      <c r="D196" s="3998"/>
      <c r="E196" s="3998"/>
      <c r="F196" s="3998"/>
      <c r="G196" s="3998"/>
      <c r="H196" s="3998"/>
      <c r="I196" s="3998"/>
      <c r="J196" s="3998"/>
      <c r="K196" s="3998"/>
      <c r="L196" s="3998"/>
      <c r="M196" s="337"/>
      <c r="N196" s="217" t="s">
        <v>224</v>
      </c>
      <c r="O196" s="2583"/>
      <c r="P196" s="2581"/>
      <c r="Q196" s="610"/>
      <c r="V196" s="702"/>
      <c r="W196" s="702"/>
    </row>
    <row r="197" spans="1:24" ht="11.65" customHeight="1">
      <c r="A197" s="72" t="s">
        <v>232</v>
      </c>
      <c r="B197" s="92" t="s">
        <v>2896</v>
      </c>
      <c r="D197" s="11"/>
      <c r="G197" s="264"/>
      <c r="N197"/>
      <c r="O197" s="2584"/>
      <c r="P197" s="2584"/>
      <c r="Q197" s="150"/>
    </row>
    <row r="198" spans="1:24" s="966" customFormat="1" ht="23.25" customHeight="1">
      <c r="B198" s="244" t="s">
        <v>212</v>
      </c>
      <c r="C198" s="3998" t="s">
        <v>2897</v>
      </c>
      <c r="D198" s="3998"/>
      <c r="E198" s="3998"/>
      <c r="F198" s="3998"/>
      <c r="G198" s="3998"/>
      <c r="H198" s="3998"/>
      <c r="I198" s="3998"/>
      <c r="J198" s="3998"/>
      <c r="K198" s="3998"/>
      <c r="L198" s="3998"/>
      <c r="M198" s="665" t="s">
        <v>232</v>
      </c>
      <c r="N198" s="217" t="s">
        <v>212</v>
      </c>
      <c r="O198" s="1374"/>
      <c r="P198" s="1375"/>
      <c r="Q198" s="707"/>
      <c r="V198" s="1185"/>
      <c r="W198" s="1185"/>
    </row>
    <row r="199" spans="1:24" s="11" customFormat="1" ht="23.25" customHeight="1">
      <c r="A199" s="288"/>
      <c r="B199" s="244" t="s">
        <v>220</v>
      </c>
      <c r="C199" s="3998" t="s">
        <v>2898</v>
      </c>
      <c r="D199" s="3998"/>
      <c r="E199" s="3998"/>
      <c r="F199" s="3998"/>
      <c r="G199" s="3998"/>
      <c r="H199" s="3998"/>
      <c r="I199" s="3998"/>
      <c r="J199" s="3998"/>
      <c r="K199" s="3998"/>
      <c r="L199" s="3998"/>
      <c r="M199" s="68"/>
      <c r="N199" s="217" t="s">
        <v>220</v>
      </c>
      <c r="O199" s="2583"/>
      <c r="P199" s="2581"/>
      <c r="Q199" s="610"/>
      <c r="V199" s="702"/>
      <c r="W199" s="702"/>
    </row>
    <row r="200" spans="1:24" s="19" customFormat="1" ht="12" customHeight="1" thickBot="1">
      <c r="A200" s="43"/>
      <c r="B200" s="699" t="s">
        <v>2833</v>
      </c>
      <c r="C200" s="43"/>
      <c r="D200" s="48"/>
      <c r="E200" s="48"/>
      <c r="F200" s="48"/>
      <c r="G200" s="48"/>
      <c r="H200" s="13"/>
      <c r="I200" s="13"/>
      <c r="M200" s="32"/>
      <c r="N200" s="58"/>
      <c r="O200" s="2"/>
      <c r="P200" s="2535"/>
    </row>
    <row r="201" spans="1:24" s="19" customFormat="1" ht="45.6" customHeight="1" thickTop="1" thickBot="1">
      <c r="A201" s="4351"/>
      <c r="B201" s="4352"/>
      <c r="C201" s="4352"/>
      <c r="D201" s="4352"/>
      <c r="E201" s="4352"/>
      <c r="F201" s="4352"/>
      <c r="G201" s="4352"/>
      <c r="H201" s="4352"/>
      <c r="I201" s="4352"/>
      <c r="J201" s="4352"/>
      <c r="K201" s="4352"/>
      <c r="L201" s="4352"/>
      <c r="M201" s="4352"/>
      <c r="N201" s="4352"/>
      <c r="O201" s="4352"/>
      <c r="P201" s="4353"/>
      <c r="Q201" s="249" t="s">
        <v>2401</v>
      </c>
    </row>
    <row r="202" spans="1:24" s="19" customFormat="1" ht="10.5" customHeight="1" thickTop="1">
      <c r="A202" s="43"/>
      <c r="B202" s="37" t="s">
        <v>1447</v>
      </c>
      <c r="C202" s="43"/>
      <c r="D202" s="37"/>
      <c r="E202" s="2574"/>
      <c r="F202" s="2574"/>
      <c r="G202" s="2574"/>
      <c r="H202" s="2574"/>
      <c r="I202" s="2574"/>
      <c r="J202" s="2574"/>
      <c r="K202" s="2574"/>
      <c r="L202" s="2574"/>
      <c r="M202" s="2574"/>
      <c r="N202" s="2813"/>
      <c r="O202" s="31"/>
      <c r="P202" s="2541"/>
    </row>
    <row r="203" spans="1:24" s="19" customFormat="1" ht="22.15" customHeight="1">
      <c r="A203" s="4240"/>
      <c r="B203" s="4241"/>
      <c r="C203" s="4241"/>
      <c r="D203" s="4241"/>
      <c r="E203" s="4241"/>
      <c r="F203" s="4241"/>
      <c r="G203" s="4241"/>
      <c r="H203" s="4241"/>
      <c r="I203" s="4241"/>
      <c r="J203" s="4241"/>
      <c r="K203" s="4241"/>
      <c r="L203" s="4241"/>
      <c r="M203" s="4241"/>
      <c r="N203" s="4241"/>
      <c r="O203" s="4241"/>
      <c r="P203" s="4242"/>
      <c r="Q203" s="248"/>
    </row>
    <row r="204" spans="1:24" ht="6.75" customHeight="1" thickBot="1">
      <c r="N204" s="58"/>
      <c r="O204" s="2535"/>
      <c r="P204" s="2535"/>
      <c r="V204" s="19"/>
      <c r="W204" s="19"/>
      <c r="X204" s="19"/>
    </row>
    <row r="205" spans="1:24" s="42" customFormat="1" ht="13.5" customHeight="1" thickBot="1">
      <c r="A205" s="79" t="s">
        <v>1494</v>
      </c>
      <c r="B205" s="50" t="s">
        <v>1960</v>
      </c>
      <c r="D205" s="21"/>
      <c r="E205" s="21"/>
      <c r="L205" s="288" t="str">
        <f>IF(AND(O205&gt;0,NOT($M$55="New Supply")), "Ineligible to score in this section, not New Supply!","")</f>
        <v/>
      </c>
      <c r="M205" s="2541">
        <v>10</v>
      </c>
      <c r="N205" s="32"/>
      <c r="O205" s="652">
        <f>MIN($M$205,O207+O211)</f>
        <v>0</v>
      </c>
      <c r="P205" s="652">
        <f>MIN($M$205,P207+P211)</f>
        <v>0</v>
      </c>
      <c r="Q205" s="53" t="s">
        <v>795</v>
      </c>
      <c r="R205" s="606"/>
      <c r="S205" s="1210"/>
      <c r="T205" s="1210"/>
      <c r="U205" s="1210"/>
      <c r="V205" s="19"/>
      <c r="W205" s="19"/>
      <c r="X205" s="19"/>
    </row>
    <row r="206" spans="1:24" s="42" customFormat="1" ht="3" customHeight="1">
      <c r="A206" s="79"/>
      <c r="B206" s="50"/>
      <c r="D206" s="21"/>
      <c r="E206" s="21"/>
      <c r="G206" s="98"/>
      <c r="M206" s="336"/>
      <c r="Q206" s="53"/>
      <c r="S206" s="1210"/>
      <c r="T206" s="1210"/>
      <c r="U206" s="1210"/>
      <c r="V206" s="19"/>
      <c r="W206" s="19"/>
      <c r="X206" s="19"/>
    </row>
    <row r="207" spans="1:24" s="42" customFormat="1" ht="12.75" customHeight="1">
      <c r="A207" s="1186" t="s">
        <v>197</v>
      </c>
      <c r="B207" s="92" t="s">
        <v>2899</v>
      </c>
      <c r="D207" s="21"/>
      <c r="E207" s="21"/>
      <c r="K207" s="964"/>
      <c r="M207" s="2659">
        <v>5</v>
      </c>
      <c r="N207" s="28" t="s">
        <v>197</v>
      </c>
      <c r="O207" s="338"/>
      <c r="P207" s="503"/>
      <c r="Q207" s="890" t="str">
        <f>IF(O207&lt;=M207,"","*CHECK!*")</f>
        <v/>
      </c>
      <c r="R207" s="606" t="s">
        <v>2821</v>
      </c>
      <c r="S207" s="1210"/>
      <c r="T207" s="1210"/>
      <c r="U207" s="1210"/>
    </row>
    <row r="208" spans="1:24" ht="12.75" customHeight="1">
      <c r="B208" s="1186"/>
      <c r="C208" s="13" t="s">
        <v>2900</v>
      </c>
      <c r="D208" s="42"/>
      <c r="E208" s="21"/>
      <c r="F208" s="21"/>
      <c r="G208" s="42"/>
      <c r="H208" s="42"/>
      <c r="I208" s="42"/>
      <c r="J208" s="4310" t="s">
        <v>2701</v>
      </c>
      <c r="K208" s="4311"/>
      <c r="L208" s="4312"/>
      <c r="M208" s="4313"/>
      <c r="N208" s="32"/>
      <c r="O208" s="2535"/>
      <c r="P208" s="2535"/>
      <c r="R208" s="53"/>
      <c r="S208" s="42"/>
    </row>
    <row r="209" spans="1:27" ht="12.75" customHeight="1">
      <c r="C209" s="516" t="s">
        <v>2901</v>
      </c>
      <c r="D209" s="25"/>
      <c r="J209" s="4372"/>
      <c r="K209" s="4373"/>
      <c r="L209" s="4373"/>
      <c r="M209" s="4374"/>
      <c r="N209" s="32"/>
      <c r="O209" s="32"/>
      <c r="P209" s="32"/>
      <c r="R209" s="42"/>
      <c r="S209" s="1210"/>
    </row>
    <row r="210" spans="1:27" ht="6" customHeight="1">
      <c r="A210" s="292"/>
      <c r="B210" s="515"/>
      <c r="C210" s="25"/>
      <c r="M210" s="32"/>
      <c r="N210" s="2595"/>
      <c r="O210" s="2541"/>
      <c r="P210" s="2541"/>
      <c r="S210" s="1210"/>
      <c r="T210" s="1210"/>
      <c r="U210" s="1210"/>
    </row>
    <row r="211" spans="1:27" s="11" customFormat="1" ht="12.75" customHeight="1">
      <c r="A211" s="517" t="s">
        <v>209</v>
      </c>
      <c r="B211" s="872" t="s">
        <v>2902</v>
      </c>
      <c r="C211" s="13"/>
      <c r="K211" s="28"/>
      <c r="L211" s="28"/>
      <c r="M211" s="2659">
        <v>5</v>
      </c>
      <c r="N211" s="28" t="s">
        <v>209</v>
      </c>
      <c r="O211" s="338"/>
      <c r="P211" s="503"/>
      <c r="Q211" s="890" t="str">
        <f>IF(O211&lt;=M211,"","*CHECK!*")</f>
        <v/>
      </c>
      <c r="R211" s="606" t="s">
        <v>2821</v>
      </c>
      <c r="S211" s="1210"/>
      <c r="T211" s="1210"/>
      <c r="U211" s="1210"/>
    </row>
    <row r="212" spans="1:27">
      <c r="C212" s="1217" t="s">
        <v>2903</v>
      </c>
      <c r="E212" s="4483" t="s">
        <v>2904</v>
      </c>
      <c r="F212" s="4483"/>
      <c r="G212" s="4483"/>
      <c r="H212" s="4483"/>
      <c r="I212" s="2600" t="s">
        <v>2905</v>
      </c>
      <c r="J212" s="4483" t="s">
        <v>2904</v>
      </c>
      <c r="K212" s="4483"/>
      <c r="L212" s="4483"/>
      <c r="M212" s="4483"/>
      <c r="N212"/>
      <c r="O212"/>
      <c r="P212"/>
    </row>
    <row r="213" spans="1:27" ht="13.5" customHeight="1">
      <c r="B213" s="292"/>
      <c r="C213" s="13" t="s">
        <v>2906</v>
      </c>
      <c r="E213" s="4484"/>
      <c r="F213" s="4485"/>
      <c r="G213" s="4485"/>
      <c r="H213" s="4486"/>
      <c r="I213" s="1430" t="s">
        <v>445</v>
      </c>
      <c r="J213" s="4369"/>
      <c r="K213" s="4370"/>
      <c r="L213" s="4370"/>
      <c r="M213" s="4371"/>
      <c r="N213"/>
      <c r="O213" s="2535"/>
      <c r="P213" s="2535"/>
      <c r="Q213" s="2535"/>
      <c r="R213" s="2535"/>
      <c r="S213" s="2535"/>
      <c r="T213" s="2535"/>
      <c r="U213" s="2535"/>
      <c r="V213" s="2535"/>
      <c r="W213" s="2535"/>
      <c r="X213" s="2535"/>
      <c r="Y213" s="2535"/>
      <c r="Z213" s="2535"/>
      <c r="AA213" s="1431"/>
    </row>
    <row r="214" spans="1:27" ht="13.5" customHeight="1">
      <c r="C214" s="13" t="s">
        <v>2907</v>
      </c>
      <c r="E214" s="4360"/>
      <c r="F214" s="4361"/>
      <c r="G214" s="4361"/>
      <c r="H214" s="4362"/>
      <c r="I214" s="1468"/>
      <c r="J214" s="4375"/>
      <c r="K214" s="4376"/>
      <c r="L214" s="4376"/>
      <c r="M214" s="4377"/>
      <c r="N214" s="890" t="str">
        <f>IF(P211&lt;=N211,"","*CHECK!*")</f>
        <v/>
      </c>
      <c r="O214" s="2535"/>
      <c r="P214" s="2535"/>
      <c r="Q214" s="2535"/>
      <c r="R214" s="2535"/>
      <c r="S214" s="2535"/>
      <c r="T214" s="2535"/>
      <c r="U214" s="2535"/>
      <c r="V214" s="2535"/>
      <c r="W214" s="2535"/>
      <c r="X214" s="2535"/>
      <c r="Y214" s="2535"/>
      <c r="Z214" s="2535"/>
      <c r="AA214" s="1431"/>
    </row>
    <row r="215" spans="1:27" ht="13.5" customHeight="1">
      <c r="B215" s="292"/>
      <c r="C215" s="13" t="s">
        <v>2908</v>
      </c>
      <c r="E215" s="4360"/>
      <c r="F215" s="4361"/>
      <c r="G215" s="4361"/>
      <c r="H215" s="4362"/>
      <c r="I215" s="1468"/>
      <c r="J215" s="4375"/>
      <c r="K215" s="4376"/>
      <c r="L215" s="4376"/>
      <c r="M215" s="4377"/>
      <c r="N215"/>
      <c r="O215" s="2535"/>
      <c r="P215" s="2535"/>
      <c r="Q215" s="2535"/>
      <c r="R215" s="2535"/>
      <c r="S215" s="2535"/>
      <c r="T215" s="2535"/>
      <c r="U215" s="2535"/>
      <c r="V215" s="2535"/>
      <c r="W215" s="2535"/>
      <c r="X215" s="2535"/>
      <c r="Y215" s="2535"/>
      <c r="Z215" s="2535"/>
      <c r="AA215" s="1431"/>
    </row>
    <row r="216" spans="1:27" ht="13.5" customHeight="1">
      <c r="B216" s="25"/>
      <c r="C216" s="13" t="s">
        <v>1986</v>
      </c>
      <c r="E216" s="4357"/>
      <c r="F216" s="4358"/>
      <c r="G216" s="4358"/>
      <c r="H216" s="4359"/>
      <c r="I216" s="1469"/>
      <c r="J216" s="4366"/>
      <c r="K216" s="4367"/>
      <c r="L216" s="4367"/>
      <c r="M216" s="4368"/>
      <c r="N216" s="25"/>
      <c r="O216" s="2535"/>
      <c r="P216" s="2535"/>
      <c r="Q216" s="2535"/>
      <c r="R216" s="2535"/>
      <c r="S216" s="2535"/>
      <c r="T216" s="2535"/>
      <c r="U216" s="2535"/>
      <c r="V216" s="2535"/>
      <c r="W216" s="2535"/>
      <c r="X216" s="2535"/>
      <c r="Y216" s="2535"/>
      <c r="Z216" s="2535"/>
      <c r="AA216" s="1431"/>
    </row>
    <row r="217" spans="1:27" ht="6" customHeight="1">
      <c r="B217" s="25"/>
      <c r="C217" s="515"/>
      <c r="D217" s="25"/>
      <c r="N217" s="32"/>
      <c r="O217" s="2595"/>
      <c r="P217" s="2541"/>
      <c r="Q217" s="2541"/>
      <c r="R217" s="2541"/>
      <c r="S217" s="2541"/>
      <c r="T217" s="2541"/>
      <c r="U217" s="2541"/>
      <c r="V217" s="2541"/>
      <c r="W217" s="2541"/>
      <c r="X217" s="2541"/>
      <c r="Y217" s="2541"/>
      <c r="Z217" s="2541"/>
    </row>
    <row r="218" spans="1:27" ht="3" customHeight="1">
      <c r="A218" s="292"/>
      <c r="B218" s="515"/>
      <c r="C218" s="25"/>
      <c r="M218" s="32"/>
      <c r="N218" s="2595"/>
      <c r="O218" s="2541"/>
      <c r="P218" s="2541"/>
      <c r="S218" s="1396"/>
      <c r="T218" s="1396"/>
      <c r="U218" s="1396"/>
      <c r="V218" s="1396"/>
      <c r="W218" s="1396"/>
    </row>
    <row r="219" spans="1:27" s="19" customFormat="1" ht="10.5" customHeight="1" thickBot="1">
      <c r="A219" s="43"/>
      <c r="B219" s="699" t="s">
        <v>2833</v>
      </c>
      <c r="C219" s="43"/>
      <c r="D219" s="48"/>
      <c r="E219" s="48"/>
      <c r="F219" s="48"/>
      <c r="G219" s="48"/>
      <c r="H219" s="13"/>
      <c r="I219" s="13"/>
      <c r="J219" s="13"/>
      <c r="K219" s="13"/>
      <c r="M219" s="32"/>
      <c r="N219" s="58"/>
      <c r="O219" s="2"/>
      <c r="P219" s="2535"/>
    </row>
    <row r="220" spans="1:27" s="19" customFormat="1" ht="34.9" customHeight="1" thickTop="1" thickBot="1">
      <c r="A220" s="4291"/>
      <c r="B220" s="4292"/>
      <c r="C220" s="4292"/>
      <c r="D220" s="4292"/>
      <c r="E220" s="4292"/>
      <c r="F220" s="4292"/>
      <c r="G220" s="4292"/>
      <c r="H220" s="4292"/>
      <c r="I220" s="4292"/>
      <c r="J220" s="4292"/>
      <c r="K220" s="4292"/>
      <c r="L220" s="4292"/>
      <c r="M220" s="4292"/>
      <c r="N220" s="4292"/>
      <c r="O220" s="4292"/>
      <c r="P220" s="4293"/>
      <c r="Q220" s="249" t="s">
        <v>2401</v>
      </c>
    </row>
    <row r="221" spans="1:27" ht="2.25" customHeight="1" thickTop="1">
      <c r="A221" s="292"/>
      <c r="B221" s="515"/>
      <c r="C221" s="25"/>
      <c r="M221" s="32"/>
      <c r="N221" s="2595"/>
      <c r="O221" s="2541"/>
      <c r="P221" s="2541"/>
    </row>
    <row r="222" spans="1:27" s="19" customFormat="1" ht="10.5" customHeight="1">
      <c r="A222" s="43"/>
      <c r="B222" s="37" t="s">
        <v>1447</v>
      </c>
      <c r="C222" s="43"/>
      <c r="D222" s="37"/>
      <c r="E222" s="2574"/>
      <c r="F222" s="2574"/>
      <c r="G222" s="2574"/>
      <c r="H222" s="2574"/>
      <c r="I222" s="2574"/>
      <c r="J222" s="2574"/>
      <c r="K222" s="2574"/>
      <c r="L222" s="2574"/>
      <c r="M222" s="2574"/>
      <c r="N222" s="2813"/>
      <c r="O222" s="31"/>
      <c r="P222" s="2541"/>
    </row>
    <row r="223" spans="1:27" s="19" customFormat="1" ht="11.25" customHeight="1">
      <c r="A223" s="4240"/>
      <c r="B223" s="4241"/>
      <c r="C223" s="4241"/>
      <c r="D223" s="4241"/>
      <c r="E223" s="4241"/>
      <c r="F223" s="4241"/>
      <c r="G223" s="4241"/>
      <c r="H223" s="4241"/>
      <c r="I223" s="4241"/>
      <c r="J223" s="4241"/>
      <c r="K223" s="4241"/>
      <c r="L223" s="4241"/>
      <c r="M223" s="4241"/>
      <c r="N223" s="4241"/>
      <c r="O223" s="4241"/>
      <c r="P223" s="4242"/>
      <c r="Q223" s="248"/>
    </row>
    <row r="224" spans="1:27" s="19" customFormat="1" ht="5.25" customHeight="1" thickBot="1">
      <c r="A224" s="43"/>
      <c r="D224" s="13"/>
      <c r="E224" s="13"/>
      <c r="F224" s="2541"/>
      <c r="G224" s="2541"/>
      <c r="H224" s="2541"/>
      <c r="I224" s="2541"/>
      <c r="J224" s="16"/>
      <c r="K224" s="16"/>
      <c r="L224" s="16"/>
      <c r="M224" s="2584"/>
      <c r="N224" s="2541"/>
      <c r="O224" s="2535"/>
      <c r="P224" s="2"/>
    </row>
    <row r="225" spans="1:24" ht="13.5" customHeight="1" thickBot="1">
      <c r="A225" s="79" t="s">
        <v>1501</v>
      </c>
      <c r="B225" s="80" t="s">
        <v>2023</v>
      </c>
      <c r="C225" s="25"/>
      <c r="G225" s="1203" t="s">
        <v>2909</v>
      </c>
      <c r="H225" s="1140" t="e">
        <f>IF(OR($M$34="9% Credit Competitive Round only", $M$34="9% Credit &amp; HOME"),"9%",IF(OR($M$34="4% Credit/TE Bond", $M$34="4% Credit/TE Bond &amp; HOME", $M$34="4% Credit/TE Bond &amp; HOME NOFA", $M$34="4% Credit &amp; NHTF", $M$34="4% Credit &amp; NHTF &amp; HOME"),"4%",""))</f>
        <v>#REF!</v>
      </c>
      <c r="J225" s="1203" t="s">
        <v>829</v>
      </c>
      <c r="K225" s="4348" t="str">
        <f>M55</f>
        <v>&lt;&lt; Select Activity Type &gt;&gt;</v>
      </c>
      <c r="L225" s="4349"/>
      <c r="M225" s="2541">
        <v>1</v>
      </c>
      <c r="N225" s="2595"/>
      <c r="O225" s="652">
        <f>IF(O227+O228&gt;$M$225,"Choose",MIN($M$225,SUM(O227:O228)))</f>
        <v>0</v>
      </c>
      <c r="P225" s="652">
        <f>IF(P227+P228&gt;$M$225,"Choose",MIN($M$225,SUM(P227:P228)))</f>
        <v>0</v>
      </c>
      <c r="Q225" s="53" t="s">
        <v>795</v>
      </c>
      <c r="R225" s="651" t="str">
        <f>IF(AND(O225&gt;0,NOT($M$55="New Supply")), "Ineligible to score in this section, not New Supply!","")</f>
        <v/>
      </c>
    </row>
    <row r="226" spans="1:24" s="19" customFormat="1" ht="12" customHeight="1">
      <c r="A226" s="43"/>
      <c r="B226" s="1205" t="s">
        <v>2910</v>
      </c>
      <c r="D226" s="13"/>
      <c r="E226" s="13"/>
      <c r="F226" s="2541"/>
      <c r="G226" s="2584" t="s">
        <v>2025</v>
      </c>
      <c r="H226" s="870" t="e">
        <f>IF(#REF!=0,0,#REF!/#REF!)</f>
        <v>#REF!</v>
      </c>
      <c r="J226" s="264" t="s">
        <v>2911</v>
      </c>
      <c r="K226" s="4364" t="e">
        <f>#REF!</f>
        <v>#REF!</v>
      </c>
      <c r="L226" s="4365"/>
      <c r="M226" s="2584"/>
      <c r="N226" s="2541"/>
      <c r="O226" s="2535"/>
      <c r="P226" s="2"/>
    </row>
    <row r="227" spans="1:24" ht="12" customHeight="1">
      <c r="A227" s="517" t="s">
        <v>197</v>
      </c>
      <c r="B227" s="39" t="s">
        <v>2912</v>
      </c>
      <c r="C227" s="25"/>
      <c r="E227" s="146" t="s">
        <v>2913</v>
      </c>
      <c r="M227" s="2659">
        <v>1</v>
      </c>
      <c r="N227" s="28" t="s">
        <v>197</v>
      </c>
      <c r="O227" s="967"/>
      <c r="P227" s="968"/>
      <c r="Q227" s="608" t="str">
        <f>IF(OR($O227=$M227,$O227=0,$O227=""),"","*CHECK!*")</f>
        <v/>
      </c>
      <c r="R227" s="606" t="s">
        <v>2821</v>
      </c>
    </row>
    <row r="228" spans="1:24" ht="12" customHeight="1">
      <c r="A228" s="517" t="s">
        <v>209</v>
      </c>
      <c r="B228" s="39" t="s">
        <v>1881</v>
      </c>
      <c r="C228" s="25"/>
      <c r="E228" s="146" t="s">
        <v>2914</v>
      </c>
      <c r="M228" s="2595">
        <v>1</v>
      </c>
      <c r="N228" s="28" t="s">
        <v>209</v>
      </c>
      <c r="O228" s="298"/>
      <c r="P228" s="305"/>
      <c r="Q228" s="608" t="str">
        <f>IF(OR($O228=$M228,$O228=0,$O228=""),"","*CHECK!*")</f>
        <v/>
      </c>
      <c r="R228" s="606" t="s">
        <v>2821</v>
      </c>
    </row>
    <row r="229" spans="1:24" ht="2.25" customHeight="1">
      <c r="A229" s="292"/>
      <c r="B229" s="515"/>
      <c r="C229" s="25"/>
      <c r="M229" s="32"/>
      <c r="N229" s="2595"/>
      <c r="O229" s="2541"/>
      <c r="P229" s="2541"/>
    </row>
    <row r="230" spans="1:24" s="19" customFormat="1" ht="11.25" customHeight="1">
      <c r="A230" s="43"/>
      <c r="B230" s="37" t="s">
        <v>1447</v>
      </c>
      <c r="C230" s="43"/>
      <c r="D230" s="37"/>
      <c r="E230" s="2574"/>
      <c r="F230" s="2574"/>
      <c r="G230" s="2574"/>
      <c r="H230" s="2574"/>
      <c r="I230" s="2574"/>
      <c r="J230" s="2574"/>
      <c r="K230" s="2574"/>
      <c r="L230" s="2574"/>
      <c r="M230" s="2574"/>
      <c r="N230" s="2813"/>
      <c r="O230" s="31"/>
      <c r="P230" s="2541"/>
    </row>
    <row r="231" spans="1:24" s="19" customFormat="1" ht="11.25" customHeight="1">
      <c r="A231" s="4240"/>
      <c r="B231" s="4241"/>
      <c r="C231" s="4241"/>
      <c r="D231" s="4241"/>
      <c r="E231" s="4241"/>
      <c r="F231" s="4241"/>
      <c r="G231" s="4241"/>
      <c r="H231" s="4241"/>
      <c r="I231" s="4241"/>
      <c r="J231" s="4241"/>
      <c r="K231" s="4241"/>
      <c r="L231" s="4241"/>
      <c r="M231" s="4241"/>
      <c r="N231" s="4241"/>
      <c r="O231" s="4241"/>
      <c r="P231" s="4242"/>
      <c r="Q231" s="248"/>
    </row>
    <row r="232" spans="1:24" s="19" customFormat="1" ht="5.25" customHeight="1" thickBot="1">
      <c r="A232" s="43"/>
      <c r="D232" s="13"/>
      <c r="E232" s="13"/>
      <c r="F232" s="2541"/>
      <c r="G232" s="2541"/>
      <c r="H232" s="2541"/>
      <c r="I232" s="2541"/>
      <c r="J232" s="16"/>
      <c r="K232" s="16"/>
      <c r="L232" s="16"/>
      <c r="M232" s="2584"/>
      <c r="N232" s="2541"/>
      <c r="O232" s="2535"/>
      <c r="P232" s="2"/>
    </row>
    <row r="233" spans="1:24" s="42" customFormat="1" ht="13.5" customHeight="1" thickBot="1">
      <c r="A233" s="79" t="s">
        <v>1508</v>
      </c>
      <c r="B233" s="50" t="s">
        <v>1988</v>
      </c>
      <c r="D233" s="21"/>
      <c r="E233" s="21"/>
      <c r="G233" s="1205"/>
      <c r="H233" s="98"/>
      <c r="I233" s="98"/>
      <c r="J233" s="98"/>
      <c r="K233" s="98"/>
      <c r="L233" s="288" t="str">
        <f>IF(AND(O233&gt;0,NOT($M$55="New Supply")), "Ineligible to score in this section, not New Supply!","")</f>
        <v/>
      </c>
      <c r="M233" s="2541">
        <v>10</v>
      </c>
      <c r="N233" s="32"/>
      <c r="O233" s="652">
        <f>IF(OR(O169&gt;0,O191&gt;0,O205&gt;0),0,IF(OR(O235="Yes",O236="Yes"),$M$233,0))</f>
        <v>0</v>
      </c>
      <c r="P233" s="652">
        <f>IF(OR(P169&gt;0,P191&gt;0,P205&gt;0),0,IF(OR(P235="Yes",P236="Yes"),$M$233,0))</f>
        <v>0</v>
      </c>
      <c r="Q233" s="53" t="s">
        <v>795</v>
      </c>
      <c r="R233" s="1210"/>
      <c r="S233" s="1210"/>
      <c r="T233" s="1210"/>
      <c r="U233" s="1210"/>
      <c r="V233" s="1210"/>
    </row>
    <row r="234" spans="1:24" s="42" customFormat="1" ht="3" customHeight="1">
      <c r="A234" s="79"/>
      <c r="B234" s="50"/>
      <c r="D234" s="21"/>
      <c r="E234" s="21"/>
      <c r="G234" s="98"/>
      <c r="M234" s="336"/>
      <c r="Q234" s="53"/>
      <c r="R234" s="1210"/>
      <c r="S234" s="1210"/>
      <c r="T234" s="1210"/>
      <c r="U234" s="1210"/>
      <c r="V234" s="1210"/>
      <c r="W234" s="19"/>
      <c r="X234" s="19"/>
    </row>
    <row r="235" spans="1:24" ht="11.25" customHeight="1">
      <c r="A235" s="517" t="s">
        <v>197</v>
      </c>
      <c r="B235" s="666" t="s">
        <v>1989</v>
      </c>
      <c r="D235" s="266"/>
      <c r="E235" s="266"/>
      <c r="F235" s="266"/>
      <c r="G235" s="266"/>
      <c r="H235" s="266"/>
      <c r="L235" s="266"/>
      <c r="M235" s="4355" t="str">
        <f>IF(AND(O235="Yes",O236="Yes"),"Only one category can be selected!","")</f>
        <v/>
      </c>
      <c r="N235" s="28" t="s">
        <v>197</v>
      </c>
      <c r="O235" s="935"/>
      <c r="P235" s="936"/>
      <c r="Q235" s="613"/>
      <c r="R235" s="1210"/>
      <c r="S235" s="1210"/>
      <c r="T235" s="1210"/>
      <c r="U235" s="1210"/>
      <c r="V235" s="1210"/>
    </row>
    <row r="236" spans="1:24" ht="11.25" customHeight="1">
      <c r="A236" s="517" t="s">
        <v>209</v>
      </c>
      <c r="B236" s="666" t="s">
        <v>1990</v>
      </c>
      <c r="D236" s="266"/>
      <c r="L236" s="266"/>
      <c r="M236" s="4355"/>
      <c r="N236" s="28" t="s">
        <v>209</v>
      </c>
      <c r="O236" s="118"/>
      <c r="P236" s="308"/>
      <c r="Q236" s="613"/>
      <c r="R236" s="1210"/>
      <c r="S236" s="1210"/>
      <c r="T236" s="1210"/>
      <c r="U236" s="1210"/>
      <c r="V236" s="1210"/>
    </row>
    <row r="237" spans="1:24" s="19" customFormat="1" ht="10.5" customHeight="1" thickBot="1">
      <c r="A237" s="43"/>
      <c r="B237" s="699" t="s">
        <v>2833</v>
      </c>
      <c r="C237" s="43"/>
      <c r="D237" s="48"/>
      <c r="E237" s="48"/>
      <c r="F237" s="48"/>
      <c r="G237" s="48"/>
      <c r="H237" s="13"/>
      <c r="I237" s="13"/>
      <c r="J237" s="13"/>
      <c r="K237" s="13"/>
      <c r="M237" s="32"/>
      <c r="N237" s="58"/>
      <c r="O237" s="2"/>
      <c r="P237" s="2535"/>
      <c r="R237" s="1210"/>
      <c r="S237" s="1210"/>
      <c r="T237" s="1210"/>
      <c r="U237" s="1210"/>
      <c r="V237" s="1210"/>
    </row>
    <row r="238" spans="1:24" s="19" customFormat="1" ht="34.9" customHeight="1" thickTop="1" thickBot="1">
      <c r="A238" s="4291"/>
      <c r="B238" s="4292"/>
      <c r="C238" s="4292"/>
      <c r="D238" s="4292"/>
      <c r="E238" s="4292"/>
      <c r="F238" s="4292"/>
      <c r="G238" s="4292"/>
      <c r="H238" s="4292"/>
      <c r="I238" s="4292"/>
      <c r="J238" s="4292"/>
      <c r="K238" s="4292"/>
      <c r="L238" s="4292"/>
      <c r="M238" s="4292"/>
      <c r="N238" s="4292"/>
      <c r="O238" s="4292"/>
      <c r="P238" s="4293"/>
      <c r="Q238" s="249" t="s">
        <v>2401</v>
      </c>
    </row>
    <row r="239" spans="1:24" s="19" customFormat="1" ht="10.5" customHeight="1" thickTop="1">
      <c r="A239" s="43"/>
      <c r="B239" s="37" t="s">
        <v>1447</v>
      </c>
      <c r="C239" s="43"/>
      <c r="D239" s="37"/>
      <c r="E239" s="2574"/>
      <c r="F239" s="2574"/>
      <c r="G239" s="2574"/>
      <c r="H239" s="2574"/>
      <c r="I239" s="2574"/>
      <c r="J239" s="2574"/>
      <c r="K239" s="2574"/>
      <c r="L239" s="2574"/>
      <c r="M239" s="2574"/>
      <c r="N239" s="2813"/>
      <c r="O239" s="31"/>
      <c r="P239" s="2541"/>
    </row>
    <row r="240" spans="1:24" s="19" customFormat="1" ht="11.25" customHeight="1">
      <c r="A240" s="4240"/>
      <c r="B240" s="4241"/>
      <c r="C240" s="4241"/>
      <c r="D240" s="4241"/>
      <c r="E240" s="4241"/>
      <c r="F240" s="4241"/>
      <c r="G240" s="4241"/>
      <c r="H240" s="4241"/>
      <c r="I240" s="4241"/>
      <c r="J240" s="4241"/>
      <c r="K240" s="4241"/>
      <c r="L240" s="4241"/>
      <c r="M240" s="4241"/>
      <c r="N240" s="4241"/>
      <c r="O240" s="4241"/>
      <c r="P240" s="4242"/>
      <c r="Q240" s="248"/>
    </row>
    <row r="241" spans="1:27" s="19" customFormat="1" ht="5.25" customHeight="1" thickBot="1">
      <c r="A241" s="43"/>
      <c r="D241" s="13"/>
      <c r="E241" s="13"/>
      <c r="F241" s="2541"/>
      <c r="G241" s="2541"/>
      <c r="H241" s="2541"/>
      <c r="I241" s="2541"/>
      <c r="J241" s="16"/>
      <c r="K241" s="16"/>
      <c r="L241" s="16"/>
      <c r="M241" s="2584"/>
      <c r="N241" s="2541"/>
      <c r="O241" s="2535"/>
      <c r="P241" s="2"/>
    </row>
    <row r="242" spans="1:27" s="19" customFormat="1" ht="13.5" customHeight="1" thickBot="1">
      <c r="A242" s="79" t="s">
        <v>1530</v>
      </c>
      <c r="B242" s="50" t="s">
        <v>1992</v>
      </c>
      <c r="D242" s="17"/>
      <c r="E242" s="1499" t="str">
        <f>IF(AND(O242&gt;0,NOT($M$55="New Supply")), "Ineligible to score in this section, not New Supply!","")</f>
        <v/>
      </c>
      <c r="F242" s="17"/>
      <c r="G242" s="17"/>
      <c r="H242" s="17"/>
      <c r="I242" s="17"/>
      <c r="J242" s="17"/>
      <c r="K242" s="17"/>
      <c r="L242" s="1461" t="str">
        <f>IF(AND(O242&gt;0, NOT(O243="Yes")), "These points are only available to Phased Developments!", "")</f>
        <v/>
      </c>
      <c r="M242" s="2541">
        <v>3</v>
      </c>
      <c r="N242" s="32"/>
      <c r="O242" s="1240"/>
      <c r="P242" s="664"/>
      <c r="Q242" s="53" t="s">
        <v>795</v>
      </c>
      <c r="R242" s="606" t="s">
        <v>2821</v>
      </c>
      <c r="S242" s="625"/>
      <c r="T242" s="625"/>
      <c r="U242" s="625"/>
      <c r="V242" s="625"/>
      <c r="W242" s="645"/>
      <c r="X242" s="645"/>
    </row>
    <row r="243" spans="1:27" s="47" customFormat="1" ht="11.25">
      <c r="A243" s="244"/>
      <c r="B243" s="73" t="s">
        <v>1993</v>
      </c>
      <c r="C243" s="73"/>
      <c r="D243" s="73"/>
      <c r="E243" s="73"/>
      <c r="F243" s="73"/>
      <c r="G243" s="73"/>
      <c r="H243" s="73"/>
      <c r="I243" s="73"/>
      <c r="J243" s="73"/>
      <c r="K243" s="73"/>
      <c r="L243" s="73"/>
      <c r="M243" s="73"/>
      <c r="N243" s="84"/>
      <c r="O243" s="674"/>
      <c r="P243" s="675"/>
      <c r="Q243" s="1221"/>
      <c r="R243" s="337"/>
      <c r="S243" s="337"/>
      <c r="T243" s="337"/>
      <c r="U243" s="337"/>
      <c r="V243" s="337"/>
      <c r="W243" s="337"/>
      <c r="X243" s="337"/>
      <c r="Y243" s="337"/>
      <c r="Z243" s="337"/>
      <c r="AA243" s="337"/>
    </row>
    <row r="244" spans="1:27" s="15" customFormat="1" ht="11.25" customHeight="1">
      <c r="A244" s="208"/>
      <c r="B244" s="244" t="s">
        <v>212</v>
      </c>
      <c r="C244" s="13" t="s">
        <v>1996</v>
      </c>
      <c r="D244" s="13"/>
      <c r="E244" s="16" t="s">
        <v>2915</v>
      </c>
      <c r="F244" s="13"/>
      <c r="G244" s="2818"/>
      <c r="H244" s="28" t="s">
        <v>53</v>
      </c>
      <c r="I244" s="4479"/>
      <c r="J244" s="4479"/>
      <c r="K244" s="13"/>
      <c r="L244" s="1239" t="s">
        <v>2916</v>
      </c>
      <c r="M244" s="4480"/>
      <c r="N244" s="4480"/>
      <c r="O244" s="13"/>
      <c r="P244" s="13"/>
      <c r="Q244" s="13"/>
      <c r="R244" s="13"/>
      <c r="S244" s="13"/>
      <c r="T244" s="13"/>
      <c r="U244" s="13"/>
      <c r="V244" s="13"/>
      <c r="W244" s="13"/>
      <c r="X244" s="13"/>
      <c r="Y244" s="13"/>
      <c r="Z244" s="13"/>
      <c r="AA244" s="13"/>
    </row>
    <row r="245" spans="1:27" s="15" customFormat="1" ht="11.25" customHeight="1">
      <c r="A245" s="208"/>
      <c r="B245" s="244" t="s">
        <v>220</v>
      </c>
      <c r="C245" s="13" t="s">
        <v>1997</v>
      </c>
      <c r="D245" s="13"/>
      <c r="E245" s="16" t="s">
        <v>2915</v>
      </c>
      <c r="F245" s="13"/>
      <c r="G245" s="1222"/>
      <c r="H245" s="28" t="s">
        <v>53</v>
      </c>
      <c r="I245" s="4356"/>
      <c r="J245" s="4356"/>
      <c r="K245" s="13"/>
      <c r="L245" s="1239" t="s">
        <v>2916</v>
      </c>
      <c r="M245" s="4363"/>
      <c r="N245" s="4363"/>
      <c r="O245" s="13"/>
      <c r="P245" s="13"/>
      <c r="Q245" s="13"/>
      <c r="R245" s="13"/>
      <c r="S245" s="13"/>
      <c r="T245" s="13"/>
      <c r="U245" s="13"/>
      <c r="V245" s="13"/>
      <c r="W245" s="13"/>
      <c r="X245" s="13"/>
      <c r="Y245" s="13"/>
      <c r="Z245" s="13"/>
      <c r="AA245" s="13"/>
    </row>
    <row r="246" spans="1:27" s="19" customFormat="1" ht="5.25" customHeight="1">
      <c r="A246" s="43"/>
      <c r="D246" s="13"/>
      <c r="E246" s="13"/>
      <c r="F246" s="2541"/>
      <c r="G246" s="2541"/>
      <c r="H246" s="2541"/>
      <c r="I246" s="2541"/>
      <c r="J246" s="16"/>
      <c r="K246" s="16"/>
      <c r="L246" s="16"/>
      <c r="M246" s="2584"/>
      <c r="N246" s="2541"/>
      <c r="O246" s="2535"/>
      <c r="P246" s="2"/>
    </row>
    <row r="247" spans="1:27" s="19" customFormat="1" ht="10.5" customHeight="1" thickBot="1">
      <c r="A247" s="43"/>
      <c r="B247" s="699" t="s">
        <v>2833</v>
      </c>
      <c r="C247" s="43"/>
      <c r="D247" s="48"/>
      <c r="E247" s="48"/>
      <c r="F247" s="48"/>
      <c r="G247" s="48"/>
      <c r="H247" s="13"/>
      <c r="I247" s="13"/>
      <c r="J247" s="13"/>
      <c r="K247" s="13"/>
      <c r="M247" s="32"/>
      <c r="N247" s="58"/>
      <c r="O247" s="2"/>
      <c r="P247" s="2535"/>
    </row>
    <row r="248" spans="1:27" s="19" customFormat="1" ht="21.75" customHeight="1" thickTop="1" thickBot="1">
      <c r="A248" s="4291"/>
      <c r="B248" s="4292"/>
      <c r="C248" s="4292"/>
      <c r="D248" s="4292"/>
      <c r="E248" s="4292"/>
      <c r="F248" s="4292"/>
      <c r="G248" s="4292"/>
      <c r="H248" s="4292"/>
      <c r="I248" s="4292"/>
      <c r="J248" s="4292"/>
      <c r="K248" s="4292"/>
      <c r="L248" s="4292"/>
      <c r="M248" s="4292"/>
      <c r="N248" s="4292"/>
      <c r="O248" s="4292"/>
      <c r="P248" s="4293"/>
      <c r="Q248" s="249" t="s">
        <v>2401</v>
      </c>
    </row>
    <row r="249" spans="1:27" s="19" customFormat="1" ht="10.5" customHeight="1" thickTop="1">
      <c r="B249" s="37" t="s">
        <v>1447</v>
      </c>
      <c r="C249" s="755"/>
      <c r="D249" s="37"/>
      <c r="E249" s="46"/>
      <c r="F249" s="2574"/>
      <c r="G249" s="2574"/>
      <c r="H249" s="2574"/>
      <c r="I249" s="2574"/>
      <c r="J249" s="2574"/>
      <c r="K249" s="2574"/>
      <c r="L249" s="2574"/>
      <c r="M249" s="2574"/>
      <c r="N249" s="2813"/>
      <c r="O249" s="31"/>
      <c r="P249" s="2541"/>
    </row>
    <row r="250" spans="1:27" s="19" customFormat="1" ht="11.25" customHeight="1">
      <c r="A250" s="3999"/>
      <c r="B250" s="4000"/>
      <c r="C250" s="4000"/>
      <c r="D250" s="4000"/>
      <c r="E250" s="4000"/>
      <c r="F250" s="4000"/>
      <c r="G250" s="4000"/>
      <c r="H250" s="4000"/>
      <c r="I250" s="4000"/>
      <c r="J250" s="4000"/>
      <c r="K250" s="4000"/>
      <c r="L250" s="4000"/>
      <c r="M250" s="4000"/>
      <c r="N250" s="4000"/>
      <c r="O250" s="4000"/>
      <c r="P250" s="4001"/>
      <c r="Q250" s="248"/>
    </row>
    <row r="251" spans="1:27" s="19" customFormat="1" ht="5.25" customHeight="1" thickBot="1">
      <c r="A251" s="43"/>
      <c r="D251" s="13"/>
      <c r="E251" s="13"/>
      <c r="F251" s="2541"/>
      <c r="G251" s="2541"/>
      <c r="H251" s="2541"/>
      <c r="I251" s="2541"/>
      <c r="J251" s="16"/>
      <c r="K251" s="16"/>
      <c r="L251" s="16"/>
      <c r="M251" s="2584"/>
      <c r="N251" s="2541"/>
      <c r="O251" s="2535"/>
      <c r="P251" s="2"/>
    </row>
    <row r="252" spans="1:27" s="19" customFormat="1" ht="13.5" customHeight="1" thickBot="1">
      <c r="A252" s="79" t="s">
        <v>1536</v>
      </c>
      <c r="B252" s="50" t="s">
        <v>1999</v>
      </c>
      <c r="D252" s="17"/>
      <c r="E252" s="25" t="s">
        <v>2917</v>
      </c>
      <c r="G252" s="27"/>
      <c r="L252" s="288" t="str">
        <f>IF(AND(O252&gt;0,NOT($M$55="New Supply")), "Ineligible to score in this section, not New Supply!","")</f>
        <v/>
      </c>
      <c r="M252" s="2541">
        <v>5</v>
      </c>
      <c r="N252" s="32"/>
      <c r="O252" s="652">
        <f>MIN($M252,MAX(O253,O254,O255))</f>
        <v>0</v>
      </c>
      <c r="P252" s="652">
        <f>MIN($M252,MAX(P253,P254,P255))</f>
        <v>0</v>
      </c>
      <c r="Q252" s="53" t="s">
        <v>795</v>
      </c>
      <c r="R252" s="606" t="s">
        <v>2821</v>
      </c>
      <c r="S252" s="1223"/>
      <c r="T252" s="1223"/>
      <c r="U252" s="1223"/>
      <c r="V252" s="1223"/>
      <c r="W252" s="645"/>
      <c r="X252" s="645"/>
    </row>
    <row r="253" spans="1:27" s="11" customFormat="1" ht="11.25" customHeight="1">
      <c r="A253" s="72" t="s">
        <v>197</v>
      </c>
      <c r="B253" s="92" t="s">
        <v>2918</v>
      </c>
      <c r="M253" s="2659">
        <v>5</v>
      </c>
      <c r="N253" s="28" t="s">
        <v>197</v>
      </c>
      <c r="O253" s="2605"/>
      <c r="P253" s="2606"/>
      <c r="Q253" s="608" t="str">
        <f>IF(OR($O253=$M253,$O253=$M253-1,$O253=0,$O253=""),"","*CHECK!*")</f>
        <v/>
      </c>
      <c r="R253" s="606" t="s">
        <v>2821</v>
      </c>
      <c r="S253" s="1223"/>
      <c r="T253" s="1223"/>
      <c r="U253" s="1223"/>
      <c r="V253" s="1223"/>
    </row>
    <row r="254" spans="1:27" s="11" customFormat="1" ht="11.25" customHeight="1">
      <c r="A254" s="72" t="s">
        <v>209</v>
      </c>
      <c r="B254" s="92" t="s">
        <v>2919</v>
      </c>
      <c r="M254" s="2659">
        <v>3</v>
      </c>
      <c r="N254" s="28" t="s">
        <v>209</v>
      </c>
      <c r="O254" s="2594"/>
      <c r="P254" s="2604"/>
      <c r="Q254" s="608" t="str">
        <f>IF(OR($O254=$M254,$O254=$M254-1,$O254=0,$O254=""),"","*CHECK!*")</f>
        <v/>
      </c>
      <c r="R254" s="606" t="s">
        <v>2821</v>
      </c>
    </row>
    <row r="255" spans="1:27">
      <c r="A255" s="72" t="s">
        <v>230</v>
      </c>
      <c r="B255" s="92" t="s">
        <v>2920</v>
      </c>
      <c r="E255" s="16" t="s">
        <v>2921</v>
      </c>
      <c r="I255" s="965"/>
      <c r="L255" s="1187"/>
      <c r="M255" s="2659">
        <v>3</v>
      </c>
      <c r="N255" s="28" t="s">
        <v>230</v>
      </c>
      <c r="O255" s="298"/>
      <c r="P255" s="305"/>
      <c r="Q255" s="608" t="str">
        <f>IF(OR($O255=$M255,$O255=$M255-1,$O255=0,$O255=""),"","*CHECK!*")</f>
        <v/>
      </c>
      <c r="R255" s="606" t="s">
        <v>2821</v>
      </c>
    </row>
    <row r="256" spans="1:27" s="19" customFormat="1" ht="10.5" customHeight="1" thickBot="1">
      <c r="A256" s="43"/>
      <c r="B256" s="699" t="s">
        <v>2833</v>
      </c>
      <c r="C256" s="43"/>
      <c r="D256" s="48"/>
      <c r="E256" s="48"/>
      <c r="F256" s="48"/>
      <c r="G256" s="48"/>
      <c r="H256" s="13"/>
      <c r="I256" s="13"/>
      <c r="J256" s="13"/>
      <c r="K256" s="13"/>
      <c r="M256" s="32"/>
      <c r="N256" s="58"/>
      <c r="O256" s="2"/>
      <c r="P256" s="2535"/>
    </row>
    <row r="257" spans="1:21" s="19" customFormat="1" ht="21.75" customHeight="1" thickTop="1" thickBot="1">
      <c r="A257" s="4291"/>
      <c r="B257" s="4292"/>
      <c r="C257" s="4292"/>
      <c r="D257" s="4292"/>
      <c r="E257" s="4292"/>
      <c r="F257" s="4292"/>
      <c r="G257" s="4292"/>
      <c r="H257" s="4292"/>
      <c r="I257" s="4292"/>
      <c r="J257" s="4292"/>
      <c r="K257" s="4292"/>
      <c r="L257" s="4292"/>
      <c r="M257" s="4292"/>
      <c r="N257" s="4292"/>
      <c r="O257" s="4292"/>
      <c r="P257" s="4293"/>
      <c r="Q257" s="249" t="s">
        <v>2401</v>
      </c>
    </row>
    <row r="258" spans="1:21" s="19" customFormat="1" ht="10.5" customHeight="1" thickTop="1">
      <c r="B258" s="37" t="s">
        <v>1447</v>
      </c>
      <c r="C258" s="755"/>
      <c r="D258" s="37"/>
      <c r="E258" s="46"/>
      <c r="F258" s="2574"/>
      <c r="G258" s="2574"/>
      <c r="H258" s="2574"/>
      <c r="I258" s="2574"/>
      <c r="J258" s="2574"/>
      <c r="K258" s="2574"/>
      <c r="L258" s="2574"/>
      <c r="M258" s="2574"/>
      <c r="N258" s="2813"/>
      <c r="O258" s="31"/>
      <c r="P258" s="2541"/>
    </row>
    <row r="259" spans="1:21" s="19" customFormat="1" ht="11.25" customHeight="1">
      <c r="A259" s="3999"/>
      <c r="B259" s="4000"/>
      <c r="C259" s="4000"/>
      <c r="D259" s="4000"/>
      <c r="E259" s="4000"/>
      <c r="F259" s="4000"/>
      <c r="G259" s="4000"/>
      <c r="H259" s="4000"/>
      <c r="I259" s="4000"/>
      <c r="J259" s="4000"/>
      <c r="K259" s="4000"/>
      <c r="L259" s="4000"/>
      <c r="M259" s="4000"/>
      <c r="N259" s="4000"/>
      <c r="O259" s="4000"/>
      <c r="P259" s="4001"/>
      <c r="Q259" s="248"/>
    </row>
    <row r="260" spans="1:21" ht="6" customHeight="1" thickBot="1">
      <c r="N260" s="58"/>
      <c r="O260" s="2535"/>
      <c r="P260" s="2535"/>
      <c r="T260" s="631"/>
      <c r="U260" s="631"/>
    </row>
    <row r="261" spans="1:21" s="19" customFormat="1" ht="13.5" customHeight="1" thickBot="1">
      <c r="A261" s="80" t="s">
        <v>1539</v>
      </c>
      <c r="B261" s="50" t="s">
        <v>1766</v>
      </c>
      <c r="D261" s="17"/>
      <c r="E261" s="17"/>
      <c r="F261" s="17"/>
      <c r="H261" s="16"/>
      <c r="J261" s="2584"/>
      <c r="K261" s="48"/>
      <c r="L261" s="28" t="s">
        <v>2922</v>
      </c>
      <c r="M261" s="2541">
        <v>4</v>
      </c>
      <c r="N261" s="32"/>
      <c r="O261" s="652">
        <f>IF(AND(O262&gt;0,O266&gt;0),"AorB?",MIN($M261,SUM(O262,O266,O268)))</f>
        <v>0</v>
      </c>
      <c r="P261" s="652">
        <f>IF(AND(P262&gt;0,P266&gt;0),"AorB?",MIN($M261,SUM(P262,P266,P268)))</f>
        <v>0</v>
      </c>
      <c r="Q261" s="53" t="s">
        <v>795</v>
      </c>
      <c r="T261" s="631"/>
      <c r="U261" s="631"/>
    </row>
    <row r="262" spans="1:21" s="42" customFormat="1" ht="11.25" customHeight="1">
      <c r="A262" s="72" t="s">
        <v>197</v>
      </c>
      <c r="B262" s="92" t="s">
        <v>1768</v>
      </c>
      <c r="D262" s="27"/>
      <c r="E262" s="27"/>
      <c r="F262" s="20"/>
      <c r="G262"/>
      <c r="L262" s="209"/>
      <c r="M262" s="2659">
        <v>3</v>
      </c>
      <c r="N262" s="28" t="s">
        <v>197</v>
      </c>
      <c r="O262" s="871">
        <f>IF(OR(AND(O263="Yes",O264="Yes",O265="Yes"),AND(O263="Yes",O265="Yes"),AND(O264="Yes",O265="Yes"),AND(O263="Yes",O264="Yes")),"choose",IF(O263="Yes",$M$263,IF(O264="Yes",$M$264, IF(O265="Yes",$M$265,0))))</f>
        <v>0</v>
      </c>
      <c r="P262" s="871">
        <f>IF(OR(AND(P263="Yes",P264="Yes",P265="Yes"),AND(P263="Yes",P265="Yes"),AND(P264="Yes",P265="Yes"),AND(P263="Yes",P264="Yes")),"choose",IF(P263="Yes",$M$263,IF(P264="Yes",$M$264, IF(P265="Yes",$M$265,0))))</f>
        <v>0</v>
      </c>
      <c r="Q262" s="608"/>
      <c r="R262" s="651"/>
      <c r="T262" s="631"/>
      <c r="U262" s="631"/>
    </row>
    <row r="263" spans="1:21" s="42" customFormat="1" ht="11.25" customHeight="1">
      <c r="A263" s="72"/>
      <c r="B263" s="208" t="s">
        <v>212</v>
      </c>
      <c r="C263" s="16" t="s">
        <v>2923</v>
      </c>
      <c r="D263" s="27"/>
      <c r="E263" s="27"/>
      <c r="F263" s="20"/>
      <c r="G263"/>
      <c r="L263" s="209"/>
      <c r="M263" s="2659">
        <v>3</v>
      </c>
      <c r="N263" s="101" t="s">
        <v>212</v>
      </c>
      <c r="O263" s="935"/>
      <c r="P263" s="936"/>
      <c r="Q263" s="608"/>
      <c r="R263" s="651"/>
      <c r="T263" s="631"/>
      <c r="U263" s="631"/>
    </row>
    <row r="264" spans="1:21" s="42" customFormat="1" ht="11.25" customHeight="1">
      <c r="A264" s="72"/>
      <c r="B264" s="244" t="s">
        <v>220</v>
      </c>
      <c r="C264" s="16" t="s">
        <v>2924</v>
      </c>
      <c r="D264" s="27"/>
      <c r="E264" s="27"/>
      <c r="F264" s="20"/>
      <c r="G264"/>
      <c r="L264" s="209"/>
      <c r="M264" s="2659">
        <v>2</v>
      </c>
      <c r="N264" s="101" t="s">
        <v>220</v>
      </c>
      <c r="O264" s="202"/>
      <c r="P264" s="307"/>
      <c r="Q264" s="608"/>
      <c r="R264" s="651"/>
      <c r="T264" s="631"/>
      <c r="U264" s="631"/>
    </row>
    <row r="265" spans="1:21" s="42" customFormat="1" ht="10.5" customHeight="1">
      <c r="A265" s="72"/>
      <c r="B265" s="244" t="s">
        <v>224</v>
      </c>
      <c r="C265" s="16" t="s">
        <v>2925</v>
      </c>
      <c r="D265" s="27"/>
      <c r="E265" s="27"/>
      <c r="F265" s="20"/>
      <c r="G265"/>
      <c r="K265" s="28"/>
      <c r="M265" s="2659">
        <v>1</v>
      </c>
      <c r="N265" s="101" t="s">
        <v>224</v>
      </c>
      <c r="O265" s="118"/>
      <c r="P265" s="308"/>
      <c r="R265" s="146"/>
      <c r="T265" s="631"/>
      <c r="U265" s="631"/>
    </row>
    <row r="266" spans="1:21" s="19" customFormat="1" ht="11.25" customHeight="1">
      <c r="A266" s="72" t="s">
        <v>209</v>
      </c>
      <c r="B266" s="92" t="s">
        <v>1772</v>
      </c>
      <c r="D266" s="13"/>
      <c r="K266" s="13"/>
      <c r="L266" s="209" t="str">
        <f>IF(OR($O266=$M266,$O266=0,$O266=""),"","* * Check Score! * *")</f>
        <v/>
      </c>
      <c r="M266" s="2659">
        <v>1</v>
      </c>
      <c r="N266" s="28" t="s">
        <v>209</v>
      </c>
      <c r="O266" s="673">
        <f>IF(O267="Yes",$M$266,0)</f>
        <v>0</v>
      </c>
      <c r="P266" s="673">
        <f>IF(P267="Yes",$M$266,0)</f>
        <v>0</v>
      </c>
      <c r="Q266" s="608" t="str">
        <f>IF(OR($O266=$M266,$O266=0,$O266=""),"","*CHECK!*")</f>
        <v/>
      </c>
      <c r="R266" s="651"/>
      <c r="T266" s="631"/>
      <c r="U266" s="631"/>
    </row>
    <row r="267" spans="1:21" s="19" customFormat="1" ht="12" customHeight="1">
      <c r="A267" s="80"/>
      <c r="B267" s="4134" t="s">
        <v>2926</v>
      </c>
      <c r="C267" s="4134"/>
      <c r="D267" s="4134"/>
      <c r="E267" s="4134"/>
      <c r="F267" s="4134"/>
      <c r="G267" s="4134"/>
      <c r="H267" s="4134"/>
      <c r="I267" s="4134"/>
      <c r="J267" s="4134"/>
      <c r="K267" s="4134"/>
      <c r="L267" s="4134"/>
      <c r="M267" s="32"/>
      <c r="N267" s="28"/>
      <c r="O267" s="2589"/>
      <c r="P267" s="2590"/>
      <c r="Q267" s="146"/>
      <c r="R267" s="209"/>
      <c r="T267" s="631"/>
      <c r="U267" s="631"/>
    </row>
    <row r="268" spans="1:21" s="19" customFormat="1" ht="11.25" customHeight="1">
      <c r="A268" s="72" t="s">
        <v>230</v>
      </c>
      <c r="B268" s="92" t="s">
        <v>2927</v>
      </c>
      <c r="D268" s="13"/>
      <c r="H268" s="98"/>
      <c r="K268" s="13"/>
      <c r="L268" s="209"/>
      <c r="M268" s="2659">
        <v>1</v>
      </c>
      <c r="N268" s="28" t="s">
        <v>230</v>
      </c>
      <c r="O268" s="673">
        <f>IF(O262=0,0,IF(O269="Yes",$M$268,0))</f>
        <v>0</v>
      </c>
      <c r="P268" s="673">
        <f>IF(P262=0,0,IF(P269="Yes",$M$268,0))</f>
        <v>0</v>
      </c>
      <c r="Q268" s="608" t="str">
        <f>IF(OR($O268=$M268,$O268=0,$O268=""),"","*CHECK!*")</f>
        <v/>
      </c>
      <c r="R268" s="651"/>
      <c r="T268" s="631"/>
      <c r="U268" s="631"/>
    </row>
    <row r="269" spans="1:21" s="19" customFormat="1" ht="33.75" customHeight="1">
      <c r="B269" s="3998" t="s">
        <v>2928</v>
      </c>
      <c r="C269" s="3998"/>
      <c r="D269" s="3998"/>
      <c r="E269" s="3998"/>
      <c r="F269" s="3998"/>
      <c r="G269" s="3998"/>
      <c r="H269" s="3998"/>
      <c r="I269" s="3998"/>
      <c r="J269" s="3998"/>
      <c r="K269" s="3998"/>
      <c r="L269" s="3998"/>
      <c r="M269" s="32"/>
      <c r="N269" s="28"/>
      <c r="O269" s="2583"/>
      <c r="P269" s="2581"/>
      <c r="Q269" s="146"/>
      <c r="R269" s="209"/>
      <c r="T269" s="631"/>
      <c r="U269" s="631"/>
    </row>
    <row r="270" spans="1:21" s="19" customFormat="1" ht="22.5" customHeight="1">
      <c r="B270" s="3998" t="s">
        <v>2929</v>
      </c>
      <c r="C270" s="3998"/>
      <c r="D270" s="3998"/>
      <c r="E270" s="3998"/>
      <c r="F270" s="3998"/>
      <c r="G270" s="3998"/>
      <c r="H270" s="3998"/>
      <c r="I270" s="3998"/>
      <c r="J270" s="3998"/>
      <c r="K270" s="3998"/>
      <c r="L270" s="3998"/>
      <c r="M270" s="32"/>
      <c r="N270" s="32"/>
      <c r="O270" s="32"/>
      <c r="P270" s="32"/>
      <c r="Q270" s="146"/>
      <c r="R270" s="209"/>
      <c r="T270" s="631"/>
      <c r="U270" s="631"/>
    </row>
    <row r="271" spans="1:21" s="19" customFormat="1" ht="10.5" customHeight="1">
      <c r="A271" s="43"/>
      <c r="B271" s="37" t="s">
        <v>1447</v>
      </c>
      <c r="C271" s="755"/>
      <c r="D271" s="37"/>
      <c r="E271" s="46"/>
      <c r="F271" s="2574"/>
      <c r="G271" s="2574"/>
      <c r="H271" s="2574"/>
      <c r="I271" s="2574"/>
      <c r="J271" s="2574"/>
      <c r="K271" s="2574"/>
      <c r="L271" s="2574"/>
      <c r="M271" s="2574"/>
      <c r="N271" s="2813"/>
      <c r="O271" s="31"/>
      <c r="P271" s="2541"/>
    </row>
    <row r="272" spans="1:21" s="19" customFormat="1" ht="11.25" customHeight="1">
      <c r="A272" s="3999"/>
      <c r="B272" s="4000"/>
      <c r="C272" s="4000"/>
      <c r="D272" s="4000"/>
      <c r="E272" s="4000"/>
      <c r="F272" s="4000"/>
      <c r="G272" s="4000"/>
      <c r="H272" s="4000"/>
      <c r="I272" s="4000"/>
      <c r="J272" s="4000"/>
      <c r="K272" s="4000"/>
      <c r="L272" s="4000"/>
      <c r="M272" s="4000"/>
      <c r="N272" s="4000"/>
      <c r="O272" s="4000"/>
      <c r="P272" s="4001"/>
      <c r="Q272" s="248"/>
    </row>
    <row r="273" spans="1:24" s="19" customFormat="1" ht="5.25" customHeight="1" thickBot="1">
      <c r="A273" s="43"/>
      <c r="D273" s="13"/>
      <c r="E273" s="13"/>
      <c r="F273" s="2541"/>
      <c r="G273" s="2541"/>
      <c r="H273" s="2541"/>
      <c r="I273" s="2541"/>
      <c r="J273" s="16"/>
      <c r="K273" s="16"/>
      <c r="L273" s="16"/>
      <c r="M273" s="2584"/>
      <c r="N273" s="2541"/>
      <c r="O273" s="2535"/>
      <c r="P273" s="2535"/>
    </row>
    <row r="274" spans="1:24" s="42" customFormat="1" ht="13.5" customHeight="1" thickBot="1">
      <c r="A274" s="79" t="s">
        <v>1547</v>
      </c>
      <c r="B274" s="50" t="s">
        <v>2930</v>
      </c>
      <c r="D274" s="21"/>
      <c r="E274" s="21"/>
      <c r="G274" s="1205"/>
      <c r="H274" s="98"/>
      <c r="I274" s="1203" t="s">
        <v>1756</v>
      </c>
      <c r="J274" s="1489" t="str">
        <f>M60</f>
        <v>&lt;&lt; Select Pool &gt;&gt;</v>
      </c>
      <c r="K274" s="98"/>
      <c r="L274" s="288" t="str">
        <f>IF(NOT(J274="Atlanta Metro"),"Atlanta Metro Pool not selected!",IF(AND(O276="Yes",O277="Yes"),"Choose A or B!",""))</f>
        <v>Atlanta Metro Pool not selected!</v>
      </c>
      <c r="M274" s="2541">
        <v>2</v>
      </c>
      <c r="N274" s="32"/>
      <c r="O274" s="652">
        <f>IF(AND($J$274="Atlanta Metro",O276="Yes"),$M$276,IF(AND($J$274="Atlanta Metro",O277="Yes"),$M$277,0))</f>
        <v>0</v>
      </c>
      <c r="P274" s="652">
        <f>IF(AND($J$274="Atlanta Metro",P276="Yes"),$M$276,IF(AND($J$274="Atlanta Metro",P277="Yes"),$M$277,0))</f>
        <v>0</v>
      </c>
      <c r="Q274" s="53" t="s">
        <v>795</v>
      </c>
      <c r="R274" s="1210"/>
      <c r="S274" s="1210"/>
      <c r="T274" s="1210"/>
      <c r="U274" s="1210"/>
      <c r="V274" s="1210"/>
    </row>
    <row r="275" spans="1:24" s="42" customFormat="1" ht="3" customHeight="1">
      <c r="A275" s="79"/>
      <c r="B275" s="50"/>
      <c r="D275" s="21"/>
      <c r="E275" s="21"/>
      <c r="G275" s="98"/>
      <c r="M275" s="336"/>
      <c r="Q275" s="53"/>
      <c r="R275" s="1210"/>
      <c r="S275" s="1210"/>
      <c r="T275" s="1210"/>
      <c r="U275" s="1210"/>
      <c r="V275" s="1210"/>
      <c r="W275" s="19"/>
      <c r="X275" s="19"/>
    </row>
    <row r="276" spans="1:24" ht="11.25" customHeight="1">
      <c r="A276" s="517" t="s">
        <v>197</v>
      </c>
      <c r="B276" s="666" t="s">
        <v>2931</v>
      </c>
      <c r="D276" s="266"/>
      <c r="E276" s="266"/>
      <c r="F276" s="266"/>
      <c r="G276" s="266"/>
      <c r="H276" s="266"/>
      <c r="L276" s="266"/>
      <c r="M276" s="2595">
        <v>1</v>
      </c>
      <c r="N276" s="28" t="s">
        <v>197</v>
      </c>
      <c r="O276" s="935"/>
      <c r="P276" s="936"/>
      <c r="Q276" s="613">
        <f>IF(L276="Yes",1,0)</f>
        <v>0</v>
      </c>
      <c r="R276" s="1210"/>
      <c r="S276" s="1210"/>
      <c r="T276" s="1210"/>
      <c r="U276" s="1210"/>
      <c r="V276" s="1210"/>
    </row>
    <row r="277" spans="1:24" ht="11.25" customHeight="1">
      <c r="A277" s="517" t="s">
        <v>209</v>
      </c>
      <c r="B277" s="666" t="s">
        <v>2932</v>
      </c>
      <c r="D277" s="266"/>
      <c r="L277" s="266"/>
      <c r="M277" s="2595">
        <v>2</v>
      </c>
      <c r="N277" s="28" t="s">
        <v>209</v>
      </c>
      <c r="O277" s="118"/>
      <c r="P277" s="308"/>
      <c r="Q277" s="613">
        <f>IF(L277="Yes",1,0)</f>
        <v>0</v>
      </c>
      <c r="R277" s="1210"/>
      <c r="S277" s="1210"/>
      <c r="T277" s="1210"/>
      <c r="U277" s="1210"/>
      <c r="V277" s="1210"/>
    </row>
    <row r="278" spans="1:24" ht="11.25" customHeight="1">
      <c r="B278" s="150" t="s">
        <v>2933</v>
      </c>
      <c r="D278" s="266"/>
      <c r="L278" s="266"/>
      <c r="M278" s="2595"/>
      <c r="N278" s="2595"/>
      <c r="O278" s="2595"/>
      <c r="P278" s="2595"/>
      <c r="Q278" s="613"/>
      <c r="R278" s="1210"/>
      <c r="S278" s="1210"/>
      <c r="T278" s="1210"/>
      <c r="U278" s="1210"/>
      <c r="V278" s="1210"/>
    </row>
    <row r="279" spans="1:24" ht="38.25" customHeight="1">
      <c r="B279" s="3995"/>
      <c r="C279" s="3996"/>
      <c r="D279" s="3996"/>
      <c r="E279" s="3996"/>
      <c r="F279" s="3996"/>
      <c r="G279" s="3996"/>
      <c r="H279" s="3996"/>
      <c r="I279" s="3996"/>
      <c r="J279" s="3996"/>
      <c r="K279" s="3996"/>
      <c r="L279" s="3996"/>
      <c r="M279" s="3996"/>
      <c r="N279" s="3996"/>
      <c r="O279" s="3996"/>
      <c r="P279" s="3997"/>
      <c r="Q279" s="613"/>
      <c r="R279" s="1210"/>
      <c r="S279" s="1210"/>
      <c r="T279" s="1210"/>
      <c r="U279" s="1210"/>
      <c r="V279" s="1210"/>
    </row>
    <row r="280" spans="1:24" s="19" customFormat="1" ht="10.5" customHeight="1" thickBot="1">
      <c r="A280" s="43"/>
      <c r="B280" s="699" t="s">
        <v>2833</v>
      </c>
      <c r="C280" s="43"/>
      <c r="D280" s="48"/>
      <c r="E280" s="48"/>
      <c r="F280" s="48"/>
      <c r="G280" s="48"/>
      <c r="H280" s="13"/>
      <c r="I280" s="13"/>
      <c r="J280" s="13"/>
      <c r="K280" s="13"/>
      <c r="M280" s="32"/>
      <c r="N280" s="58"/>
      <c r="O280" s="2"/>
      <c r="P280" s="2535"/>
      <c r="R280" s="1210"/>
      <c r="S280" s="1210"/>
      <c r="T280" s="1210"/>
      <c r="U280" s="1210"/>
      <c r="V280" s="1210"/>
    </row>
    <row r="281" spans="1:24" s="19" customFormat="1" ht="34.9" customHeight="1" thickTop="1" thickBot="1">
      <c r="A281" s="4291"/>
      <c r="B281" s="4292"/>
      <c r="C281" s="4292"/>
      <c r="D281" s="4292"/>
      <c r="E281" s="4292"/>
      <c r="F281" s="4292"/>
      <c r="G281" s="4292"/>
      <c r="H281" s="4292"/>
      <c r="I281" s="4292"/>
      <c r="J281" s="4292"/>
      <c r="K281" s="4292"/>
      <c r="L281" s="4292"/>
      <c r="M281" s="4292"/>
      <c r="N281" s="4292"/>
      <c r="O281" s="4292"/>
      <c r="P281" s="4293"/>
      <c r="Q281" s="249" t="s">
        <v>2401</v>
      </c>
    </row>
    <row r="282" spans="1:24" s="19" customFormat="1" ht="10.5" customHeight="1" thickTop="1">
      <c r="A282" s="43"/>
      <c r="B282" s="37" t="s">
        <v>1447</v>
      </c>
      <c r="C282" s="43"/>
      <c r="D282" s="37"/>
      <c r="E282" s="2574"/>
      <c r="F282" s="2574"/>
      <c r="G282" s="2574"/>
      <c r="H282" s="2574"/>
      <c r="I282" s="2574"/>
      <c r="J282" s="2574"/>
      <c r="K282" s="2574"/>
      <c r="L282" s="2574"/>
      <c r="M282" s="2574"/>
      <c r="N282" s="2813"/>
      <c r="O282" s="31"/>
      <c r="P282" s="2541"/>
    </row>
    <row r="283" spans="1:24" s="19" customFormat="1" ht="11.25" customHeight="1">
      <c r="A283" s="4240"/>
      <c r="B283" s="4241"/>
      <c r="C283" s="4241"/>
      <c r="D283" s="4241"/>
      <c r="E283" s="4241"/>
      <c r="F283" s="4241"/>
      <c r="G283" s="4241"/>
      <c r="H283" s="4241"/>
      <c r="I283" s="4241"/>
      <c r="J283" s="4241"/>
      <c r="K283" s="4241"/>
      <c r="L283" s="4241"/>
      <c r="M283" s="4241"/>
      <c r="N283" s="4241"/>
      <c r="O283" s="4241"/>
      <c r="P283" s="4242"/>
      <c r="Q283" s="248"/>
    </row>
    <row r="284" spans="1:24" s="19" customFormat="1" ht="5.25" customHeight="1" thickBot="1">
      <c r="A284" s="43"/>
      <c r="D284" s="13"/>
      <c r="E284" s="13"/>
      <c r="F284" s="2541"/>
      <c r="G284" s="2541"/>
      <c r="H284" s="2541"/>
      <c r="I284" s="2541"/>
      <c r="J284" s="16"/>
      <c r="K284" s="16"/>
      <c r="L284" s="16"/>
      <c r="M284" s="2584"/>
      <c r="N284" s="2541"/>
      <c r="O284" s="2535"/>
      <c r="P284" s="2"/>
    </row>
    <row r="285" spans="1:24" s="42" customFormat="1" ht="13.5" customHeight="1" thickBot="1">
      <c r="A285" s="79" t="s">
        <v>1568</v>
      </c>
      <c r="B285" s="50" t="s">
        <v>1780</v>
      </c>
      <c r="D285" s="21"/>
      <c r="E285" s="21"/>
      <c r="G285" s="1205"/>
      <c r="H285" s="98"/>
      <c r="I285" s="98" t="s">
        <v>2934</v>
      </c>
      <c r="J285" s="98"/>
      <c r="K285" s="98"/>
      <c r="L285" s="1484" t="str">
        <f>IF(AND(O295&gt;0,O298&gt;0), "Choose only one option!","")</f>
        <v/>
      </c>
      <c r="M285" s="2541">
        <v>2</v>
      </c>
      <c r="N285" s="32"/>
      <c r="O285" s="652">
        <f>IF(O295=$M$295,$M$295,IF(O298=$M$298,$M$298,0))</f>
        <v>0</v>
      </c>
      <c r="P285" s="652">
        <f>IF(P295=$M$295,$M$295,IF(P298=$M$298,$M$298,0))</f>
        <v>0</v>
      </c>
      <c r="Q285" s="53" t="s">
        <v>795</v>
      </c>
      <c r="R285" s="1210"/>
      <c r="S285" s="1210"/>
      <c r="T285" s="1210"/>
      <c r="U285" s="1210"/>
      <c r="V285" s="1210"/>
    </row>
    <row r="286" spans="1:24" s="42" customFormat="1" ht="11.25" customHeight="1">
      <c r="A286" s="79"/>
      <c r="B286" s="13" t="s">
        <v>2935</v>
      </c>
      <c r="D286" s="21"/>
      <c r="E286" s="21"/>
      <c r="G286" s="98"/>
      <c r="J286" s="959"/>
      <c r="M286" s="336"/>
      <c r="Q286" s="53"/>
      <c r="R286" s="1210"/>
      <c r="S286" s="1210"/>
      <c r="T286" s="1210"/>
      <c r="U286" s="1210"/>
      <c r="V286" s="1210"/>
      <c r="W286" s="19"/>
      <c r="X286" s="19"/>
    </row>
    <row r="287" spans="1:24" s="42" customFormat="1" ht="11.25" customHeight="1">
      <c r="A287" s="79"/>
      <c r="C287" s="13" t="s">
        <v>1784</v>
      </c>
      <c r="G287" s="98"/>
      <c r="I287" s="4321"/>
      <c r="J287" s="4322"/>
      <c r="K287" s="4323"/>
      <c r="L287" s="4324"/>
      <c r="M287" s="336"/>
      <c r="O287" s="1478"/>
      <c r="P287" s="1479"/>
      <c r="Q287" s="53"/>
      <c r="R287" s="1210"/>
      <c r="S287" s="1210"/>
      <c r="T287" s="1210"/>
      <c r="U287" s="1210"/>
      <c r="V287" s="1210"/>
      <c r="W287" s="19"/>
      <c r="X287" s="19"/>
    </row>
    <row r="288" spans="1:24" s="42" customFormat="1" ht="11.25" customHeight="1">
      <c r="A288" s="79"/>
      <c r="C288" s="13" t="s">
        <v>1787</v>
      </c>
      <c r="G288" s="98"/>
      <c r="I288" s="4325"/>
      <c r="J288" s="4326"/>
      <c r="M288" s="336"/>
      <c r="O288" s="1478"/>
      <c r="P288" s="1479"/>
      <c r="Q288" s="53"/>
      <c r="R288" s="1210"/>
      <c r="S288" s="1210"/>
      <c r="T288" s="1210"/>
      <c r="U288" s="1210"/>
      <c r="V288" s="1210"/>
      <c r="W288" s="19"/>
      <c r="X288" s="19"/>
    </row>
    <row r="289" spans="1:24" s="42" customFormat="1" ht="11.25" customHeight="1">
      <c r="A289" s="79"/>
      <c r="C289" s="13" t="s">
        <v>2936</v>
      </c>
      <c r="G289" s="98"/>
      <c r="I289" s="4327" t="s">
        <v>2937</v>
      </c>
      <c r="J289" s="4328"/>
      <c r="K289" s="4329"/>
      <c r="L289" s="4330"/>
      <c r="M289" s="336"/>
      <c r="O289" s="4331" t="s">
        <v>2836</v>
      </c>
      <c r="P289" s="4331" t="s">
        <v>1783</v>
      </c>
      <c r="Q289" s="53"/>
      <c r="R289" s="1210"/>
      <c r="S289" s="1210"/>
      <c r="T289" s="1210"/>
      <c r="U289" s="1210"/>
      <c r="V289" s="1210"/>
      <c r="W289" s="19"/>
      <c r="X289" s="19"/>
    </row>
    <row r="290" spans="1:24" s="19" customFormat="1" ht="11.25" customHeight="1">
      <c r="A290" s="79"/>
      <c r="B290" s="13" t="s">
        <v>2938</v>
      </c>
      <c r="D290" s="17"/>
      <c r="H290" s="92"/>
      <c r="M290" s="2541"/>
      <c r="N290" s="28"/>
      <c r="O290" s="4332"/>
      <c r="P290" s="4332"/>
      <c r="Q290" s="53"/>
      <c r="R290" s="661"/>
      <c r="S290" s="661"/>
      <c r="T290" s="661"/>
      <c r="U290" s="661"/>
    </row>
    <row r="291" spans="1:24" s="19" customFormat="1" ht="11.25" customHeight="1">
      <c r="A291" s="1477"/>
      <c r="B291" s="84" t="s">
        <v>2468</v>
      </c>
      <c r="C291" s="13" t="s">
        <v>2939</v>
      </c>
      <c r="D291" s="662"/>
      <c r="E291" s="42"/>
      <c r="F291" s="42"/>
      <c r="G291" s="42"/>
      <c r="H291" s="21"/>
      <c r="N291" s="84" t="s">
        <v>2468</v>
      </c>
      <c r="O291" s="935"/>
      <c r="P291" s="936"/>
      <c r="Q291" s="53"/>
      <c r="R291" s="661"/>
      <c r="S291" s="661"/>
      <c r="T291" s="661"/>
      <c r="U291" s="661"/>
    </row>
    <row r="292" spans="1:24" s="19" customFormat="1" ht="11.25" customHeight="1">
      <c r="A292" s="1477"/>
      <c r="B292" s="28" t="s">
        <v>2470</v>
      </c>
      <c r="C292" s="25" t="s">
        <v>2940</v>
      </c>
      <c r="D292" s="662"/>
      <c r="E292" s="42"/>
      <c r="F292" s="42"/>
      <c r="G292" s="42"/>
      <c r="H292" s="21"/>
      <c r="M292" s="42"/>
      <c r="N292" s="28" t="s">
        <v>2470</v>
      </c>
      <c r="O292" s="202"/>
      <c r="P292" s="307"/>
      <c r="Q292" s="53"/>
      <c r="R292" s="661"/>
      <c r="S292" s="661"/>
      <c r="T292" s="661"/>
      <c r="U292" s="661"/>
    </row>
    <row r="293" spans="1:24" s="19" customFormat="1" ht="11.25" customHeight="1">
      <c r="A293" s="1477"/>
      <c r="B293" s="28" t="s">
        <v>2677</v>
      </c>
      <c r="C293" s="13" t="s">
        <v>2941</v>
      </c>
      <c r="D293" s="662"/>
      <c r="E293" s="42"/>
      <c r="F293" s="42"/>
      <c r="G293" s="42"/>
      <c r="H293" s="21"/>
      <c r="I293" s="23"/>
      <c r="J293" s="48"/>
      <c r="K293" s="48"/>
      <c r="L293" s="42"/>
      <c r="M293" s="42"/>
      <c r="N293" s="28" t="s">
        <v>2677</v>
      </c>
      <c r="O293" s="118"/>
      <c r="P293" s="308"/>
      <c r="Q293" s="53"/>
      <c r="R293" s="661"/>
      <c r="S293" s="661"/>
      <c r="T293" s="661"/>
      <c r="U293" s="661"/>
    </row>
    <row r="294" spans="1:24" s="19" customFormat="1" ht="3" customHeight="1" thickBot="1">
      <c r="A294" s="43"/>
      <c r="D294" s="13"/>
      <c r="E294" s="13"/>
      <c r="F294" s="2541"/>
      <c r="G294" s="2541"/>
      <c r="H294" s="2541"/>
      <c r="I294" s="2541"/>
      <c r="J294" s="16"/>
      <c r="K294" s="16"/>
      <c r="L294" s="16"/>
      <c r="M294" s="2584"/>
      <c r="N294" s="2541"/>
      <c r="O294" s="2535"/>
      <c r="P294" s="2"/>
    </row>
    <row r="295" spans="1:24" ht="11.25" customHeight="1" thickBot="1">
      <c r="A295" s="517" t="s">
        <v>197</v>
      </c>
      <c r="B295" s="666" t="s">
        <v>1789</v>
      </c>
      <c r="D295" s="266"/>
      <c r="E295" s="266"/>
      <c r="G295" s="266" t="s">
        <v>2942</v>
      </c>
      <c r="H295" s="266"/>
      <c r="L295" s="266"/>
      <c r="M295" s="2595">
        <v>2</v>
      </c>
      <c r="N295" s="28" t="s">
        <v>197</v>
      </c>
      <c r="O295" s="670"/>
      <c r="P295" s="664"/>
      <c r="Q295" s="1402" t="str">
        <f>IF(OR(O295=0,O295="",O295=$M295),"","Check!")</f>
        <v/>
      </c>
      <c r="R295" s="651" t="s">
        <v>2889</v>
      </c>
      <c r="S295" s="1210"/>
      <c r="T295" s="1210"/>
      <c r="U295" s="1210"/>
      <c r="V295" s="1210"/>
    </row>
    <row r="296" spans="1:24" s="228" customFormat="1" ht="21.75" customHeight="1">
      <c r="A296" s="1190"/>
      <c r="B296" s="244" t="s">
        <v>212</v>
      </c>
      <c r="C296" s="3998" t="s">
        <v>2943</v>
      </c>
      <c r="D296" s="3998"/>
      <c r="E296" s="3998"/>
      <c r="F296" s="3998"/>
      <c r="G296" s="3998"/>
      <c r="H296" s="3998"/>
      <c r="I296" s="3998"/>
      <c r="J296" s="3998"/>
      <c r="K296" s="3998"/>
      <c r="L296" s="3998"/>
      <c r="M296" s="3998"/>
      <c r="N296" s="101" t="s">
        <v>212</v>
      </c>
      <c r="O296" s="935"/>
      <c r="P296" s="936"/>
      <c r="Q296" s="227"/>
      <c r="R296" s="1401"/>
      <c r="S296" s="1401"/>
      <c r="T296" s="1401"/>
      <c r="U296" s="1401"/>
    </row>
    <row r="297" spans="1:24" s="228" customFormat="1" ht="21.75" customHeight="1" thickBot="1">
      <c r="A297" s="1190"/>
      <c r="B297" s="244" t="s">
        <v>220</v>
      </c>
      <c r="C297" s="3998" t="s">
        <v>2944</v>
      </c>
      <c r="D297" s="3998"/>
      <c r="E297" s="3998"/>
      <c r="F297" s="3998"/>
      <c r="G297" s="3998"/>
      <c r="H297" s="3998"/>
      <c r="I297" s="3998"/>
      <c r="J297" s="3998"/>
      <c r="K297" s="3998"/>
      <c r="L297" s="3998"/>
      <c r="M297" s="3998"/>
      <c r="N297" s="101" t="s">
        <v>220</v>
      </c>
      <c r="O297" s="2583"/>
      <c r="P297" s="2581"/>
      <c r="Q297" s="227"/>
      <c r="R297" s="1401"/>
      <c r="S297" s="1401"/>
      <c r="T297" s="1401"/>
      <c r="U297" s="1401"/>
    </row>
    <row r="298" spans="1:24" ht="11.25" customHeight="1" thickBot="1">
      <c r="A298" s="517" t="s">
        <v>209</v>
      </c>
      <c r="B298" s="666" t="s">
        <v>1791</v>
      </c>
      <c r="D298" s="266"/>
      <c r="G298" s="25" t="s">
        <v>2945</v>
      </c>
      <c r="L298" s="266"/>
      <c r="M298" s="2595">
        <v>2</v>
      </c>
      <c r="N298" s="28" t="s">
        <v>209</v>
      </c>
      <c r="O298" s="670"/>
      <c r="P298" s="664"/>
      <c r="Q298" s="1402" t="str">
        <f>IF(OR(O298=0,O298="",O298=$M298),"","Check!")</f>
        <v/>
      </c>
      <c r="R298" s="651" t="s">
        <v>2889</v>
      </c>
      <c r="S298" s="1210"/>
      <c r="T298" s="1210"/>
      <c r="U298" s="1210"/>
      <c r="V298" s="1210"/>
    </row>
    <row r="299" spans="1:24" s="228" customFormat="1" ht="10.5" customHeight="1">
      <c r="A299" s="1190"/>
      <c r="B299" s="244" t="s">
        <v>212</v>
      </c>
      <c r="C299" s="3998" t="s">
        <v>2946</v>
      </c>
      <c r="D299" s="3998"/>
      <c r="E299" s="3998"/>
      <c r="F299" s="3998"/>
      <c r="G299" s="3998"/>
      <c r="H299" s="3998"/>
      <c r="I299" s="3998"/>
      <c r="J299" s="3998"/>
      <c r="K299" s="3998"/>
      <c r="L299" s="3998"/>
      <c r="M299" s="3998"/>
      <c r="N299" s="101" t="s">
        <v>212</v>
      </c>
      <c r="O299" s="935"/>
      <c r="P299" s="936"/>
      <c r="Q299" s="227"/>
      <c r="R299" s="1401"/>
      <c r="S299" s="1401"/>
      <c r="T299" s="1401"/>
      <c r="U299" s="1401"/>
    </row>
    <row r="300" spans="1:24" s="228" customFormat="1" ht="10.5" customHeight="1">
      <c r="A300" s="1190"/>
      <c r="B300" s="244" t="s">
        <v>220</v>
      </c>
      <c r="C300" s="3998" t="s">
        <v>2947</v>
      </c>
      <c r="D300" s="3998"/>
      <c r="E300" s="3998"/>
      <c r="F300" s="3998"/>
      <c r="G300" s="3998"/>
      <c r="H300" s="3998"/>
      <c r="I300" s="3998"/>
      <c r="J300" s="3998"/>
      <c r="K300" s="3998"/>
      <c r="L300" s="3998"/>
      <c r="M300" s="3998"/>
      <c r="N300" s="101" t="s">
        <v>220</v>
      </c>
      <c r="O300" s="2583"/>
      <c r="P300" s="2581"/>
      <c r="Q300" s="227"/>
      <c r="R300" s="1401"/>
      <c r="S300" s="1401"/>
      <c r="T300" s="1401"/>
      <c r="U300" s="1401"/>
    </row>
    <row r="301" spans="1:24" s="228" customFormat="1" ht="10.5" customHeight="1">
      <c r="A301" s="1190"/>
      <c r="B301" s="244" t="s">
        <v>224</v>
      </c>
      <c r="C301" s="516" t="s">
        <v>2948</v>
      </c>
      <c r="D301" s="2574"/>
      <c r="E301" s="2574"/>
      <c r="F301" s="2574"/>
      <c r="G301" s="2574"/>
      <c r="H301" s="2574"/>
      <c r="I301" s="2574"/>
      <c r="J301" s="2574"/>
      <c r="K301" s="2574"/>
      <c r="L301" s="2574"/>
      <c r="M301" s="2574"/>
      <c r="N301" s="101" t="s">
        <v>224</v>
      </c>
      <c r="O301" s="2574"/>
      <c r="P301" s="2574"/>
      <c r="Q301" s="227"/>
      <c r="R301" s="1401"/>
      <c r="S301" s="1401"/>
      <c r="T301" s="1401"/>
      <c r="U301" s="1401"/>
    </row>
    <row r="302" spans="1:24" s="19" customFormat="1" ht="11.25" customHeight="1">
      <c r="A302" s="79"/>
      <c r="B302" s="84" t="s">
        <v>2468</v>
      </c>
      <c r="C302" s="13" t="s">
        <v>2949</v>
      </c>
      <c r="D302" s="662"/>
      <c r="E302" s="42"/>
      <c r="F302" s="42"/>
      <c r="G302" s="42"/>
      <c r="H302" s="21"/>
      <c r="I302" s="23"/>
      <c r="M302" s="2541"/>
      <c r="N302" s="84" t="s">
        <v>2468</v>
      </c>
      <c r="O302" s="935"/>
      <c r="P302" s="936"/>
      <c r="Q302" s="53"/>
      <c r="R302" s="661"/>
      <c r="S302" s="661"/>
      <c r="T302" s="661"/>
      <c r="U302" s="661"/>
    </row>
    <row r="303" spans="1:24" s="19" customFormat="1" ht="11.25" customHeight="1">
      <c r="A303" s="79"/>
      <c r="B303" s="28" t="s">
        <v>2470</v>
      </c>
      <c r="C303" s="13" t="s">
        <v>2950</v>
      </c>
      <c r="D303" s="662"/>
      <c r="E303" s="42"/>
      <c r="F303" s="42"/>
      <c r="G303" s="42"/>
      <c r="H303" s="21"/>
      <c r="I303" s="23"/>
      <c r="J303" s="48"/>
      <c r="K303" s="48"/>
      <c r="L303" s="42"/>
      <c r="M303" s="42"/>
      <c r="N303" s="28" t="s">
        <v>2470</v>
      </c>
      <c r="O303" s="202"/>
      <c r="P303" s="307"/>
      <c r="Q303" s="53"/>
      <c r="R303" s="661"/>
      <c r="S303" s="661"/>
      <c r="T303" s="661"/>
      <c r="U303" s="661"/>
    </row>
    <row r="304" spans="1:24" s="228" customFormat="1" ht="21.75" customHeight="1">
      <c r="A304" s="1190"/>
      <c r="B304" s="244" t="s">
        <v>264</v>
      </c>
      <c r="C304" s="3998" t="s">
        <v>2951</v>
      </c>
      <c r="D304" s="3998"/>
      <c r="E304" s="3998"/>
      <c r="F304" s="3998"/>
      <c r="G304" s="3998"/>
      <c r="H304" s="3998"/>
      <c r="I304" s="3998"/>
      <c r="J304" s="3998"/>
      <c r="K304" s="3998"/>
      <c r="L304" s="3998"/>
      <c r="M304" s="3998"/>
      <c r="N304" s="101" t="s">
        <v>264</v>
      </c>
      <c r="O304" s="2583"/>
      <c r="P304" s="2581"/>
      <c r="Q304" s="227"/>
      <c r="R304" s="1401"/>
      <c r="S304" s="1401"/>
      <c r="T304" s="1401"/>
      <c r="U304" s="1401"/>
    </row>
    <row r="305" spans="1:22" s="19" customFormat="1" ht="10.5" customHeight="1" thickBot="1">
      <c r="A305" s="43"/>
      <c r="B305" s="699" t="s">
        <v>2833</v>
      </c>
      <c r="C305" s="43"/>
      <c r="D305" s="48"/>
      <c r="E305" s="48"/>
      <c r="F305" s="48"/>
      <c r="G305" s="48"/>
      <c r="H305" s="13"/>
      <c r="I305" s="13"/>
      <c r="J305" s="13"/>
      <c r="K305" s="13"/>
      <c r="M305" s="32"/>
      <c r="N305" s="58"/>
      <c r="O305" s="2"/>
      <c r="P305" s="2535"/>
      <c r="R305" s="1210"/>
      <c r="S305" s="1210"/>
      <c r="T305" s="1210"/>
      <c r="U305" s="1210"/>
      <c r="V305" s="1210"/>
    </row>
    <row r="306" spans="1:22" s="19" customFormat="1" ht="34.9" customHeight="1" thickTop="1" thickBot="1">
      <c r="A306" s="4291"/>
      <c r="B306" s="4292"/>
      <c r="C306" s="4292"/>
      <c r="D306" s="4292"/>
      <c r="E306" s="4292"/>
      <c r="F306" s="4292"/>
      <c r="G306" s="4292"/>
      <c r="H306" s="4292"/>
      <c r="I306" s="4292"/>
      <c r="J306" s="4292"/>
      <c r="K306" s="4292"/>
      <c r="L306" s="4292"/>
      <c r="M306" s="4292"/>
      <c r="N306" s="4292"/>
      <c r="O306" s="4292"/>
      <c r="P306" s="4293"/>
      <c r="Q306" s="249" t="s">
        <v>2401</v>
      </c>
    </row>
    <row r="307" spans="1:22" s="19" customFormat="1" ht="10.5" customHeight="1" thickTop="1">
      <c r="A307" s="43"/>
      <c r="B307" s="37" t="s">
        <v>1447</v>
      </c>
      <c r="C307" s="43"/>
      <c r="D307" s="37"/>
      <c r="E307" s="2574"/>
      <c r="F307" s="2574"/>
      <c r="G307" s="2574"/>
      <c r="H307" s="2574"/>
      <c r="I307" s="2574"/>
      <c r="J307" s="2574"/>
      <c r="K307" s="2574"/>
      <c r="L307" s="2574"/>
      <c r="M307" s="2574"/>
      <c r="N307" s="2813"/>
      <c r="O307" s="31"/>
      <c r="P307" s="2541"/>
    </row>
    <row r="308" spans="1:22" s="19" customFormat="1" ht="11.25" customHeight="1">
      <c r="A308" s="4240"/>
      <c r="B308" s="4241"/>
      <c r="C308" s="4241"/>
      <c r="D308" s="4241"/>
      <c r="E308" s="4241"/>
      <c r="F308" s="4241"/>
      <c r="G308" s="4241"/>
      <c r="H308" s="4241"/>
      <c r="I308" s="4241"/>
      <c r="J308" s="4241"/>
      <c r="K308" s="4241"/>
      <c r="L308" s="4241"/>
      <c r="M308" s="4241"/>
      <c r="N308" s="4241"/>
      <c r="O308" s="4241"/>
      <c r="P308" s="4242"/>
      <c r="Q308" s="248"/>
    </row>
    <row r="309" spans="1:22" s="19" customFormat="1" ht="2.25" customHeight="1" thickBot="1">
      <c r="A309" s="43"/>
      <c r="D309" s="13"/>
      <c r="E309" s="13"/>
      <c r="F309" s="2541"/>
      <c r="G309" s="2541"/>
      <c r="H309" s="2541"/>
      <c r="I309" s="2541"/>
      <c r="J309" s="16"/>
      <c r="K309" s="16"/>
      <c r="L309" s="16"/>
      <c r="M309" s="2584"/>
      <c r="N309" s="2541"/>
      <c r="O309" s="2535"/>
      <c r="P309" s="2"/>
    </row>
    <row r="310" spans="1:22" s="42" customFormat="1" ht="13.5" customHeight="1" thickBot="1">
      <c r="A310" s="79" t="s">
        <v>1578</v>
      </c>
      <c r="B310" s="50" t="s">
        <v>2033</v>
      </c>
      <c r="D310" s="21"/>
      <c r="E310" s="21"/>
      <c r="G310" s="1205"/>
      <c r="H310" s="98"/>
      <c r="I310" s="98"/>
      <c r="J310" s="98"/>
      <c r="K310" s="98"/>
      <c r="L310" s="98"/>
      <c r="M310" s="2541">
        <v>2</v>
      </c>
      <c r="N310" s="32"/>
      <c r="O310" s="652">
        <f>IF(OR(O311=$M311,O312=$M312),$M$310,0)</f>
        <v>0</v>
      </c>
      <c r="P310" s="652">
        <f>IF(OR(P311=$M311,P312=$M312),$M$310,0)</f>
        <v>0</v>
      </c>
      <c r="Q310" s="53" t="s">
        <v>795</v>
      </c>
      <c r="R310" s="1210"/>
      <c r="S310" s="1210"/>
      <c r="T310" s="1210"/>
      <c r="U310" s="1210"/>
      <c r="V310" s="1210"/>
    </row>
    <row r="311" spans="1:22" ht="11.25" customHeight="1">
      <c r="A311" s="517" t="s">
        <v>197</v>
      </c>
      <c r="B311" s="666" t="s">
        <v>2034</v>
      </c>
      <c r="D311" s="266"/>
      <c r="E311" s="266" t="s">
        <v>2035</v>
      </c>
      <c r="F311" s="266"/>
      <c r="G311" s="266"/>
      <c r="H311" s="266"/>
      <c r="I311" s="4476"/>
      <c r="J311" s="4477"/>
      <c r="K311" s="4477"/>
      <c r="L311" s="4478"/>
      <c r="M311" s="2595">
        <v>2</v>
      </c>
      <c r="N311" s="28" t="s">
        <v>197</v>
      </c>
      <c r="O311" s="967"/>
      <c r="P311" s="968"/>
      <c r="Q311" s="1402" t="str">
        <f>IF(OR(O311=0,O311="",O311=$M311),"","Check!")</f>
        <v/>
      </c>
      <c r="R311" s="651" t="s">
        <v>2889</v>
      </c>
      <c r="S311" s="1210"/>
      <c r="T311" s="1210"/>
      <c r="U311" s="1210"/>
      <c r="V311" s="1210"/>
    </row>
    <row r="312" spans="1:22" ht="11.25" customHeight="1">
      <c r="A312" s="517" t="s">
        <v>209</v>
      </c>
      <c r="B312" s="666" t="s">
        <v>2036</v>
      </c>
      <c r="D312" s="266"/>
      <c r="L312" s="266"/>
      <c r="M312" s="2595">
        <v>2</v>
      </c>
      <c r="N312" s="28" t="s">
        <v>209</v>
      </c>
      <c r="O312" s="298"/>
      <c r="P312" s="305"/>
      <c r="Q312" s="1402" t="str">
        <f>IF(OR(O312=0,O312="",O312=$M312),"","Check!")</f>
        <v/>
      </c>
      <c r="R312" s="651" t="s">
        <v>2889</v>
      </c>
      <c r="S312" s="1210"/>
      <c r="T312" s="1210"/>
      <c r="U312" s="1210"/>
      <c r="V312" s="1210"/>
    </row>
    <row r="313" spans="1:22" s="19" customFormat="1" ht="10.5" customHeight="1" thickBot="1">
      <c r="A313" s="43"/>
      <c r="B313" s="699" t="s">
        <v>2833</v>
      </c>
      <c r="C313" s="43"/>
      <c r="D313" s="48"/>
      <c r="E313" s="48"/>
      <c r="F313" s="48"/>
      <c r="G313" s="48"/>
      <c r="H313" s="13"/>
      <c r="I313" s="13"/>
      <c r="J313" s="13"/>
      <c r="K313" s="13"/>
      <c r="M313" s="32"/>
      <c r="N313" s="58"/>
      <c r="O313" s="2"/>
      <c r="P313" s="2535"/>
      <c r="R313" s="1210"/>
      <c r="S313" s="1210"/>
      <c r="T313" s="1210"/>
      <c r="U313" s="1210"/>
      <c r="V313" s="1210"/>
    </row>
    <row r="314" spans="1:22" s="19" customFormat="1" ht="34.9" customHeight="1" thickTop="1" thickBot="1">
      <c r="A314" s="4291"/>
      <c r="B314" s="4292"/>
      <c r="C314" s="4292"/>
      <c r="D314" s="4292"/>
      <c r="E314" s="4292"/>
      <c r="F314" s="4292"/>
      <c r="G314" s="4292"/>
      <c r="H314" s="4292"/>
      <c r="I314" s="4292"/>
      <c r="J314" s="4292"/>
      <c r="K314" s="4292"/>
      <c r="L314" s="4292"/>
      <c r="M314" s="4292"/>
      <c r="N314" s="4292"/>
      <c r="O314" s="4292"/>
      <c r="P314" s="4293"/>
      <c r="Q314" s="249" t="s">
        <v>2401</v>
      </c>
    </row>
    <row r="315" spans="1:22" s="19" customFormat="1" ht="10.5" customHeight="1" thickTop="1">
      <c r="A315" s="43"/>
      <c r="B315" s="37" t="s">
        <v>1447</v>
      </c>
      <c r="C315" s="43"/>
      <c r="D315" s="37"/>
      <c r="E315" s="2574"/>
      <c r="F315" s="2574"/>
      <c r="G315" s="2574"/>
      <c r="H315" s="2574"/>
      <c r="I315" s="2574"/>
      <c r="J315" s="2574"/>
      <c r="K315" s="2574"/>
      <c r="L315" s="2574"/>
      <c r="M315" s="2574"/>
      <c r="N315" s="2813"/>
      <c r="O315" s="31"/>
      <c r="P315" s="2541"/>
    </row>
    <row r="316" spans="1:22" s="19" customFormat="1" ht="11.25" customHeight="1">
      <c r="A316" s="4240"/>
      <c r="B316" s="4241"/>
      <c r="C316" s="4241"/>
      <c r="D316" s="4241"/>
      <c r="E316" s="4241"/>
      <c r="F316" s="4241"/>
      <c r="G316" s="4241"/>
      <c r="H316" s="4241"/>
      <c r="I316" s="4241"/>
      <c r="J316" s="4241"/>
      <c r="K316" s="4241"/>
      <c r="L316" s="4241"/>
      <c r="M316" s="4241"/>
      <c r="N316" s="4241"/>
      <c r="O316" s="4241"/>
      <c r="P316" s="4242"/>
      <c r="Q316" s="248"/>
    </row>
    <row r="317" spans="1:22" s="19" customFormat="1" ht="2.25" customHeight="1" thickBot="1">
      <c r="A317" s="43"/>
      <c r="D317" s="13"/>
      <c r="E317" s="13"/>
      <c r="F317" s="2541"/>
      <c r="G317" s="2541"/>
      <c r="H317" s="2541"/>
      <c r="I317" s="2541"/>
      <c r="J317" s="16"/>
      <c r="K317" s="16"/>
      <c r="L317" s="16"/>
      <c r="M317" s="2584"/>
      <c r="N317" s="2541"/>
      <c r="O317" s="2535"/>
      <c r="P317" s="2"/>
    </row>
    <row r="318" spans="1:22" s="19" customFormat="1" ht="12" customHeight="1" thickBot="1">
      <c r="A318" s="1033" t="s">
        <v>1589</v>
      </c>
      <c r="B318" s="50" t="s">
        <v>2952</v>
      </c>
      <c r="C318" s="39"/>
      <c r="D318" s="25"/>
      <c r="E318" s="13"/>
      <c r="G318" s="25"/>
      <c r="I318" s="1203" t="s">
        <v>2909</v>
      </c>
      <c r="J318" s="1140" t="e">
        <f>IF(OR($M$34="9% Credit Competitive Round only", $M$34="9% Credit &amp; HOME"),"9%",IF(OR($M$34="4% Credit/TE Bond", $M$34="4% Credit/TE Bond &amp; HOME", $M$34="4% Credit/TE Bond &amp; HOME NOFA", $M$34="4% Credit &amp; NHTF", $M$34="4% Credit &amp; NHTF &amp; HOME"),"4%",""))</f>
        <v>#REF!</v>
      </c>
      <c r="K318" s="42"/>
      <c r="L318" s="42"/>
      <c r="M318" s="2541">
        <v>2</v>
      </c>
      <c r="N318" s="32"/>
      <c r="O318" s="32"/>
      <c r="P318" s="669">
        <f>P320+P326</f>
        <v>0</v>
      </c>
      <c r="Q318" s="53" t="s">
        <v>795</v>
      </c>
    </row>
    <row r="319" spans="1:22" s="19" customFormat="1" ht="13.5" customHeight="1">
      <c r="A319" s="79"/>
      <c r="B319" s="13" t="s">
        <v>2953</v>
      </c>
      <c r="C319" s="2574"/>
      <c r="D319" s="2574"/>
      <c r="E319" s="2574"/>
      <c r="F319" s="2574"/>
      <c r="G319" s="2574"/>
      <c r="H319" s="2574"/>
      <c r="I319" s="2574"/>
      <c r="J319" s="2574"/>
      <c r="K319" s="2574"/>
      <c r="L319" s="869"/>
      <c r="M319" s="2541"/>
      <c r="N319" s="2813"/>
      <c r="O319" s="267"/>
      <c r="P319" s="786"/>
      <c r="Q319" s="53"/>
      <c r="T319" s="631"/>
      <c r="U319" s="631"/>
    </row>
    <row r="320" spans="1:22" s="19" customFormat="1" ht="12" customHeight="1">
      <c r="A320" s="517" t="s">
        <v>197</v>
      </c>
      <c r="B320" s="92" t="s">
        <v>2954</v>
      </c>
      <c r="C320" s="39"/>
      <c r="D320" s="25"/>
      <c r="E320" s="13"/>
      <c r="G320" s="1073"/>
      <c r="I320" s="16" t="s">
        <v>2955</v>
      </c>
      <c r="K320" s="1188">
        <f>'Part VIII Scoring Criteria OLD'!P42</f>
        <v>0</v>
      </c>
      <c r="M320" s="2659">
        <v>2</v>
      </c>
      <c r="N320" s="28" t="s">
        <v>197</v>
      </c>
      <c r="P320" s="2819"/>
      <c r="Q320" s="53"/>
      <c r="R320" s="651" t="s">
        <v>2889</v>
      </c>
    </row>
    <row r="321" spans="1:19" s="42" customFormat="1" ht="10.5" customHeight="1">
      <c r="A321" s="517"/>
      <c r="B321" s="208" t="s">
        <v>212</v>
      </c>
      <c r="C321" s="13" t="s">
        <v>2956</v>
      </c>
      <c r="D321" s="11"/>
      <c r="N321" s="242" t="s">
        <v>2957</v>
      </c>
      <c r="O321" s="935"/>
      <c r="P321" s="936"/>
      <c r="R321" s="209"/>
    </row>
    <row r="322" spans="1:19" s="42" customFormat="1" ht="10.5" customHeight="1">
      <c r="A322" s="517"/>
      <c r="B322" s="208"/>
      <c r="C322" s="13" t="s">
        <v>2958</v>
      </c>
      <c r="D322" s="11"/>
      <c r="N322" s="242" t="s">
        <v>2959</v>
      </c>
      <c r="O322" s="202"/>
      <c r="P322" s="307"/>
      <c r="R322" s="209"/>
    </row>
    <row r="323" spans="1:19" s="42" customFormat="1" ht="10.5" customHeight="1">
      <c r="A323" s="517"/>
      <c r="B323" s="208" t="s">
        <v>220</v>
      </c>
      <c r="C323" s="13" t="s">
        <v>2960</v>
      </c>
      <c r="D323" s="11"/>
      <c r="N323" s="242" t="s">
        <v>220</v>
      </c>
      <c r="O323" s="202"/>
      <c r="P323" s="307"/>
      <c r="R323" s="209"/>
    </row>
    <row r="324" spans="1:19" s="42" customFormat="1" ht="10.5" customHeight="1">
      <c r="A324" s="517"/>
      <c r="B324" s="208" t="s">
        <v>224</v>
      </c>
      <c r="C324" s="13" t="s">
        <v>2961</v>
      </c>
      <c r="D324" s="11"/>
      <c r="N324" s="242" t="s">
        <v>224</v>
      </c>
      <c r="O324" s="202"/>
      <c r="P324" s="307"/>
      <c r="R324" s="209"/>
    </row>
    <row r="325" spans="1:19" s="42" customFormat="1" ht="10.5" customHeight="1">
      <c r="A325" s="697"/>
      <c r="B325" s="208" t="s">
        <v>264</v>
      </c>
      <c r="C325" s="13" t="s">
        <v>2962</v>
      </c>
      <c r="D325" s="11"/>
      <c r="N325" s="242" t="s">
        <v>264</v>
      </c>
      <c r="O325" s="118"/>
      <c r="P325" s="307"/>
      <c r="R325" s="209"/>
    </row>
    <row r="326" spans="1:19" s="19" customFormat="1" ht="12" customHeight="1">
      <c r="A326" s="517" t="s">
        <v>209</v>
      </c>
      <c r="B326" s="92" t="s">
        <v>2963</v>
      </c>
      <c r="C326" s="39"/>
      <c r="D326" s="25"/>
      <c r="E326" s="13"/>
      <c r="G326" s="1073"/>
      <c r="I326" s="274"/>
      <c r="L326" s="2579"/>
      <c r="M326" s="2659">
        <v>2</v>
      </c>
      <c r="N326" s="28" t="s">
        <v>209</v>
      </c>
      <c r="P326" s="2819"/>
      <c r="Q326" s="53"/>
      <c r="R326" s="651" t="s">
        <v>2889</v>
      </c>
    </row>
    <row r="327" spans="1:19" s="42" customFormat="1" ht="10.5" customHeight="1">
      <c r="A327" s="80"/>
      <c r="B327" s="208" t="s">
        <v>212</v>
      </c>
      <c r="C327" s="13" t="s">
        <v>2956</v>
      </c>
      <c r="D327" s="13"/>
      <c r="E327" s="13"/>
      <c r="M327" s="2541"/>
      <c r="N327" s="242" t="s">
        <v>2957</v>
      </c>
      <c r="O327" s="935"/>
      <c r="P327" s="936"/>
      <c r="Q327" s="53"/>
    </row>
    <row r="328" spans="1:19" s="42" customFormat="1" ht="10.5" customHeight="1">
      <c r="A328" s="72"/>
      <c r="B328" s="208"/>
      <c r="C328" s="13" t="s">
        <v>2964</v>
      </c>
      <c r="D328" s="11"/>
      <c r="N328" s="242" t="s">
        <v>2959</v>
      </c>
      <c r="O328" s="202"/>
      <c r="P328" s="307"/>
      <c r="R328" s="209"/>
    </row>
    <row r="329" spans="1:19" s="42" customFormat="1" ht="10.5" customHeight="1">
      <c r="A329" s="72"/>
      <c r="B329" s="208" t="s">
        <v>220</v>
      </c>
      <c r="C329" s="13" t="s">
        <v>2965</v>
      </c>
      <c r="D329" s="11"/>
      <c r="N329" s="242" t="s">
        <v>220</v>
      </c>
      <c r="O329" s="202"/>
      <c r="P329" s="307"/>
      <c r="R329" s="209"/>
    </row>
    <row r="330" spans="1:19" s="42" customFormat="1" ht="10.5" customHeight="1">
      <c r="B330" s="208" t="s">
        <v>224</v>
      </c>
      <c r="C330" s="13" t="s">
        <v>2962</v>
      </c>
      <c r="D330" s="11"/>
      <c r="N330" s="242" t="s">
        <v>224</v>
      </c>
      <c r="O330" s="118"/>
      <c r="P330" s="308"/>
      <c r="R330" s="209"/>
    </row>
    <row r="331" spans="1:19" s="19" customFormat="1" ht="10.5" customHeight="1">
      <c r="B331" s="37" t="s">
        <v>1447</v>
      </c>
      <c r="C331" s="755"/>
      <c r="D331" s="37"/>
      <c r="E331" s="46"/>
      <c r="F331" s="2574"/>
      <c r="G331" s="2574"/>
      <c r="H331" s="2574"/>
      <c r="I331" s="2574"/>
      <c r="J331" s="2574"/>
      <c r="K331" s="2574"/>
      <c r="L331" s="2574"/>
      <c r="M331" s="2574"/>
      <c r="N331" s="2813"/>
      <c r="O331" s="31"/>
      <c r="P331" s="2541"/>
    </row>
    <row r="332" spans="1:19" s="19" customFormat="1" ht="11.25" customHeight="1">
      <c r="A332" s="3999"/>
      <c r="B332" s="4000"/>
      <c r="C332" s="4000"/>
      <c r="D332" s="4000"/>
      <c r="E332" s="4000"/>
      <c r="F332" s="4000"/>
      <c r="G332" s="4000"/>
      <c r="H332" s="4000"/>
      <c r="I332" s="4000"/>
      <c r="J332" s="4000"/>
      <c r="K332" s="4000"/>
      <c r="L332" s="4000"/>
      <c r="M332" s="4000"/>
      <c r="N332" s="4000"/>
      <c r="O332" s="4000"/>
      <c r="P332" s="4001"/>
      <c r="Q332" s="248"/>
    </row>
    <row r="333" spans="1:19" ht="2.25" customHeight="1" thickBot="1">
      <c r="N333" s="58"/>
      <c r="O333" s="2535"/>
      <c r="P333" s="2535"/>
    </row>
    <row r="334" spans="1:19" s="19" customFormat="1" ht="13.5" customHeight="1" thickBot="1">
      <c r="A334" s="80" t="s">
        <v>1601</v>
      </c>
      <c r="B334" s="50" t="s">
        <v>2038</v>
      </c>
      <c r="D334" s="39"/>
      <c r="E334" s="39"/>
      <c r="G334" s="13"/>
      <c r="M334" s="2541">
        <v>2</v>
      </c>
      <c r="N334" s="221"/>
      <c r="O334" s="670"/>
      <c r="P334" s="664"/>
      <c r="Q334" s="53" t="s">
        <v>795</v>
      </c>
      <c r="R334" s="1224" t="s">
        <v>2821</v>
      </c>
      <c r="S334" s="1224"/>
    </row>
    <row r="335" spans="1:19" s="19" customFormat="1" ht="11.25" customHeight="1">
      <c r="A335" s="72"/>
      <c r="B335" s="56" t="s">
        <v>2039</v>
      </c>
      <c r="D335" s="39"/>
      <c r="E335" s="39"/>
      <c r="G335" s="13"/>
      <c r="I335" s="3335" t="s">
        <v>2040</v>
      </c>
      <c r="J335" s="3336"/>
      <c r="K335" s="3336"/>
      <c r="L335" s="3337"/>
      <c r="M335" s="32"/>
      <c r="N335" s="2584"/>
      <c r="O335" s="2579"/>
      <c r="P335" s="2579"/>
      <c r="Q335" s="608"/>
      <c r="R335" s="1224"/>
      <c r="S335" s="1224"/>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99" t="s">
        <v>2833</v>
      </c>
      <c r="C337" s="43"/>
      <c r="D337" s="48"/>
      <c r="E337" s="48"/>
      <c r="F337" s="48"/>
      <c r="G337" s="48"/>
      <c r="H337" s="13"/>
      <c r="I337" s="13"/>
      <c r="J337" s="13"/>
      <c r="K337" s="13"/>
      <c r="M337" s="32"/>
      <c r="N337" s="32"/>
      <c r="O337" s="2"/>
      <c r="P337" s="2541"/>
    </row>
    <row r="338" spans="1:20" s="19" customFormat="1" ht="10.9" customHeight="1" thickTop="1" thickBot="1">
      <c r="A338" s="4291"/>
      <c r="B338" s="4292"/>
      <c r="C338" s="4292"/>
      <c r="D338" s="4292"/>
      <c r="E338" s="4292"/>
      <c r="F338" s="4292"/>
      <c r="G338" s="4292"/>
      <c r="H338" s="4292"/>
      <c r="I338" s="4292"/>
      <c r="J338" s="4292"/>
      <c r="K338" s="4292"/>
      <c r="L338" s="4292"/>
      <c r="M338" s="4292"/>
      <c r="N338" s="4292"/>
      <c r="O338" s="4292"/>
      <c r="P338" s="4293"/>
      <c r="Q338" s="249" t="s">
        <v>2401</v>
      </c>
    </row>
    <row r="339" spans="1:20" s="42" customFormat="1" ht="10.5" customHeight="1" thickTop="1">
      <c r="A339" s="43"/>
      <c r="B339" s="45" t="s">
        <v>1447</v>
      </c>
      <c r="C339" s="43"/>
      <c r="D339" s="45"/>
      <c r="E339" s="2578"/>
      <c r="F339" s="2578"/>
      <c r="G339" s="2578"/>
      <c r="H339" s="2578"/>
      <c r="I339" s="2578"/>
      <c r="J339" s="2578"/>
      <c r="K339" s="2578"/>
      <c r="L339" s="2578"/>
      <c r="M339" s="2578"/>
      <c r="N339" s="2817"/>
      <c r="O339" s="509"/>
      <c r="P339" s="2541"/>
      <c r="Q339" s="19"/>
    </row>
    <row r="340" spans="1:20" s="19" customFormat="1" ht="11.25" customHeight="1">
      <c r="A340" s="3999"/>
      <c r="B340" s="4000"/>
      <c r="C340" s="4000"/>
      <c r="D340" s="4000"/>
      <c r="E340" s="4000"/>
      <c r="F340" s="4000"/>
      <c r="G340" s="4000"/>
      <c r="H340" s="4000"/>
      <c r="I340" s="4000"/>
      <c r="J340" s="4000"/>
      <c r="K340" s="4000"/>
      <c r="L340" s="4000"/>
      <c r="M340" s="4000"/>
      <c r="N340" s="4000"/>
      <c r="O340" s="4000"/>
      <c r="P340" s="4001"/>
      <c r="Q340" s="248"/>
    </row>
    <row r="341" spans="1:20" ht="3" customHeight="1" thickBot="1">
      <c r="N341" s="58"/>
      <c r="O341" s="2535"/>
      <c r="P341" s="2535"/>
    </row>
    <row r="342" spans="1:20" s="19" customFormat="1" ht="13.5" customHeight="1" thickBot="1">
      <c r="A342" s="79" t="s">
        <v>1606</v>
      </c>
      <c r="B342" s="50" t="s">
        <v>1796</v>
      </c>
      <c r="D342" s="39"/>
      <c r="E342" s="39"/>
      <c r="F342" s="13"/>
      <c r="G342" s="13"/>
      <c r="H342" s="13"/>
      <c r="J342" s="1522" t="s">
        <v>2100</v>
      </c>
      <c r="K342" s="1453" t="e">
        <f>IF(OR($M$34="9% Credit Competitive Round only", $M$34="9% Credit &amp; HOME"),"9%",IF(OR($M$34="4% Credit/TE Bond", $M$34="4% Credit/TE Bond &amp; HOME", $M$34="4% Credit/TE Bond &amp; HOME NOFA", $M$34="4% Credit &amp; NHTF", $M$34="4% Credit &amp; NHTF &amp; HOME"),"4%",""))</f>
        <v>#REF!</v>
      </c>
      <c r="M342" s="2">
        <v>4</v>
      </c>
      <c r="N342" s="32"/>
      <c r="O342" s="671">
        <f>O349+O369</f>
        <v>0</v>
      </c>
      <c r="P342" s="671">
        <f>P349+P369</f>
        <v>0</v>
      </c>
      <c r="Q342" s="53" t="s">
        <v>795</v>
      </c>
    </row>
    <row r="343" spans="1:20" s="19" customFormat="1" ht="10.5" customHeight="1">
      <c r="A343" s="43"/>
      <c r="B343" s="56" t="s">
        <v>2966</v>
      </c>
      <c r="E343" s="39"/>
      <c r="F343" s="13"/>
      <c r="G343" s="13"/>
      <c r="H343" s="13"/>
      <c r="I343" s="13"/>
      <c r="K343" s="2584"/>
      <c r="L343" s="26"/>
      <c r="O343" s="2584" t="s">
        <v>257</v>
      </c>
      <c r="P343" s="2584" t="s">
        <v>257</v>
      </c>
    </row>
    <row r="344" spans="1:20" s="47" customFormat="1" ht="12.75" customHeight="1">
      <c r="A344" s="25"/>
      <c r="B344" s="28" t="s">
        <v>2468</v>
      </c>
      <c r="C344" s="13" t="s">
        <v>2967</v>
      </c>
      <c r="D344" s="25"/>
      <c r="E344" s="39"/>
      <c r="F344" s="13"/>
      <c r="G344" s="13"/>
      <c r="H344" s="13"/>
      <c r="I344" s="13"/>
      <c r="J344" s="19"/>
      <c r="K344" s="2584"/>
      <c r="L344" s="4354" t="str">
        <f>IF(OR(O344="No",O344="",O345="No",O345="",O346="No",O346="",O347="No",O347=""),"Unmet criterion results in no points!","")</f>
        <v>Unmet criterion results in no points!</v>
      </c>
      <c r="M344" s="4354"/>
      <c r="N344" s="28" t="s">
        <v>2468</v>
      </c>
      <c r="O344" s="935"/>
      <c r="P344" s="936"/>
      <c r="Q344" s="25"/>
      <c r="R344" s="4350" t="str">
        <f>IF(OR(P344="No",P344="",P345="No",P345="",P346="No",P346="",P347="No",P347=""),"Unmet criterion results in no points!","")</f>
        <v>Unmet criterion results in no points!</v>
      </c>
      <c r="S344" s="4350" t="e">
        <f>IF(OR(V344="No",V344="",V345="No",V345="",V346="No",V346="",V347="No",V347="",#REF!="No",#REF!="",#REF!="No",#REF!=""),"Unmet criterion results in no points!","")</f>
        <v>#REF!</v>
      </c>
      <c r="T344" s="25"/>
    </row>
    <row r="345" spans="1:20" s="47" customFormat="1" ht="12.75" customHeight="1">
      <c r="A345" s="25"/>
      <c r="B345" s="28" t="s">
        <v>2470</v>
      </c>
      <c r="C345" s="13" t="s">
        <v>2968</v>
      </c>
      <c r="D345" s="25"/>
      <c r="E345" s="25"/>
      <c r="F345" s="25"/>
      <c r="G345" s="25"/>
      <c r="H345" s="25"/>
      <c r="I345" s="25"/>
      <c r="J345" s="25"/>
      <c r="K345" s="25"/>
      <c r="L345" s="4354"/>
      <c r="M345" s="4354"/>
      <c r="N345" s="28" t="s">
        <v>2470</v>
      </c>
      <c r="O345" s="202"/>
      <c r="P345" s="307"/>
      <c r="Q345" s="25"/>
      <c r="R345" s="4350"/>
      <c r="S345" s="4350"/>
      <c r="T345" s="25"/>
    </row>
    <row r="346" spans="1:20" s="47" customFormat="1" ht="12.75" customHeight="1">
      <c r="A346" s="25"/>
      <c r="B346" s="28" t="s">
        <v>2677</v>
      </c>
      <c r="C346" s="13" t="s">
        <v>2969</v>
      </c>
      <c r="D346" s="25"/>
      <c r="E346" s="25"/>
      <c r="F346" s="25"/>
      <c r="G346" s="25"/>
      <c r="H346" s="25"/>
      <c r="I346" s="25"/>
      <c r="J346" s="25"/>
      <c r="K346" s="25"/>
      <c r="L346" s="4354"/>
      <c r="M346" s="4354"/>
      <c r="N346" s="28" t="s">
        <v>2677</v>
      </c>
      <c r="O346" s="202"/>
      <c r="P346" s="307"/>
      <c r="Q346" s="25"/>
      <c r="R346" s="4350"/>
      <c r="S346" s="4350"/>
      <c r="T346" s="25"/>
    </row>
    <row r="347" spans="1:20" s="47" customFormat="1" ht="33.75" customHeight="1">
      <c r="A347" s="25"/>
      <c r="B347" s="84" t="s">
        <v>2879</v>
      </c>
      <c r="C347" s="3998" t="s">
        <v>2970</v>
      </c>
      <c r="D347" s="3998"/>
      <c r="E347" s="3998"/>
      <c r="F347" s="3998"/>
      <c r="G347" s="3998"/>
      <c r="H347" s="3998"/>
      <c r="I347" s="3998"/>
      <c r="J347" s="3998"/>
      <c r="K347" s="3998"/>
      <c r="L347" s="3998"/>
      <c r="M347" s="3998"/>
      <c r="N347" s="84" t="s">
        <v>2879</v>
      </c>
      <c r="O347" s="2583"/>
      <c r="P347" s="2581"/>
      <c r="Q347" s="25"/>
      <c r="R347" s="25"/>
      <c r="S347" s="25"/>
      <c r="T347" s="25"/>
    </row>
    <row r="348" spans="1:20" ht="3" customHeight="1" thickBot="1">
      <c r="C348" s="3998"/>
      <c r="D348" s="3998"/>
      <c r="E348" s="3998"/>
      <c r="F348" s="3998"/>
      <c r="G348" s="3998"/>
      <c r="H348" s="3998"/>
      <c r="I348" s="3998"/>
      <c r="J348" s="3998"/>
      <c r="K348" s="3998"/>
      <c r="L348" s="3998"/>
      <c r="M348" s="3998"/>
      <c r="N348" s="58"/>
      <c r="O348" s="2535"/>
      <c r="P348" s="2535"/>
    </row>
    <row r="349" spans="1:20" ht="12.75" customHeight="1" thickBot="1">
      <c r="A349" s="611" t="s">
        <v>197</v>
      </c>
      <c r="B349" s="92" t="s">
        <v>1797</v>
      </c>
      <c r="L349" s="209" t="str">
        <f>IF(O349&lt;=M349,"","* * Check Score! * *")</f>
        <v/>
      </c>
      <c r="M349" s="2659">
        <v>3</v>
      </c>
      <c r="N349" s="28" t="s">
        <v>197</v>
      </c>
      <c r="O349" s="1206"/>
      <c r="P349" s="1207"/>
      <c r="Q349" s="608" t="str">
        <f>IF(O349&lt;=M349,"","*CHECK!*")</f>
        <v/>
      </c>
      <c r="R349" s="285" t="s">
        <v>2821</v>
      </c>
      <c r="S349" s="285"/>
      <c r="T349" s="1055"/>
    </row>
    <row r="350" spans="1:20" ht="12.75" customHeight="1">
      <c r="A350" s="611"/>
      <c r="B350" s="516" t="s">
        <v>2971</v>
      </c>
      <c r="C350" s="73"/>
      <c r="D350" s="73"/>
      <c r="E350" s="73"/>
      <c r="F350" s="73"/>
      <c r="G350" s="73"/>
      <c r="H350" s="73"/>
      <c r="I350" s="73"/>
      <c r="N350"/>
      <c r="O350" s="1032"/>
      <c r="P350" s="1031"/>
      <c r="R350" s="285"/>
      <c r="S350" s="285"/>
      <c r="T350" s="1055"/>
    </row>
    <row r="351" spans="1:20" ht="12.75" customHeight="1">
      <c r="A351" s="611"/>
      <c r="B351" s="1496" t="s">
        <v>2972</v>
      </c>
      <c r="C351" s="73"/>
      <c r="D351" s="73"/>
      <c r="E351" s="73"/>
      <c r="F351" s="73"/>
      <c r="G351" s="73"/>
      <c r="H351" s="73"/>
      <c r="I351" s="73"/>
      <c r="J351" s="4347" t="s">
        <v>1799</v>
      </c>
      <c r="K351" s="4347"/>
      <c r="M351" s="4347" t="s">
        <v>1799</v>
      </c>
      <c r="N351" s="4347"/>
      <c r="O351" s="4347"/>
      <c r="P351" s="4347"/>
      <c r="R351" s="1397"/>
      <c r="S351" s="1397"/>
      <c r="T351" s="1055"/>
    </row>
    <row r="352" spans="1:20" s="19" customFormat="1" ht="12.75" customHeight="1">
      <c r="A352" s="102"/>
      <c r="B352" s="101" t="s">
        <v>2973</v>
      </c>
      <c r="C352" s="13" t="s">
        <v>1800</v>
      </c>
      <c r="I352" s="28" t="s">
        <v>2468</v>
      </c>
      <c r="J352" s="4435"/>
      <c r="K352" s="4436"/>
      <c r="L352" s="28" t="s">
        <v>2468</v>
      </c>
      <c r="M352" s="4307"/>
      <c r="N352" s="4308"/>
      <c r="O352" s="4308"/>
      <c r="P352" s="4309"/>
      <c r="R352" s="209"/>
    </row>
    <row r="353" spans="1:18" ht="12.75" customHeight="1">
      <c r="A353" s="103"/>
      <c r="B353" s="84" t="s">
        <v>2470</v>
      </c>
      <c r="C353" s="13" t="s">
        <v>1801</v>
      </c>
      <c r="I353" s="84" t="s">
        <v>2470</v>
      </c>
      <c r="J353" s="4302"/>
      <c r="K353" s="4303"/>
      <c r="L353" s="84" t="s">
        <v>2470</v>
      </c>
      <c r="M353" s="4304"/>
      <c r="N353" s="4305"/>
      <c r="O353" s="4305"/>
      <c r="P353" s="4306"/>
      <c r="R353" s="209"/>
    </row>
    <row r="354" spans="1:18" ht="12.75" customHeight="1">
      <c r="B354" s="28" t="s">
        <v>2677</v>
      </c>
      <c r="C354" s="13" t="s">
        <v>1802</v>
      </c>
      <c r="I354" s="28" t="s">
        <v>2677</v>
      </c>
      <c r="J354" s="4302"/>
      <c r="K354" s="4303"/>
      <c r="L354" s="28" t="s">
        <v>2677</v>
      </c>
      <c r="M354" s="4304"/>
      <c r="N354" s="4305"/>
      <c r="O354" s="4305"/>
      <c r="P354" s="4306"/>
      <c r="R354" s="209"/>
    </row>
    <row r="355" spans="1:18" ht="12.75" customHeight="1">
      <c r="A355" s="103"/>
      <c r="B355" s="28" t="s">
        <v>2879</v>
      </c>
      <c r="C355" s="13" t="s">
        <v>1804</v>
      </c>
      <c r="I355" s="28" t="s">
        <v>2879</v>
      </c>
      <c r="J355" s="4302"/>
      <c r="K355" s="4303"/>
      <c r="L355" s="28" t="s">
        <v>2879</v>
      </c>
      <c r="M355" s="4304"/>
      <c r="N355" s="4305"/>
      <c r="O355" s="4305"/>
      <c r="P355" s="4306"/>
      <c r="R355" s="209"/>
    </row>
    <row r="356" spans="1:18" s="19" customFormat="1" ht="12.75" customHeight="1">
      <c r="A356" s="102"/>
      <c r="B356" s="84" t="s">
        <v>2690</v>
      </c>
      <c r="C356" s="13" t="s">
        <v>1805</v>
      </c>
      <c r="I356" s="84" t="s">
        <v>2690</v>
      </c>
      <c r="J356" s="4302"/>
      <c r="K356" s="4303"/>
      <c r="L356" s="84" t="s">
        <v>2690</v>
      </c>
      <c r="M356" s="4304"/>
      <c r="N356" s="4305"/>
      <c r="O356" s="4305"/>
      <c r="P356" s="4306"/>
      <c r="R356" s="209"/>
    </row>
    <row r="357" spans="1:18" ht="12.75" customHeight="1">
      <c r="B357" s="28" t="s">
        <v>2693</v>
      </c>
      <c r="C357" s="13" t="s">
        <v>1806</v>
      </c>
      <c r="I357" s="28" t="s">
        <v>2693</v>
      </c>
      <c r="J357" s="4302"/>
      <c r="K357" s="4303"/>
      <c r="L357" s="28" t="s">
        <v>2693</v>
      </c>
      <c r="M357" s="4304"/>
      <c r="N357" s="4305"/>
      <c r="O357" s="4305"/>
      <c r="P357" s="4306"/>
      <c r="R357" s="209"/>
    </row>
    <row r="358" spans="1:18" ht="12.75" customHeight="1">
      <c r="B358" s="28" t="s">
        <v>2974</v>
      </c>
      <c r="C358" s="13" t="s">
        <v>1807</v>
      </c>
      <c r="I358" s="28" t="s">
        <v>2974</v>
      </c>
      <c r="J358" s="4302"/>
      <c r="K358" s="4303"/>
      <c r="L358" s="28" t="s">
        <v>2974</v>
      </c>
      <c r="M358" s="2596"/>
      <c r="N358" s="2597"/>
      <c r="O358" s="2597"/>
      <c r="P358" s="2598"/>
      <c r="R358" s="209"/>
    </row>
    <row r="359" spans="1:18" ht="12.75" customHeight="1">
      <c r="A359" s="103"/>
      <c r="B359" s="28" t="s">
        <v>2975</v>
      </c>
      <c r="C359" s="13" t="s">
        <v>1808</v>
      </c>
      <c r="I359" s="28" t="s">
        <v>2975</v>
      </c>
      <c r="J359" s="4302"/>
      <c r="K359" s="4303"/>
      <c r="L359" s="28" t="s">
        <v>2975</v>
      </c>
      <c r="M359" s="4304"/>
      <c r="N359" s="4305"/>
      <c r="O359" s="4305"/>
      <c r="P359" s="4306"/>
      <c r="R359" s="209"/>
    </row>
    <row r="360" spans="1:18" ht="12.75" customHeight="1">
      <c r="B360" s="28" t="s">
        <v>2697</v>
      </c>
      <c r="C360" s="13" t="s">
        <v>2976</v>
      </c>
      <c r="I360" s="28" t="s">
        <v>2697</v>
      </c>
      <c r="J360" s="4302"/>
      <c r="K360" s="4303"/>
      <c r="L360" s="28" t="s">
        <v>2697</v>
      </c>
      <c r="M360" s="4304"/>
      <c r="N360" s="4305"/>
      <c r="O360" s="4305"/>
      <c r="P360" s="4306"/>
      <c r="R360" s="209"/>
    </row>
    <row r="361" spans="1:18" ht="12.75" customHeight="1">
      <c r="B361" s="28" t="s">
        <v>2977</v>
      </c>
      <c r="C361" s="13" t="s">
        <v>2978</v>
      </c>
      <c r="I361" s="28" t="s">
        <v>2977</v>
      </c>
      <c r="J361" s="4302"/>
      <c r="K361" s="4303"/>
      <c r="L361" s="28" t="s">
        <v>2977</v>
      </c>
      <c r="M361" s="4304"/>
      <c r="N361" s="4305"/>
      <c r="O361" s="4305"/>
      <c r="P361" s="4306"/>
      <c r="R361" s="209"/>
    </row>
    <row r="362" spans="1:18" ht="12.75" customHeight="1" thickBot="1">
      <c r="B362" s="28" t="s">
        <v>2979</v>
      </c>
      <c r="C362" s="13" t="s">
        <v>2980</v>
      </c>
      <c r="I362" s="28" t="s">
        <v>2979</v>
      </c>
      <c r="J362" s="4302"/>
      <c r="K362" s="4303"/>
      <c r="L362" s="28" t="s">
        <v>2979</v>
      </c>
      <c r="M362" s="4340"/>
      <c r="N362" s="4341"/>
      <c r="O362" s="4341"/>
      <c r="P362" s="4342"/>
      <c r="R362" s="209"/>
    </row>
    <row r="363" spans="1:18" ht="12.75" customHeight="1" thickBot="1">
      <c r="B363" s="684" t="s">
        <v>2981</v>
      </c>
      <c r="H363" s="56" t="s">
        <v>1815</v>
      </c>
      <c r="J363" s="4431">
        <f>SUM(J352:K362)</f>
        <v>0</v>
      </c>
      <c r="K363" s="4432"/>
      <c r="M363" s="4431">
        <f>SUM($M352:$M362)</f>
        <v>0</v>
      </c>
      <c r="N363" s="4434"/>
      <c r="O363" s="4434"/>
      <c r="P363" s="4432"/>
      <c r="R363" s="209"/>
    </row>
    <row r="364" spans="1:18" ht="6" customHeight="1">
      <c r="M364" s="285"/>
      <c r="N364" s="285"/>
      <c r="O364" s="77"/>
      <c r="P364" s="285"/>
    </row>
    <row r="365" spans="1:18" s="19" customFormat="1" ht="12" customHeight="1">
      <c r="A365" s="43"/>
      <c r="B365" s="872" t="s">
        <v>220</v>
      </c>
      <c r="C365" s="292" t="s">
        <v>1818</v>
      </c>
      <c r="D365" s="142"/>
      <c r="E365" s="142"/>
      <c r="F365" s="16" t="s">
        <v>1819</v>
      </c>
      <c r="H365"/>
      <c r="I365"/>
      <c r="J365" s="4319" t="e">
        <f>#REF!</f>
        <v>#REF!</v>
      </c>
      <c r="K365" s="4320"/>
      <c r="L365" s="313"/>
      <c r="M365" s="285"/>
      <c r="N365" s="285"/>
      <c r="O365" s="663"/>
      <c r="P365" s="285"/>
    </row>
    <row r="366" spans="1:18" ht="13.5" customHeight="1">
      <c r="C366" s="142"/>
      <c r="D366" s="142"/>
      <c r="E366" s="142"/>
      <c r="F366" s="243" t="s">
        <v>1821</v>
      </c>
      <c r="J366" s="4317" t="e">
        <f>IF(J365=0,0,J363/J365)</f>
        <v>#REF!</v>
      </c>
      <c r="K366" s="4318"/>
      <c r="M366" s="4437" t="e">
        <f>IF($J365=0,0,$M363/$J365)</f>
        <v>#REF!</v>
      </c>
      <c r="N366" s="4438"/>
      <c r="O366" s="4438"/>
      <c r="P366" s="4439"/>
    </row>
    <row r="367" spans="1:18" s="19" customFormat="1" ht="12.75" customHeight="1">
      <c r="C367" s="142"/>
      <c r="D367" s="142"/>
      <c r="E367" s="142"/>
      <c r="F367" s="25" t="s">
        <v>1825</v>
      </c>
      <c r="I367"/>
      <c r="J367" s="4314">
        <f>IF(L344="", IF($J366&gt;=30000, 3,IF($J366&gt;=20000, 2,IF($J366&gt;=10000,1,0))),0)</f>
        <v>0</v>
      </c>
      <c r="K367" s="4316"/>
      <c r="L367" s="290"/>
      <c r="M367" s="4314">
        <f>IF(R344="", IF($M366&gt;=30000, 3,IF($M366&gt;=20000, 2,IF($M366&gt;=10000,1,0))),0)</f>
        <v>0</v>
      </c>
      <c r="N367" s="4315"/>
      <c r="O367" s="4315"/>
      <c r="P367" s="4316"/>
    </row>
    <row r="368" spans="1:18" ht="9" customHeight="1" thickBot="1">
      <c r="N368" s="58"/>
      <c r="O368" s="2535"/>
      <c r="P368" s="2535"/>
    </row>
    <row r="369" spans="1:22" s="42" customFormat="1" ht="12.75" customHeight="1" thickBot="1">
      <c r="A369" s="517" t="s">
        <v>209</v>
      </c>
      <c r="B369" s="104" t="s">
        <v>1832</v>
      </c>
      <c r="D369" s="13"/>
      <c r="E369" s="13"/>
      <c r="F369" s="2541"/>
      <c r="H369" s="13"/>
      <c r="I369" s="2541"/>
      <c r="J369" s="16"/>
      <c r="K369" s="16"/>
      <c r="L369" s="209" t="str">
        <f>IF(OR($O369=$M369,$O369=0,$O369=""),"","* * Check Score! * *")</f>
        <v/>
      </c>
      <c r="M369" s="2659">
        <v>1</v>
      </c>
      <c r="N369" s="28" t="s">
        <v>209</v>
      </c>
      <c r="O369" s="670"/>
      <c r="P369" s="664"/>
      <c r="Q369" s="606" t="s">
        <v>2821</v>
      </c>
      <c r="V369" s="631"/>
    </row>
    <row r="370" spans="1:22" s="19" customFormat="1" ht="22.5" customHeight="1">
      <c r="A370" s="72"/>
      <c r="B370" s="244" t="s">
        <v>212</v>
      </c>
      <c r="C370" s="3998" t="s">
        <v>2982</v>
      </c>
      <c r="D370" s="3998"/>
      <c r="E370" s="3998"/>
      <c r="F370" s="3998"/>
      <c r="G370" s="3998"/>
      <c r="H370" s="3998"/>
      <c r="I370" s="3998"/>
      <c r="J370" s="3998"/>
      <c r="K370" s="3998"/>
      <c r="L370" s="3998"/>
      <c r="M370" s="3998"/>
      <c r="N370" s="268" t="s">
        <v>212</v>
      </c>
      <c r="O370" s="2588"/>
      <c r="P370" s="2586"/>
      <c r="V370" s="631"/>
    </row>
    <row r="371" spans="1:22" s="19" customFormat="1" ht="12.75" customHeight="1">
      <c r="A371" s="72"/>
      <c r="B371" s="208" t="s">
        <v>220</v>
      </c>
      <c r="C371" s="13" t="s">
        <v>2983</v>
      </c>
      <c r="D371" s="13"/>
      <c r="E371" s="13"/>
      <c r="F371" s="13"/>
      <c r="G371" s="13"/>
      <c r="H371" s="13"/>
      <c r="I371" s="13"/>
      <c r="J371" s="13"/>
      <c r="K371" s="13"/>
      <c r="M371" s="13"/>
      <c r="N371" s="242" t="s">
        <v>220</v>
      </c>
      <c r="O371" s="202"/>
      <c r="P371" s="307"/>
      <c r="V371" s="631"/>
    </row>
    <row r="372" spans="1:22" ht="12.75" customHeight="1">
      <c r="B372" s="208" t="s">
        <v>224</v>
      </c>
      <c r="C372" s="25" t="s">
        <v>2984</v>
      </c>
      <c r="N372" s="242" t="s">
        <v>224</v>
      </c>
      <c r="O372" s="118"/>
      <c r="P372" s="308"/>
    </row>
    <row r="373" spans="1:22" ht="12" customHeight="1" thickBot="1">
      <c r="B373" s="699" t="s">
        <v>2833</v>
      </c>
      <c r="N373" s="58"/>
      <c r="O373" s="2535"/>
      <c r="P373" s="2535"/>
    </row>
    <row r="374" spans="1:22" s="19" customFormat="1" ht="21.75" customHeight="1" thickTop="1" thickBot="1">
      <c r="A374" s="4291"/>
      <c r="B374" s="4292"/>
      <c r="C374" s="4292"/>
      <c r="D374" s="4292"/>
      <c r="E374" s="4292"/>
      <c r="F374" s="4292"/>
      <c r="G374" s="4292"/>
      <c r="H374" s="4292"/>
      <c r="I374" s="4292"/>
      <c r="J374" s="4292"/>
      <c r="K374" s="4292"/>
      <c r="L374" s="4292"/>
      <c r="M374" s="4292"/>
      <c r="N374" s="4292"/>
      <c r="O374" s="4292"/>
      <c r="P374" s="4293"/>
      <c r="Q374" s="249" t="s">
        <v>2401</v>
      </c>
    </row>
    <row r="375" spans="1:22" s="42" customFormat="1" ht="11.25" customHeight="1" thickTop="1">
      <c r="A375" s="43"/>
      <c r="B375" s="287" t="s">
        <v>1447</v>
      </c>
      <c r="C375" s="755"/>
      <c r="D375" s="45"/>
      <c r="E375" s="2601"/>
      <c r="F375" s="2578"/>
      <c r="G375" s="2578"/>
      <c r="H375" s="2578"/>
      <c r="I375" s="2578"/>
      <c r="J375" s="2578"/>
      <c r="K375" s="2578"/>
      <c r="L375" s="2578"/>
      <c r="M375" s="2578"/>
      <c r="N375" s="2817"/>
      <c r="O375" s="509"/>
      <c r="P375" s="2541"/>
      <c r="Q375" s="19"/>
    </row>
    <row r="376" spans="1:22" s="19" customFormat="1" ht="11.25" customHeight="1">
      <c r="A376" s="3999"/>
      <c r="B376" s="4000"/>
      <c r="C376" s="4000"/>
      <c r="D376" s="4000"/>
      <c r="E376" s="4000"/>
      <c r="F376" s="4000"/>
      <c r="G376" s="4000"/>
      <c r="H376" s="4000"/>
      <c r="I376" s="4000"/>
      <c r="J376" s="4000"/>
      <c r="K376" s="4000"/>
      <c r="L376" s="4000"/>
      <c r="M376" s="4000"/>
      <c r="N376" s="4000"/>
      <c r="O376" s="4000"/>
      <c r="P376" s="4001"/>
      <c r="Q376" s="248"/>
    </row>
    <row r="377" spans="1:22" s="19" customFormat="1" ht="3" customHeight="1" thickBot="1">
      <c r="A377" s="43"/>
      <c r="B377" s="43"/>
      <c r="C377" s="2574"/>
      <c r="D377" s="2574"/>
      <c r="E377" s="2574"/>
      <c r="F377" s="2574"/>
      <c r="G377" s="2574"/>
      <c r="H377" s="2574"/>
      <c r="I377" s="2574"/>
      <c r="J377" s="2574"/>
      <c r="K377" s="2574"/>
      <c r="L377" s="2574"/>
      <c r="M377" s="2574"/>
      <c r="N377" s="2813"/>
      <c r="O377" s="31"/>
      <c r="P377" s="2541"/>
    </row>
    <row r="378" spans="1:22" s="19" customFormat="1" ht="13.5" customHeight="1" thickBot="1">
      <c r="A378" s="79" t="s">
        <v>1613</v>
      </c>
      <c r="B378" s="50" t="s">
        <v>2026</v>
      </c>
      <c r="D378" s="16"/>
      <c r="G378" s="27" t="s">
        <v>2985</v>
      </c>
      <c r="I378" s="1141" t="s">
        <v>2909</v>
      </c>
      <c r="J378" s="1140" t="e">
        <f>IF(OR($M$34="9% Credit Competitive Round only", $M$34="9% Credit &amp; HOME"),"9%",IF(OR($M$34="4% Credit/TE Bond", $M$34="4% Credit/TE Bond &amp; HOME", $M$34="4% Credit/TE Bond &amp; HOME NOFA", $M$34="4% Credit &amp; NHTF", $M$34="4% Credit &amp; NHTF &amp; HOME"),"4%",""))</f>
        <v>#REF!</v>
      </c>
      <c r="K378" s="1141" t="s">
        <v>829</v>
      </c>
      <c r="L378" s="1140" t="str">
        <f>M55</f>
        <v>&lt;&lt; Select Activity Type &gt;&gt;</v>
      </c>
      <c r="M378" s="2541">
        <v>2</v>
      </c>
      <c r="N378" s="28"/>
      <c r="O378" s="652">
        <f>MIN($M378,O382+O389)</f>
        <v>0</v>
      </c>
      <c r="P378" s="669">
        <f>MIN($M378,P382+P389)</f>
        <v>0</v>
      </c>
      <c r="Q378" s="53" t="s">
        <v>795</v>
      </c>
      <c r="R378" s="1500" t="str">
        <f>IF(AND(O378&gt;0,NOT($M$55="New Supply")), "Ineligible to score in this section, not New Supply!","")</f>
        <v/>
      </c>
    </row>
    <row r="379" spans="1:22" s="228" customFormat="1" ht="1.5" customHeight="1">
      <c r="B379" s="244"/>
      <c r="F379" s="241"/>
      <c r="G379" s="517"/>
      <c r="M379" s="2820"/>
      <c r="N379" s="2820"/>
      <c r="O379" s="2820"/>
      <c r="P379" s="2820"/>
      <c r="Q379" s="98"/>
    </row>
    <row r="380" spans="1:22" s="228" customFormat="1" ht="12.75" customHeight="1">
      <c r="A380" s="80"/>
      <c r="B380" s="516" t="s">
        <v>2027</v>
      </c>
      <c r="D380" s="3335" t="s">
        <v>2028</v>
      </c>
      <c r="E380" s="3336"/>
      <c r="F380" s="3336"/>
      <c r="G380" s="3336"/>
      <c r="H380" s="3336"/>
      <c r="I380" s="3337"/>
      <c r="J380" s="73" t="s">
        <v>2986</v>
      </c>
      <c r="L380" s="301" t="e">
        <f>#REF!</f>
        <v>#REF!</v>
      </c>
      <c r="M380" s="2820"/>
      <c r="N380" s="2820"/>
      <c r="O380" s="2820"/>
      <c r="P380" s="2820"/>
      <c r="Q380" s="98"/>
    </row>
    <row r="381" spans="1:22" s="228" customFormat="1" ht="1.5" customHeight="1">
      <c r="B381" s="244"/>
      <c r="M381" s="2820"/>
      <c r="N381" s="2820"/>
      <c r="O381" s="2820"/>
      <c r="P381" s="2820"/>
      <c r="Q381" s="98"/>
    </row>
    <row r="382" spans="1:22" s="228" customFormat="1" ht="12.75" customHeight="1">
      <c r="A382" s="708" t="s">
        <v>197</v>
      </c>
      <c r="B382" s="38" t="s">
        <v>2029</v>
      </c>
      <c r="C382" s="73"/>
      <c r="D382" s="73"/>
      <c r="E382" s="73"/>
      <c r="F382" s="73"/>
      <c r="G382" s="73"/>
      <c r="H382" s="73"/>
      <c r="I382" s="73"/>
      <c r="M382" s="1409">
        <v>2</v>
      </c>
      <c r="N382" s="84" t="s">
        <v>197</v>
      </c>
      <c r="O382" s="338"/>
      <c r="P382" s="785"/>
      <c r="Q382" s="608" t="str">
        <f>IF(OR($O382=$M382,$O382=0,$O382=""),"","*CHECK!*")</f>
        <v/>
      </c>
      <c r="R382" s="606" t="s">
        <v>2821</v>
      </c>
    </row>
    <row r="383" spans="1:22" s="228" customFormat="1" ht="12" customHeight="1">
      <c r="A383" s="227"/>
      <c r="B383" s="4134" t="s">
        <v>2987</v>
      </c>
      <c r="C383" s="4134"/>
      <c r="D383" s="4134"/>
      <c r="E383" s="4134"/>
      <c r="F383" s="4134"/>
      <c r="G383" s="4134"/>
      <c r="H383" s="4134"/>
      <c r="I383" s="4134"/>
      <c r="J383" s="4134"/>
      <c r="K383" s="4134"/>
      <c r="L383" s="4134"/>
      <c r="M383" s="4339" t="s">
        <v>2988</v>
      </c>
      <c r="N383" s="4339"/>
      <c r="Q383" s="98"/>
    </row>
    <row r="384" spans="1:22" s="228" customFormat="1" ht="12" customHeight="1">
      <c r="B384" s="4134"/>
      <c r="C384" s="4134"/>
      <c r="D384" s="4134"/>
      <c r="E384" s="4134"/>
      <c r="F384" s="4134"/>
      <c r="G384" s="4134"/>
      <c r="H384" s="4134"/>
      <c r="I384" s="4134"/>
      <c r="J384" s="4134"/>
      <c r="K384" s="4134"/>
      <c r="L384" s="4134"/>
      <c r="M384" s="4339"/>
      <c r="N384" s="4339"/>
      <c r="O384" s="4345" t="e">
        <f>#REF!</f>
        <v>#REF!</v>
      </c>
      <c r="P384" s="4346"/>
      <c r="Q384" s="98"/>
    </row>
    <row r="385" spans="1:19" s="228" customFormat="1" ht="12" customHeight="1">
      <c r="B385" s="4134"/>
      <c r="C385" s="4134"/>
      <c r="D385" s="4134"/>
      <c r="E385" s="4134"/>
      <c r="F385" s="4134"/>
      <c r="G385" s="4134"/>
      <c r="H385" s="4134"/>
      <c r="I385" s="4134"/>
      <c r="J385" s="4134"/>
      <c r="K385" s="4134"/>
      <c r="L385" s="4134"/>
      <c r="M385" s="150" t="s">
        <v>2989</v>
      </c>
      <c r="N385" s="2820"/>
      <c r="O385" s="4343" t="e">
        <f>#REF!</f>
        <v>#REF!</v>
      </c>
      <c r="P385" s="4344"/>
      <c r="Q385" s="98"/>
    </row>
    <row r="386" spans="1:19" s="228" customFormat="1" ht="12" customHeight="1">
      <c r="B386" s="4336"/>
      <c r="C386" s="4336"/>
      <c r="D386" s="4336"/>
      <c r="E386" s="4336"/>
      <c r="F386" s="4336"/>
      <c r="G386" s="4336"/>
      <c r="H386" s="4336"/>
      <c r="I386" s="4336"/>
      <c r="J386" s="4336"/>
      <c r="K386" s="4336"/>
      <c r="L386" s="4336"/>
      <c r="M386" s="873" t="s">
        <v>2990</v>
      </c>
      <c r="N386" s="2820"/>
      <c r="O386" s="4337" t="e">
        <f>IF(O385=0,0,O384/O385)</f>
        <v>#REF!</v>
      </c>
      <c r="P386" s="4338"/>
      <c r="Q386" s="98"/>
    </row>
    <row r="387" spans="1:19" s="19" customFormat="1" ht="105.75" customHeight="1">
      <c r="A387" s="302"/>
      <c r="B387" s="4128" t="s">
        <v>2030</v>
      </c>
      <c r="C387" s="4129"/>
      <c r="D387" s="4129"/>
      <c r="E387" s="4129"/>
      <c r="F387" s="4129"/>
      <c r="G387" s="4129"/>
      <c r="H387" s="4129"/>
      <c r="I387" s="4129"/>
      <c r="J387" s="4129"/>
      <c r="K387" s="4129"/>
      <c r="L387" s="4129"/>
      <c r="M387" s="4129"/>
      <c r="N387" s="4129"/>
      <c r="O387" s="4129"/>
      <c r="P387" s="4130"/>
      <c r="Q387" s="248" t="s">
        <v>2401</v>
      </c>
      <c r="R387" s="249"/>
      <c r="S387" s="249"/>
    </row>
    <row r="388" spans="1:19" s="228" customFormat="1" ht="1.5" customHeight="1">
      <c r="A388" s="336"/>
      <c r="B388" s="244"/>
      <c r="F388" s="241"/>
      <c r="G388" s="517"/>
      <c r="M388" s="2820"/>
      <c r="N388" s="2820"/>
      <c r="O388" s="2820"/>
      <c r="P388" s="2820"/>
      <c r="Q388" s="98"/>
    </row>
    <row r="389" spans="1:19" s="228" customFormat="1" ht="12" customHeight="1">
      <c r="A389" s="303" t="s">
        <v>2991</v>
      </c>
      <c r="B389" s="65" t="s">
        <v>2031</v>
      </c>
      <c r="C389" s="73"/>
      <c r="H389" s="73"/>
      <c r="M389" s="2820">
        <v>2</v>
      </c>
      <c r="N389" s="84" t="s">
        <v>209</v>
      </c>
      <c r="O389" s="338"/>
      <c r="P389" s="785"/>
      <c r="Q389" s="608" t="str">
        <f>IF(OR($O389=$M389,$O389=0,$O389=""),"","*CHECK!*")</f>
        <v/>
      </c>
      <c r="R389" s="606" t="s">
        <v>2821</v>
      </c>
    </row>
    <row r="390" spans="1:19" s="228" customFormat="1" ht="11.25" customHeight="1">
      <c r="A390" s="303"/>
      <c r="B390" s="73" t="s">
        <v>2992</v>
      </c>
      <c r="C390" s="73"/>
      <c r="D390" s="73"/>
      <c r="E390" s="73"/>
      <c r="F390" s="73"/>
      <c r="G390" s="73"/>
      <c r="H390" s="73"/>
      <c r="I390" s="73"/>
      <c r="J390" s="73"/>
      <c r="K390" s="73"/>
      <c r="L390" s="73"/>
      <c r="Q390" s="98"/>
    </row>
    <row r="391" spans="1:19" s="228" customFormat="1" ht="11.25" customHeight="1">
      <c r="A391" s="303"/>
      <c r="E391" s="1403"/>
      <c r="G391" s="910" t="s">
        <v>2993</v>
      </c>
      <c r="H391" s="1405" t="e">
        <f>#REF!</f>
        <v>#REF!</v>
      </c>
      <c r="I391" s="707" t="s">
        <v>2989</v>
      </c>
      <c r="J391" s="301" t="e">
        <f>#REF!</f>
        <v>#REF!</v>
      </c>
      <c r="K391" s="1407" t="s">
        <v>2990</v>
      </c>
      <c r="L391" s="1406" t="e">
        <f>IF(J391=0,0,H391/J391)</f>
        <v>#REF!</v>
      </c>
      <c r="N391" s="1404"/>
      <c r="Q391" s="98"/>
    </row>
    <row r="392" spans="1:19" s="19" customFormat="1" ht="11.25" customHeight="1" thickBot="1">
      <c r="A392" s="43"/>
      <c r="B392" s="699" t="s">
        <v>2833</v>
      </c>
      <c r="C392" s="43"/>
      <c r="D392" s="48"/>
      <c r="E392" s="48"/>
      <c r="F392" s="48"/>
      <c r="G392" s="48"/>
      <c r="H392" s="13"/>
      <c r="I392" s="13"/>
      <c r="J392" s="13"/>
      <c r="K392" s="13"/>
      <c r="M392" s="32"/>
      <c r="N392" s="58"/>
      <c r="O392" s="2"/>
      <c r="P392" s="2535"/>
    </row>
    <row r="393" spans="1:19" s="19" customFormat="1" ht="73.5" customHeight="1" thickTop="1" thickBot="1">
      <c r="A393" s="4291"/>
      <c r="B393" s="4292"/>
      <c r="C393" s="4292"/>
      <c r="D393" s="4292"/>
      <c r="E393" s="4292"/>
      <c r="F393" s="4292"/>
      <c r="G393" s="4292"/>
      <c r="H393" s="4292"/>
      <c r="I393" s="4292"/>
      <c r="J393" s="4292"/>
      <c r="K393" s="4292"/>
      <c r="L393" s="4292"/>
      <c r="M393" s="4292"/>
      <c r="N393" s="4292"/>
      <c r="O393" s="4292"/>
      <c r="P393" s="4293"/>
      <c r="Q393" s="249" t="s">
        <v>2401</v>
      </c>
      <c r="R393" s="249"/>
    </row>
    <row r="394" spans="1:19" s="19" customFormat="1" ht="10.5" customHeight="1" thickTop="1">
      <c r="B394" s="37" t="s">
        <v>1447</v>
      </c>
      <c r="C394" s="755"/>
      <c r="D394" s="37"/>
      <c r="E394" s="46"/>
      <c r="F394" s="2574"/>
      <c r="G394" s="2574"/>
      <c r="H394" s="2574"/>
      <c r="I394" s="2574"/>
      <c r="J394" s="2574"/>
      <c r="K394" s="2574"/>
      <c r="L394" s="2574"/>
      <c r="M394" s="2574"/>
      <c r="N394" s="2813"/>
      <c r="O394" s="31"/>
      <c r="P394" s="2541"/>
    </row>
    <row r="395" spans="1:19" s="19" customFormat="1" ht="22.15" customHeight="1">
      <c r="A395" s="3999"/>
      <c r="B395" s="4000"/>
      <c r="C395" s="4000"/>
      <c r="D395" s="4000"/>
      <c r="E395" s="4000"/>
      <c r="F395" s="4000"/>
      <c r="G395" s="4000"/>
      <c r="H395" s="4000"/>
      <c r="I395" s="4000"/>
      <c r="J395" s="4000"/>
      <c r="K395" s="4000"/>
      <c r="L395" s="4000"/>
      <c r="M395" s="4000"/>
      <c r="N395" s="4000"/>
      <c r="O395" s="4000"/>
      <c r="P395" s="4001"/>
      <c r="Q395" s="248"/>
    </row>
    <row r="396" spans="1:19" s="19" customFormat="1" ht="6" customHeight="1" thickBot="1">
      <c r="A396" s="43"/>
      <c r="B396" s="43"/>
      <c r="C396" s="2574"/>
      <c r="D396" s="2574"/>
      <c r="E396" s="2574"/>
      <c r="F396" s="2574"/>
      <c r="G396" s="2574"/>
      <c r="H396" s="2574"/>
      <c r="I396" s="2574"/>
      <c r="J396" s="2574"/>
      <c r="K396" s="2574"/>
      <c r="L396" s="2574"/>
      <c r="M396" s="2574"/>
      <c r="N396" s="2813"/>
      <c r="O396" s="31"/>
      <c r="P396" s="2541"/>
    </row>
    <row r="397" spans="1:19" s="42" customFormat="1" ht="14.25" customHeight="1" thickBot="1">
      <c r="A397" s="80" t="s">
        <v>1620</v>
      </c>
      <c r="B397" s="50" t="s">
        <v>1835</v>
      </c>
      <c r="D397" s="21"/>
      <c r="E397" s="21"/>
      <c r="F397" s="13"/>
      <c r="G397" s="13"/>
      <c r="I397" s="13"/>
      <c r="J397" s="13"/>
      <c r="K397" s="13"/>
      <c r="L397" s="209" t="str">
        <f>IF(OR($O397=$M397,$O397&lt;=0,$O397=""),"","* * Check Score! * *")</f>
        <v/>
      </c>
      <c r="M397" s="2541">
        <v>10</v>
      </c>
      <c r="N397" s="32"/>
      <c r="O397" s="652">
        <f>MIN($M$397,O399-O400+O401)</f>
        <v>10</v>
      </c>
      <c r="P397" s="652">
        <f>MIN($M$397,P399-P400+P401)</f>
        <v>10</v>
      </c>
      <c r="Q397" s="53" t="s">
        <v>795</v>
      </c>
    </row>
    <row r="398" spans="1:19" s="42" customFormat="1" ht="1.5" customHeight="1">
      <c r="A398" s="80"/>
      <c r="B398" s="50"/>
      <c r="D398" s="21"/>
      <c r="E398" s="21"/>
      <c r="F398" s="13"/>
      <c r="G398" s="13"/>
      <c r="I398" s="13"/>
      <c r="J398" s="13"/>
      <c r="K398" s="13"/>
      <c r="L398" s="209"/>
      <c r="M398" s="2541"/>
      <c r="N398" s="32"/>
      <c r="O398" s="32"/>
      <c r="P398" s="32"/>
      <c r="Q398" s="53"/>
    </row>
    <row r="399" spans="1:19" s="42" customFormat="1" ht="12.75" customHeight="1">
      <c r="A399" s="80"/>
      <c r="B399" s="38" t="s">
        <v>1836</v>
      </c>
      <c r="D399" s="21"/>
      <c r="E399" s="21"/>
      <c r="F399" s="13"/>
      <c r="G399" s="13"/>
      <c r="I399" s="13"/>
      <c r="J399" s="13"/>
      <c r="K399" s="13"/>
      <c r="L399" s="209"/>
      <c r="M399" s="2541"/>
      <c r="N399" s="32"/>
      <c r="O399" s="1432">
        <v>10</v>
      </c>
      <c r="P399" s="1432">
        <v>10</v>
      </c>
      <c r="Q399" s="53"/>
    </row>
    <row r="400" spans="1:19" s="42" customFormat="1" ht="12.75" customHeight="1">
      <c r="A400" s="80"/>
      <c r="B400" s="38" t="s">
        <v>1854</v>
      </c>
      <c r="D400" s="21"/>
      <c r="E400" s="21"/>
      <c r="F400" s="13"/>
      <c r="G400" s="13"/>
      <c r="I400" s="13"/>
      <c r="J400" s="13"/>
      <c r="K400" s="13"/>
      <c r="L400" s="209"/>
      <c r="M400" s="2541"/>
      <c r="N400" s="32"/>
      <c r="O400" s="672"/>
      <c r="P400" s="2606"/>
      <c r="Q400" s="53"/>
    </row>
    <row r="401" spans="1:21" s="42" customFormat="1" ht="12.75" customHeight="1">
      <c r="A401" s="80"/>
      <c r="B401" s="38" t="s">
        <v>2994</v>
      </c>
      <c r="D401" s="21"/>
      <c r="E401" s="21"/>
      <c r="F401" s="13"/>
      <c r="G401" s="13"/>
      <c r="I401" s="13"/>
      <c r="J401" s="13"/>
      <c r="K401" s="13"/>
      <c r="L401" s="209"/>
      <c r="M401" s="2541"/>
      <c r="N401" s="32"/>
      <c r="O401" s="522"/>
      <c r="P401" s="305"/>
      <c r="Q401" s="53"/>
    </row>
    <row r="402" spans="1:21" s="42" customFormat="1" ht="12.75" customHeight="1">
      <c r="A402" s="23"/>
      <c r="B402" s="23" t="s">
        <v>1447</v>
      </c>
      <c r="C402" s="43"/>
      <c r="D402" s="23"/>
      <c r="E402" s="2578"/>
      <c r="F402" s="2578"/>
      <c r="G402" s="2578"/>
      <c r="H402" s="2578"/>
      <c r="I402" s="2578"/>
      <c r="J402" s="2578"/>
      <c r="K402" s="2578"/>
      <c r="L402" s="2578"/>
      <c r="M402" s="2578"/>
      <c r="N402" s="2817"/>
      <c r="O402" s="509"/>
      <c r="P402" s="2541"/>
    </row>
    <row r="403" spans="1:21" s="19" customFormat="1" ht="12.75" customHeight="1">
      <c r="A403" s="3999"/>
      <c r="B403" s="4000"/>
      <c r="C403" s="4000"/>
      <c r="D403" s="4000"/>
      <c r="E403" s="4000"/>
      <c r="F403" s="4000"/>
      <c r="G403" s="4000"/>
      <c r="H403" s="4000"/>
      <c r="I403" s="4000"/>
      <c r="J403" s="4000"/>
      <c r="K403" s="4000"/>
      <c r="L403" s="4000"/>
      <c r="M403" s="4000"/>
      <c r="N403" s="4000"/>
      <c r="O403" s="4000"/>
      <c r="P403" s="4001"/>
      <c r="Q403" s="249" t="s">
        <v>2401</v>
      </c>
      <c r="R403" s="249"/>
    </row>
    <row r="404" spans="1:21" s="19" customFormat="1" ht="6" customHeight="1" thickBot="1">
      <c r="A404" s="80"/>
      <c r="B404" s="43"/>
      <c r="C404" s="2574"/>
      <c r="D404" s="2574"/>
      <c r="E404" s="2574"/>
      <c r="F404" s="2574"/>
      <c r="G404" s="2574"/>
      <c r="H404" s="2574"/>
      <c r="I404" s="2574"/>
      <c r="J404" s="2574"/>
      <c r="K404" s="2574"/>
      <c r="L404" s="2574"/>
      <c r="M404" s="2574"/>
      <c r="N404" s="2813"/>
      <c r="O404" s="31"/>
      <c r="P404" s="2541"/>
    </row>
    <row r="405" spans="1:21" s="19" customFormat="1" ht="13.5" customHeight="1" thickBot="1">
      <c r="A405" s="80" t="s">
        <v>1625</v>
      </c>
      <c r="B405" s="50" t="s">
        <v>1841</v>
      </c>
      <c r="C405" s="2574"/>
      <c r="D405" s="2574"/>
      <c r="E405" s="2574"/>
      <c r="F405" s="2574"/>
      <c r="G405" s="27"/>
      <c r="H405" s="2574"/>
      <c r="K405" s="2574"/>
      <c r="L405" s="2574"/>
      <c r="M405" s="2541">
        <v>3</v>
      </c>
      <c r="N405" s="2813"/>
      <c r="O405" s="652">
        <f>IF(OR((O407+O408+O409+O410)&gt;3,(O407+O408+O409)&gt;1,O410&gt;$M$410),"Check",IF((O407+O408+O409+O410)&lt;=$M$405,(O407+O408+O409+O410),""))</f>
        <v>2</v>
      </c>
      <c r="P405" s="652">
        <f>IF(OR((P407+P408+P409+P410)&gt;3,(P407+P408+P409)&gt;1,P410&gt;$M$410),"Check",IF((P407+P408+P409+P410)&lt;=$M$405,(P407+P408+P409+P410),""))</f>
        <v>2</v>
      </c>
      <c r="Q405" s="53" t="s">
        <v>795</v>
      </c>
      <c r="R405" s="606"/>
    </row>
    <row r="406" spans="1:21" s="19" customFormat="1" ht="9" customHeight="1">
      <c r="A406" s="80"/>
      <c r="B406" s="13" t="s">
        <v>2995</v>
      </c>
      <c r="C406" s="2574"/>
      <c r="D406" s="2574"/>
      <c r="E406" s="2574"/>
      <c r="F406" s="2574"/>
      <c r="G406" s="2574"/>
      <c r="H406" s="2574"/>
      <c r="I406" s="2574"/>
      <c r="J406" s="2574"/>
      <c r="K406" s="2574"/>
      <c r="L406" s="2574"/>
      <c r="M406" s="2574"/>
      <c r="N406" s="2813"/>
      <c r="O406" s="31"/>
      <c r="P406" s="2541"/>
    </row>
    <row r="407" spans="1:21" s="19" customFormat="1" ht="12" customHeight="1">
      <c r="A407" s="517" t="s">
        <v>197</v>
      </c>
      <c r="B407" s="92" t="s">
        <v>2996</v>
      </c>
      <c r="C407" s="11"/>
      <c r="D407" s="42"/>
      <c r="E407" s="38"/>
      <c r="F407" s="13"/>
      <c r="G407" s="13"/>
      <c r="H407" s="13"/>
      <c r="I407" s="42"/>
      <c r="J407" s="42"/>
      <c r="K407" s="2584"/>
      <c r="L407" s="1525"/>
      <c r="M407" s="2659">
        <v>1</v>
      </c>
      <c r="N407" s="1238" t="s">
        <v>197</v>
      </c>
      <c r="O407" s="967"/>
      <c r="P407" s="968"/>
      <c r="Q407" s="608" t="str">
        <f>IF(OR($O407=$M407,$O407=0,$O407=""),"","*CHECK!*")</f>
        <v/>
      </c>
      <c r="R407" s="606" t="s">
        <v>2889</v>
      </c>
    </row>
    <row r="408" spans="1:21" s="73" customFormat="1" ht="12" customHeight="1">
      <c r="A408" s="517" t="s">
        <v>209</v>
      </c>
      <c r="B408" s="92" t="s">
        <v>2997</v>
      </c>
      <c r="C408" s="68"/>
      <c r="D408" s="68"/>
      <c r="E408" s="68"/>
      <c r="F408" s="68"/>
      <c r="G408" s="13"/>
      <c r="H408" s="68"/>
      <c r="I408" s="68"/>
      <c r="J408" s="68"/>
      <c r="K408" s="68"/>
      <c r="L408" s="68"/>
      <c r="M408" s="2659">
        <v>1</v>
      </c>
      <c r="N408" s="1238" t="s">
        <v>209</v>
      </c>
      <c r="O408" s="2594"/>
      <c r="P408" s="2604"/>
      <c r="Q408" s="608" t="str">
        <f>IF(OR($O408=$M408,$O408=0,$O408=""),"","*CHECK!*")</f>
        <v/>
      </c>
      <c r="R408" s="606" t="s">
        <v>2889</v>
      </c>
    </row>
    <row r="409" spans="1:21" ht="12" customHeight="1">
      <c r="A409" s="517" t="s">
        <v>230</v>
      </c>
      <c r="B409" s="92" t="s">
        <v>1851</v>
      </c>
      <c r="C409" s="11"/>
      <c r="D409" s="11"/>
      <c r="E409" s="11"/>
      <c r="F409" s="11"/>
      <c r="G409" s="11"/>
      <c r="H409" s="11"/>
      <c r="I409" s="11"/>
      <c r="J409" s="11"/>
      <c r="K409" s="11"/>
      <c r="L409" s="11"/>
      <c r="M409" s="2659">
        <v>1</v>
      </c>
      <c r="N409" s="1238" t="s">
        <v>230</v>
      </c>
      <c r="O409" s="1434"/>
      <c r="P409" s="1435"/>
      <c r="Q409" s="608" t="str">
        <f>IF(OR($O409=$M409,$O409=0,$O409=""),"","*CHECK!*")</f>
        <v/>
      </c>
      <c r="R409" s="606" t="s">
        <v>2889</v>
      </c>
      <c r="S409" s="19"/>
      <c r="T409" s="19"/>
      <c r="U409" s="19"/>
    </row>
    <row r="410" spans="1:21" s="43" customFormat="1" ht="12" customHeight="1">
      <c r="A410" s="517" t="s">
        <v>232</v>
      </c>
      <c r="B410" s="92" t="s">
        <v>2998</v>
      </c>
      <c r="H410" s="13"/>
      <c r="M410" s="2659">
        <v>2</v>
      </c>
      <c r="N410" s="1238" t="s">
        <v>232</v>
      </c>
      <c r="O410" s="673">
        <f>O411-O412</f>
        <v>2</v>
      </c>
      <c r="P410" s="673">
        <f>P411-P412</f>
        <v>2</v>
      </c>
      <c r="Q410" s="608" t="str">
        <f>IF(OR($O410=$M410,$O410=0,$O410=""),"","*CHECK!*")</f>
        <v/>
      </c>
    </row>
    <row r="411" spans="1:21" s="42" customFormat="1" ht="12" customHeight="1">
      <c r="A411" s="80"/>
      <c r="C411" s="38" t="s">
        <v>1836</v>
      </c>
      <c r="D411" s="21"/>
      <c r="E411" s="21"/>
      <c r="I411" s="13"/>
      <c r="J411" s="13"/>
      <c r="K411" s="13"/>
      <c r="L411" s="209"/>
      <c r="M411" s="2541"/>
      <c r="N411" s="32"/>
      <c r="O411" s="1497">
        <v>2</v>
      </c>
      <c r="P411" s="1497">
        <v>2</v>
      </c>
      <c r="Q411" s="53"/>
    </row>
    <row r="412" spans="1:21" s="42" customFormat="1" ht="12" customHeight="1">
      <c r="A412" s="80"/>
      <c r="C412" s="38" t="s">
        <v>1854</v>
      </c>
      <c r="D412" s="21"/>
      <c r="E412" s="21"/>
      <c r="F412" s="13"/>
      <c r="G412" s="13"/>
      <c r="I412" s="13"/>
      <c r="J412" s="13"/>
      <c r="K412" s="13"/>
      <c r="L412" s="209"/>
      <c r="M412" s="2541"/>
      <c r="N412" s="32"/>
      <c r="O412" s="1433"/>
      <c r="P412" s="503"/>
      <c r="Q412" s="53"/>
      <c r="R412" s="606" t="s">
        <v>2889</v>
      </c>
    </row>
    <row r="413" spans="1:21" s="19" customFormat="1" ht="10.5" customHeight="1" thickBot="1">
      <c r="A413" s="43"/>
      <c r="B413" s="699" t="s">
        <v>2833</v>
      </c>
      <c r="C413" s="43"/>
      <c r="D413" s="48"/>
      <c r="E413" s="48"/>
      <c r="F413" s="48"/>
      <c r="G413" s="48"/>
      <c r="H413" s="13"/>
      <c r="I413" s="13"/>
      <c r="J413" s="13"/>
      <c r="K413" s="13"/>
      <c r="M413" s="32"/>
      <c r="N413" s="58"/>
      <c r="O413" s="2"/>
      <c r="P413" s="2535"/>
    </row>
    <row r="414" spans="1:21" s="19" customFormat="1" ht="45.75" customHeight="1" thickTop="1" thickBot="1">
      <c r="A414" s="4291"/>
      <c r="B414" s="4292"/>
      <c r="C414" s="4292"/>
      <c r="D414" s="4292"/>
      <c r="E414" s="4292"/>
      <c r="F414" s="4292"/>
      <c r="G414" s="4292"/>
      <c r="H414" s="4292"/>
      <c r="I414" s="4292"/>
      <c r="J414" s="4292"/>
      <c r="K414" s="4292"/>
      <c r="L414" s="4292"/>
      <c r="M414" s="4292"/>
      <c r="N414" s="4292"/>
      <c r="O414" s="4292"/>
      <c r="P414" s="4293"/>
      <c r="Q414" s="249" t="s">
        <v>2401</v>
      </c>
      <c r="R414" s="249"/>
    </row>
    <row r="415" spans="1:21" s="19" customFormat="1" ht="10.5" customHeight="1" thickTop="1">
      <c r="B415" s="37" t="s">
        <v>1447</v>
      </c>
      <c r="C415" s="755"/>
      <c r="D415" s="37"/>
      <c r="E415" s="46"/>
      <c r="F415" s="2574"/>
      <c r="G415" s="2574"/>
      <c r="H415" s="2574"/>
      <c r="I415" s="2574"/>
      <c r="J415" s="2574"/>
      <c r="K415" s="2574"/>
      <c r="L415" s="2574"/>
      <c r="M415" s="2574"/>
      <c r="N415" s="2813"/>
      <c r="O415" s="31"/>
      <c r="P415" s="2541"/>
    </row>
    <row r="416" spans="1:21" s="19" customFormat="1" ht="9.75" customHeight="1">
      <c r="A416" s="3999"/>
      <c r="B416" s="4000"/>
      <c r="C416" s="4000"/>
      <c r="D416" s="4000"/>
      <c r="E416" s="4000"/>
      <c r="F416" s="4000"/>
      <c r="G416" s="4000"/>
      <c r="H416" s="4000"/>
      <c r="I416" s="4000"/>
      <c r="J416" s="4000"/>
      <c r="K416" s="4000"/>
      <c r="L416" s="4000"/>
      <c r="M416" s="4000"/>
      <c r="N416" s="4000"/>
      <c r="O416" s="4000"/>
      <c r="P416" s="4001"/>
      <c r="Q416" s="248"/>
    </row>
    <row r="417" spans="1:18" s="19" customFormat="1" ht="2.25" customHeight="1" thickBot="1">
      <c r="A417" s="80"/>
      <c r="B417" s="43"/>
      <c r="C417" s="2574"/>
      <c r="D417" s="2574"/>
      <c r="E417" s="2574"/>
      <c r="F417" s="2574"/>
      <c r="G417" s="2574"/>
      <c r="H417" s="2574"/>
      <c r="I417" s="2574"/>
      <c r="J417" s="2574"/>
      <c r="K417" s="2574"/>
      <c r="L417" s="2574"/>
      <c r="M417" s="2574"/>
      <c r="N417" s="2813"/>
      <c r="O417" s="31"/>
      <c r="P417" s="2541"/>
    </row>
    <row r="418" spans="1:18" s="42" customFormat="1" ht="11.25" customHeight="1" thickBot="1">
      <c r="A418" s="80" t="s">
        <v>1632</v>
      </c>
      <c r="B418" s="50" t="s">
        <v>2999</v>
      </c>
      <c r="D418" s="21"/>
      <c r="E418" s="21"/>
      <c r="F418" s="13"/>
      <c r="L418" s="608"/>
      <c r="M418" s="2541">
        <v>6</v>
      </c>
      <c r="N418" s="32"/>
      <c r="O418" s="670"/>
      <c r="P418" s="664"/>
      <c r="Q418" s="53" t="s">
        <v>795</v>
      </c>
      <c r="R418" s="606" t="s">
        <v>2889</v>
      </c>
    </row>
    <row r="419" spans="1:18" s="19" customFormat="1" ht="10.5" customHeight="1" thickBot="1">
      <c r="A419" s="43"/>
      <c r="B419" s="699" t="s">
        <v>2833</v>
      </c>
      <c r="C419" s="43"/>
      <c r="D419" s="48"/>
      <c r="E419" s="48"/>
      <c r="F419" s="48"/>
      <c r="G419" s="48"/>
      <c r="H419" s="13"/>
      <c r="I419" s="13"/>
      <c r="J419" s="13"/>
      <c r="K419" s="13"/>
      <c r="M419" s="32"/>
      <c r="N419" s="58"/>
      <c r="O419" s="2"/>
      <c r="P419" s="2535"/>
    </row>
    <row r="420" spans="1:18" s="19" customFormat="1" ht="45.75" customHeight="1" thickTop="1" thickBot="1">
      <c r="A420" s="4291"/>
      <c r="B420" s="4292"/>
      <c r="C420" s="4292"/>
      <c r="D420" s="4292"/>
      <c r="E420" s="4292"/>
      <c r="F420" s="4292"/>
      <c r="G420" s="4292"/>
      <c r="H420" s="4292"/>
      <c r="I420" s="4292"/>
      <c r="J420" s="4292"/>
      <c r="K420" s="4292"/>
      <c r="L420" s="4292"/>
      <c r="M420" s="4292"/>
      <c r="N420" s="4292"/>
      <c r="O420" s="4292"/>
      <c r="P420" s="4293"/>
      <c r="Q420" s="249" t="s">
        <v>2401</v>
      </c>
      <c r="R420" s="249"/>
    </row>
    <row r="421" spans="1:18" s="42" customFormat="1" ht="10.5" customHeight="1" thickTop="1">
      <c r="A421" s="23"/>
      <c r="B421" s="23" t="s">
        <v>1447</v>
      </c>
      <c r="C421" s="43"/>
      <c r="D421" s="23"/>
      <c r="E421" s="2578"/>
      <c r="F421" s="2578"/>
      <c r="G421" s="2578"/>
      <c r="H421" s="2578"/>
      <c r="I421" s="2578"/>
      <c r="J421" s="2578"/>
      <c r="K421" s="2578"/>
      <c r="L421" s="2578"/>
      <c r="M421" s="2578"/>
      <c r="N421" s="2817"/>
      <c r="O421" s="509"/>
      <c r="P421" s="2541"/>
    </row>
    <row r="422" spans="1:18" s="19" customFormat="1" ht="10.9" customHeight="1">
      <c r="A422" s="3999"/>
      <c r="B422" s="4000"/>
      <c r="C422" s="4000"/>
      <c r="D422" s="4000"/>
      <c r="E422" s="4000"/>
      <c r="F422" s="4000"/>
      <c r="G422" s="4000"/>
      <c r="H422" s="4000"/>
      <c r="I422" s="4000"/>
      <c r="J422" s="4000"/>
      <c r="K422" s="4000"/>
      <c r="L422" s="4000"/>
      <c r="M422" s="4000"/>
      <c r="N422" s="4000"/>
      <c r="O422" s="4000"/>
      <c r="P422" s="4001"/>
      <c r="Q422" s="249"/>
      <c r="R422" s="249"/>
    </row>
    <row r="423" spans="1:18" s="19" customFormat="1" ht="2.25" customHeight="1" thickBot="1">
      <c r="A423" s="80"/>
      <c r="B423" s="43"/>
      <c r="C423" s="2574"/>
      <c r="D423" s="2574"/>
      <c r="E423" s="2574"/>
      <c r="F423" s="2574"/>
      <c r="G423" s="2574"/>
      <c r="H423" s="2574"/>
      <c r="I423" s="2574"/>
      <c r="J423" s="2574"/>
      <c r="K423" s="2574"/>
      <c r="L423" s="2574"/>
      <c r="M423" s="2574"/>
      <c r="N423" s="2813"/>
      <c r="O423" s="31"/>
      <c r="P423" s="2541"/>
    </row>
    <row r="424" spans="1:18" s="42" customFormat="1" ht="11.25" customHeight="1" thickBot="1">
      <c r="A424" s="80" t="s">
        <v>1636</v>
      </c>
      <c r="B424" s="50" t="s">
        <v>3000</v>
      </c>
      <c r="D424" s="21"/>
      <c r="E424" s="21"/>
      <c r="F424" s="355"/>
      <c r="G424" s="13"/>
      <c r="L424" s="608" t="str">
        <f>IF(OR($O424=$M424,$O424=0,$O424=""),"","*CHECK!*")</f>
        <v/>
      </c>
      <c r="M424" s="2541">
        <v>6</v>
      </c>
      <c r="N424" s="32"/>
      <c r="O424" s="32"/>
      <c r="P424" s="664"/>
      <c r="Q424" s="53" t="s">
        <v>795</v>
      </c>
      <c r="R424" s="606" t="s">
        <v>2889</v>
      </c>
    </row>
    <row r="425" spans="1:18" s="42" customFormat="1" ht="10.5" customHeight="1">
      <c r="A425" s="23"/>
      <c r="B425" s="23" t="s">
        <v>1447</v>
      </c>
      <c r="C425" s="43"/>
      <c r="D425" s="23"/>
      <c r="E425" s="2578"/>
      <c r="F425" s="2578"/>
      <c r="G425" s="2578"/>
      <c r="H425" s="2578"/>
      <c r="I425" s="2578"/>
      <c r="J425" s="2578"/>
      <c r="K425" s="2578"/>
      <c r="L425" s="2578"/>
      <c r="M425" s="2578"/>
      <c r="N425" s="2817"/>
      <c r="O425" s="509"/>
      <c r="P425" s="2541"/>
    </row>
    <row r="426" spans="1:18" s="19" customFormat="1" ht="10.9" customHeight="1">
      <c r="A426" s="3999"/>
      <c r="B426" s="4000"/>
      <c r="C426" s="4000"/>
      <c r="D426" s="4000"/>
      <c r="E426" s="4000"/>
      <c r="F426" s="4000"/>
      <c r="G426" s="4000"/>
      <c r="H426" s="4000"/>
      <c r="I426" s="4000"/>
      <c r="J426" s="4000"/>
      <c r="K426" s="4000"/>
      <c r="L426" s="4000"/>
      <c r="M426" s="4000"/>
      <c r="N426" s="4000"/>
      <c r="O426" s="4000"/>
      <c r="P426" s="4001"/>
      <c r="Q426" s="249"/>
      <c r="R426" s="249"/>
    </row>
    <row r="427" spans="1:18" s="19" customFormat="1" ht="2.25" customHeight="1" thickBot="1">
      <c r="A427" s="80"/>
      <c r="B427" s="43"/>
      <c r="C427" s="2574"/>
      <c r="D427" s="2574"/>
      <c r="E427" s="2574"/>
      <c r="F427" s="2574"/>
      <c r="G427" s="2574"/>
      <c r="H427" s="2574"/>
      <c r="I427" s="2574"/>
      <c r="J427" s="2574"/>
      <c r="K427" s="2574"/>
      <c r="L427" s="2574"/>
      <c r="M427" s="2574"/>
      <c r="N427" s="2813"/>
      <c r="O427" s="31"/>
      <c r="P427" s="2541"/>
    </row>
    <row r="428" spans="1:18" s="42" customFormat="1" ht="11.25" customHeight="1" thickBot="1">
      <c r="A428" s="80" t="s">
        <v>1641</v>
      </c>
      <c r="B428" s="50" t="s">
        <v>3001</v>
      </c>
      <c r="D428" s="21"/>
      <c r="L428" s="608"/>
      <c r="M428" s="2541">
        <v>4</v>
      </c>
      <c r="N428" s="32"/>
      <c r="O428" s="670"/>
      <c r="P428" s="664"/>
      <c r="Q428" s="53" t="s">
        <v>795</v>
      </c>
      <c r="R428" s="606" t="s">
        <v>2889</v>
      </c>
    </row>
    <row r="429" spans="1:18" s="19" customFormat="1" ht="10.5" customHeight="1" thickBot="1">
      <c r="A429" s="43"/>
      <c r="B429" s="699" t="s">
        <v>2833</v>
      </c>
      <c r="C429" s="43"/>
      <c r="D429" s="48"/>
      <c r="E429" s="48"/>
      <c r="F429" s="48"/>
      <c r="G429" s="48"/>
      <c r="H429" s="13"/>
      <c r="I429" s="13"/>
      <c r="J429" s="13"/>
      <c r="K429" s="13"/>
      <c r="M429" s="32"/>
      <c r="N429" s="58"/>
      <c r="O429" s="2"/>
      <c r="P429" s="2535"/>
    </row>
    <row r="430" spans="1:18" s="19" customFormat="1" ht="45.75" customHeight="1" thickTop="1" thickBot="1">
      <c r="A430" s="4291"/>
      <c r="B430" s="4292"/>
      <c r="C430" s="4292"/>
      <c r="D430" s="4292"/>
      <c r="E430" s="4292"/>
      <c r="F430" s="4292"/>
      <c r="G430" s="4292"/>
      <c r="H430" s="4292"/>
      <c r="I430" s="4292"/>
      <c r="J430" s="4292"/>
      <c r="K430" s="4292"/>
      <c r="L430" s="4292"/>
      <c r="M430" s="4292"/>
      <c r="N430" s="4292"/>
      <c r="O430" s="4292"/>
      <c r="P430" s="4293"/>
      <c r="Q430" s="249" t="s">
        <v>2401</v>
      </c>
      <c r="R430" s="249"/>
    </row>
    <row r="431" spans="1:18" s="42" customFormat="1" ht="10.5" customHeight="1" thickTop="1">
      <c r="A431" s="23"/>
      <c r="B431" s="23" t="s">
        <v>1447</v>
      </c>
      <c r="C431" s="43"/>
      <c r="D431" s="23"/>
      <c r="E431" s="2578"/>
      <c r="F431" s="2578"/>
      <c r="G431" s="2578"/>
      <c r="H431" s="2578"/>
      <c r="I431" s="2578"/>
      <c r="J431" s="2578"/>
      <c r="K431" s="2578"/>
      <c r="L431" s="2578"/>
      <c r="M431" s="2578"/>
      <c r="N431" s="2817"/>
      <c r="O431" s="509"/>
      <c r="P431" s="2541"/>
    </row>
    <row r="432" spans="1:18" s="19" customFormat="1" ht="10.9" customHeight="1">
      <c r="A432" s="3999"/>
      <c r="B432" s="4000"/>
      <c r="C432" s="4000"/>
      <c r="D432" s="4000"/>
      <c r="E432" s="4000"/>
      <c r="F432" s="4000"/>
      <c r="G432" s="4000"/>
      <c r="H432" s="4000"/>
      <c r="I432" s="4000"/>
      <c r="J432" s="4000"/>
      <c r="K432" s="4000"/>
      <c r="L432" s="4000"/>
      <c r="M432" s="4000"/>
      <c r="N432" s="4000"/>
      <c r="O432" s="4000"/>
      <c r="P432" s="4001"/>
      <c r="Q432" s="249"/>
      <c r="R432" s="249"/>
    </row>
    <row r="433" spans="1:27" s="19" customFormat="1" ht="2.25" customHeight="1" thickBot="1">
      <c r="A433" s="80"/>
      <c r="B433" s="43"/>
      <c r="C433" s="2574"/>
      <c r="D433" s="2574"/>
      <c r="E433" s="2574"/>
      <c r="F433" s="2574"/>
      <c r="G433" s="2574"/>
      <c r="H433" s="2574"/>
      <c r="I433" s="2574"/>
      <c r="J433" s="2574"/>
      <c r="K433" s="2574"/>
      <c r="L433" s="2574"/>
      <c r="M433" s="2574"/>
      <c r="N433" s="2813"/>
      <c r="O433" s="31"/>
      <c r="P433" s="2541"/>
    </row>
    <row r="434" spans="1:27" s="42" customFormat="1" ht="11.25" customHeight="1" thickBot="1">
      <c r="A434" s="80" t="s">
        <v>2783</v>
      </c>
      <c r="B434" s="50" t="s">
        <v>3002</v>
      </c>
      <c r="D434" s="21"/>
      <c r="G434" s="27" t="s">
        <v>2985</v>
      </c>
      <c r="L434" s="608" t="str">
        <f>IF(OR($O434&lt;=$M434,$O434=0,$O434=""),"","*CHECK!*")</f>
        <v/>
      </c>
      <c r="M434" s="2541">
        <v>6</v>
      </c>
      <c r="N434" s="32"/>
      <c r="O434" s="652">
        <f>IF(SUM(O435:O436)&gt;$M$434,"Check",SUM(O435:O436))</f>
        <v>0</v>
      </c>
      <c r="P434" s="652">
        <f>IF(SUM(P435:P436)&gt;$M$434,"Check",SUM(P435:P436))</f>
        <v>0</v>
      </c>
      <c r="Q434" s="53" t="s">
        <v>795</v>
      </c>
      <c r="R434" s="606" t="s">
        <v>2889</v>
      </c>
    </row>
    <row r="435" spans="1:27" s="19" customFormat="1" ht="12" customHeight="1">
      <c r="A435" s="517" t="s">
        <v>197</v>
      </c>
      <c r="B435" s="92" t="s">
        <v>2048</v>
      </c>
      <c r="C435"/>
      <c r="E435" s="39"/>
      <c r="F435" s="13"/>
      <c r="G435" s="13"/>
      <c r="H435" s="13"/>
      <c r="K435" s="2584"/>
      <c r="L435" s="26"/>
      <c r="M435" s="2659">
        <v>6</v>
      </c>
      <c r="N435" s="1238" t="s">
        <v>197</v>
      </c>
      <c r="O435" s="1410"/>
      <c r="P435" s="1411"/>
      <c r="Q435" s="608" t="str">
        <f>IF(OR($O435&lt;=$M435,$O435=0,$O435=""),"","*CHECK!*")</f>
        <v/>
      </c>
      <c r="R435" s="606" t="s">
        <v>2889</v>
      </c>
    </row>
    <row r="436" spans="1:27" s="73" customFormat="1" ht="12" customHeight="1">
      <c r="A436" s="1408" t="s">
        <v>209</v>
      </c>
      <c r="B436" s="668" t="s">
        <v>2047</v>
      </c>
      <c r="C436" s="337"/>
      <c r="D436" s="337"/>
      <c r="E436" s="337"/>
      <c r="F436" s="337"/>
      <c r="H436" s="337"/>
      <c r="I436" s="337"/>
      <c r="J436" s="68"/>
      <c r="K436" s="68"/>
      <c r="L436" s="68"/>
      <c r="M436" s="2659">
        <v>4</v>
      </c>
      <c r="N436" s="1238" t="s">
        <v>209</v>
      </c>
      <c r="O436" s="298"/>
      <c r="P436" s="305"/>
      <c r="Q436" s="608" t="str">
        <f>IF(OR($O436&lt;=$M436,$O436=0,$O436=""),"","*CHECK!*")</f>
        <v/>
      </c>
      <c r="R436" s="606" t="s">
        <v>2889</v>
      </c>
    </row>
    <row r="437" spans="1:27" s="19" customFormat="1" ht="10.5" customHeight="1" thickBot="1">
      <c r="A437" s="43"/>
      <c r="B437" s="699" t="s">
        <v>2833</v>
      </c>
      <c r="C437" s="43"/>
      <c r="D437" s="48"/>
      <c r="E437" s="48"/>
      <c r="F437" s="48"/>
      <c r="G437" s="48"/>
      <c r="H437" s="13"/>
      <c r="I437" s="13"/>
      <c r="J437" s="13"/>
      <c r="K437" s="13"/>
      <c r="M437" s="32"/>
      <c r="N437" s="58"/>
      <c r="O437" s="2"/>
      <c r="P437" s="2535"/>
    </row>
    <row r="438" spans="1:27" s="19" customFormat="1" ht="45.75" customHeight="1" thickTop="1" thickBot="1">
      <c r="A438" s="4291"/>
      <c r="B438" s="4292"/>
      <c r="C438" s="4292"/>
      <c r="D438" s="4292"/>
      <c r="E438" s="4292"/>
      <c r="F438" s="4292"/>
      <c r="G438" s="4292"/>
      <c r="H438" s="4292"/>
      <c r="I438" s="4292"/>
      <c r="J438" s="4292"/>
      <c r="K438" s="4292"/>
      <c r="L438" s="4292"/>
      <c r="M438" s="4292"/>
      <c r="N438" s="4292"/>
      <c r="O438" s="4292"/>
      <c r="P438" s="4293"/>
      <c r="Q438" s="249" t="s">
        <v>2401</v>
      </c>
      <c r="R438" s="249"/>
    </row>
    <row r="439" spans="1:27" s="42" customFormat="1" ht="10.5" customHeight="1" thickTop="1">
      <c r="A439" s="23"/>
      <c r="B439" s="23" t="s">
        <v>1447</v>
      </c>
      <c r="C439" s="43"/>
      <c r="D439" s="23"/>
      <c r="E439" s="2578"/>
      <c r="F439" s="2578"/>
      <c r="G439" s="2578"/>
      <c r="H439" s="2578"/>
      <c r="I439" s="2578"/>
      <c r="J439" s="2578"/>
      <c r="K439" s="2578"/>
      <c r="L439" s="2578"/>
      <c r="M439" s="2578"/>
      <c r="N439" s="2817"/>
      <c r="O439" s="509"/>
      <c r="P439" s="2541"/>
    </row>
    <row r="440" spans="1:27" s="19" customFormat="1" ht="10.5" customHeight="1">
      <c r="A440" s="3999"/>
      <c r="B440" s="4000"/>
      <c r="C440" s="4000"/>
      <c r="D440" s="4000"/>
      <c r="E440" s="4000"/>
      <c r="F440" s="4000"/>
      <c r="G440" s="4000"/>
      <c r="H440" s="4000"/>
      <c r="I440" s="4000"/>
      <c r="J440" s="4000"/>
      <c r="K440" s="4000"/>
      <c r="L440" s="4000"/>
      <c r="M440" s="4000"/>
      <c r="N440" s="4000"/>
      <c r="O440" s="4000"/>
      <c r="P440" s="4001"/>
      <c r="Q440" s="249"/>
      <c r="R440" s="249"/>
    </row>
    <row r="441" spans="1:27" ht="13.5" customHeight="1" thickBot="1">
      <c r="N441" s="58"/>
      <c r="O441" s="2535"/>
      <c r="P441" s="2535"/>
      <c r="Q441" s="4218" t="s">
        <v>3003</v>
      </c>
      <c r="R441" s="4218"/>
      <c r="S441" s="4218"/>
      <c r="T441" s="4218"/>
      <c r="U441" s="4218"/>
      <c r="V441" s="4218"/>
      <c r="W441" s="4218"/>
      <c r="X441" s="4218"/>
      <c r="Y441" s="4218"/>
      <c r="Z441" s="4218"/>
      <c r="AA441" s="4218"/>
    </row>
    <row r="442" spans="1:27" s="18" customFormat="1" ht="12.75" customHeight="1" thickTop="1" thickBot="1">
      <c r="A442" s="81" t="s">
        <v>2079</v>
      </c>
      <c r="B442" s="29"/>
      <c r="C442" s="43"/>
      <c r="D442" s="77"/>
      <c r="E442" s="77"/>
      <c r="F442" s="19"/>
      <c r="G442" s="43"/>
      <c r="H442" s="43"/>
      <c r="I442" s="20"/>
      <c r="J442" s="20"/>
      <c r="K442" s="20"/>
      <c r="L442" s="42"/>
      <c r="M442" s="1214" t="e">
        <f>IF(AND(P37="9%",M55="New Supply"),G63,IF(AND(P37="4%",M55="New Supply"),H63,IF(AND(P37="9%",M55="Rehabilitation"),J63,IF(AND(P37="4%",M55="Rehabilitation"),I63,K63))))</f>
        <v>#REF!</v>
      </c>
      <c r="N442" s="2821"/>
      <c r="O442" s="1198" t="e">
        <f>O64+O89+O103+O113+O152+O169+O205+O225+O233+O242+O252+O261+O274+O285+O310+O334+O342+O378+O397+O405+O418+O428+O434</f>
        <v>#REF!</v>
      </c>
      <c r="P442" s="1198" t="e">
        <f>-P10+P64+P89+P103+P113+P152+P169+P190+P205+P225+P233+P242+P252+P261+P274+P285+P310+P318+P334+P342+P378+P397+P405+P418+P424+P428+P434</f>
        <v>#REF!</v>
      </c>
      <c r="Q442" s="4218"/>
      <c r="R442" s="4218"/>
      <c r="S442" s="4218"/>
      <c r="T442" s="4218"/>
      <c r="U442" s="4218"/>
      <c r="V442" s="4218"/>
      <c r="W442" s="4218"/>
      <c r="X442" s="4218"/>
      <c r="Y442" s="4218"/>
      <c r="Z442" s="4218"/>
      <c r="AA442" s="4218"/>
    </row>
    <row r="443" spans="1:27" s="19" customFormat="1" ht="15.75" thickTop="1">
      <c r="A443" s="43"/>
      <c r="C443" s="2574"/>
      <c r="D443" s="2574"/>
      <c r="E443" s="2574"/>
      <c r="F443" s="2574"/>
      <c r="G443" s="2574"/>
      <c r="H443" s="2574"/>
      <c r="I443" s="2574"/>
      <c r="J443" s="2574"/>
      <c r="K443" s="2574"/>
      <c r="L443" s="2574"/>
      <c r="M443" s="2574"/>
      <c r="N443" s="2574"/>
      <c r="O443" s="2574"/>
      <c r="P443" s="2574"/>
      <c r="Q443" s="4218"/>
      <c r="R443" s="4218"/>
      <c r="S443" s="4218"/>
      <c r="T443" s="4218"/>
      <c r="U443" s="4218"/>
      <c r="V443" s="4218"/>
      <c r="W443" s="4218"/>
      <c r="X443" s="4218"/>
      <c r="Y443" s="4218"/>
      <c r="Z443" s="4218"/>
      <c r="AA443" s="4218"/>
    </row>
    <row r="444" spans="1:27" s="77" customFormat="1" ht="6.75" customHeight="1">
      <c r="A444" s="19"/>
      <c r="B444" s="29"/>
      <c r="C444" s="19"/>
      <c r="F444" s="16"/>
      <c r="G444" s="16"/>
      <c r="H444" s="30"/>
      <c r="I444" s="30"/>
      <c r="L444" s="19"/>
      <c r="N444" s="2541"/>
      <c r="O444" s="2541"/>
      <c r="P444" s="2"/>
      <c r="Q444" s="4218"/>
      <c r="R444" s="4218"/>
      <c r="S444" s="4218"/>
      <c r="T444" s="4218"/>
      <c r="U444" s="4218"/>
      <c r="V444" s="4218"/>
      <c r="W444" s="4218"/>
      <c r="X444" s="4218"/>
      <c r="Y444" s="4218"/>
      <c r="Z444" s="4218"/>
      <c r="AA444" s="4218"/>
    </row>
    <row r="445" spans="1:27" s="19" customFormat="1" ht="22.5" customHeight="1">
      <c r="A445" s="4433" t="s">
        <v>3004</v>
      </c>
      <c r="B445" s="4433"/>
      <c r="C445" s="4433"/>
      <c r="D445" s="4433"/>
      <c r="E445" s="4433"/>
      <c r="F445" s="4433"/>
      <c r="G445" s="4433"/>
      <c r="H445" s="4433"/>
      <c r="I445" s="4433"/>
      <c r="J445" s="4433"/>
      <c r="K445" s="4433"/>
      <c r="L445" s="4433"/>
      <c r="M445" s="4433"/>
      <c r="N445" s="4433"/>
      <c r="O445" s="4433"/>
      <c r="P445" s="4433"/>
      <c r="Q445" s="4218"/>
      <c r="R445" s="4218"/>
      <c r="S445" s="4218"/>
      <c r="T445" s="4218"/>
      <c r="U445" s="4218"/>
      <c r="V445" s="4218"/>
      <c r="W445" s="4218"/>
      <c r="X445" s="4218"/>
      <c r="Y445" s="4218"/>
      <c r="Z445" s="4218"/>
      <c r="AA445" s="4218"/>
    </row>
    <row r="446" spans="1:27" s="19" customFormat="1" ht="409.15" customHeight="1">
      <c r="A446" s="3995"/>
      <c r="B446" s="3996"/>
      <c r="C446" s="3996"/>
      <c r="D446" s="3996"/>
      <c r="E446" s="3996"/>
      <c r="F446" s="3996"/>
      <c r="G446" s="3996"/>
      <c r="H446" s="3996"/>
      <c r="I446" s="3996"/>
      <c r="J446" s="3996"/>
      <c r="K446" s="3996"/>
      <c r="L446" s="3996"/>
      <c r="M446" s="3996"/>
      <c r="N446" s="3996"/>
      <c r="O446" s="3996"/>
      <c r="P446" s="3997"/>
      <c r="Q446" s="1520"/>
      <c r="R446" s="1520"/>
      <c r="S446" s="1520"/>
      <c r="T446" s="1520"/>
      <c r="U446" s="1520"/>
      <c r="V446" s="1520"/>
      <c r="W446" s="1520"/>
      <c r="X446" s="1520"/>
      <c r="Y446" s="1520"/>
    </row>
    <row r="447" spans="1:27" s="77" customFormat="1">
      <c r="C447" s="40" t="s">
        <v>1726</v>
      </c>
      <c r="D447" s="40"/>
      <c r="E447" s="40"/>
      <c r="F447" s="40"/>
      <c r="G447" s="40"/>
      <c r="H447" s="40"/>
      <c r="I447" s="40"/>
      <c r="J447" s="274" t="s">
        <v>1650</v>
      </c>
      <c r="K447" s="40"/>
      <c r="L447" s="40"/>
      <c r="M447" s="40"/>
      <c r="N447" s="2595"/>
      <c r="O447" s="1667"/>
      <c r="P447" s="1667"/>
      <c r="Q447" s="142"/>
      <c r="R447" s="142"/>
      <c r="S447" s="142"/>
      <c r="T447" s="1520"/>
      <c r="U447" s="1520"/>
      <c r="V447" s="1520"/>
      <c r="W447" s="1520"/>
      <c r="X447" s="1520"/>
      <c r="Y447" s="1520"/>
    </row>
    <row r="448" spans="1:27" s="77" customFormat="1">
      <c r="C448" s="40" t="s">
        <v>2082</v>
      </c>
      <c r="D448" s="40"/>
      <c r="E448" s="40"/>
      <c r="F448" s="40"/>
      <c r="G448" s="40"/>
      <c r="H448" s="40"/>
      <c r="I448" s="40"/>
      <c r="J448" s="274" t="s">
        <v>1673</v>
      </c>
      <c r="K448" s="40"/>
      <c r="L448" s="40"/>
      <c r="M448" s="40"/>
      <c r="N448" s="2595"/>
      <c r="O448" s="1667"/>
      <c r="P448" s="1667"/>
      <c r="Q448" s="40"/>
    </row>
    <row r="449" spans="3:17" s="77" customFormat="1">
      <c r="C449" s="40" t="s">
        <v>2083</v>
      </c>
      <c r="D449" s="40"/>
      <c r="E449" s="40"/>
      <c r="F449" s="40"/>
      <c r="G449" s="40"/>
      <c r="H449" s="40"/>
      <c r="I449" s="40"/>
      <c r="J449" s="274" t="s">
        <v>2084</v>
      </c>
      <c r="K449" s="40"/>
      <c r="L449" s="40"/>
      <c r="M449" s="40"/>
      <c r="N449" s="2595"/>
      <c r="O449" s="1667"/>
      <c r="P449" s="1667"/>
      <c r="Q449" s="40"/>
    </row>
    <row r="450" spans="3:17" s="77" customFormat="1">
      <c r="C450" s="40" t="s">
        <v>2085</v>
      </c>
      <c r="D450" s="40"/>
      <c r="E450" s="40"/>
      <c r="F450" s="40"/>
      <c r="G450" s="40"/>
      <c r="H450" s="40"/>
      <c r="I450" s="40"/>
      <c r="J450" s="274" t="s">
        <v>2086</v>
      </c>
      <c r="K450" s="40"/>
      <c r="L450" s="40"/>
      <c r="M450" s="40"/>
      <c r="N450" s="2595"/>
      <c r="O450" s="1667"/>
      <c r="P450" s="1667"/>
      <c r="Q450" s="40"/>
    </row>
    <row r="451" spans="3:17" s="77" customFormat="1">
      <c r="C451" s="40"/>
      <c r="D451" s="40"/>
      <c r="E451" s="40"/>
      <c r="F451" s="40"/>
      <c r="G451" s="40"/>
      <c r="H451" s="40"/>
      <c r="I451" s="40"/>
      <c r="J451" s="274" t="s">
        <v>1727</v>
      </c>
      <c r="K451" s="40"/>
      <c r="L451" s="40"/>
      <c r="M451" s="40"/>
      <c r="N451" s="2595"/>
      <c r="O451" s="1667"/>
      <c r="P451" s="1667"/>
      <c r="Q451" s="40"/>
    </row>
    <row r="452" spans="3:17" s="77" customFormat="1">
      <c r="C452" s="40" t="s">
        <v>730</v>
      </c>
      <c r="D452" s="40"/>
      <c r="E452" s="40"/>
      <c r="F452" s="40"/>
      <c r="G452" s="40"/>
      <c r="H452" s="40"/>
      <c r="I452" s="40"/>
      <c r="J452" s="274" t="s">
        <v>2087</v>
      </c>
      <c r="K452" s="40"/>
      <c r="L452" s="40"/>
      <c r="M452" s="40"/>
      <c r="N452" s="2595"/>
      <c r="O452" s="1667"/>
      <c r="P452" s="1667"/>
      <c r="Q452" s="40"/>
    </row>
    <row r="453" spans="3:17" s="77" customFormat="1">
      <c r="C453" s="1037" t="s">
        <v>1646</v>
      </c>
      <c r="D453" s="40"/>
      <c r="E453" s="40"/>
      <c r="F453" s="40"/>
      <c r="G453" s="40"/>
      <c r="H453" s="40"/>
      <c r="I453" s="40"/>
      <c r="J453" s="274" t="s">
        <v>2088</v>
      </c>
      <c r="K453" s="40"/>
      <c r="L453" s="40"/>
      <c r="M453" s="40"/>
      <c r="N453" s="2595"/>
      <c r="O453" s="1667"/>
      <c r="P453" s="1667"/>
      <c r="Q453" s="40"/>
    </row>
    <row r="454" spans="3:17" s="77" customFormat="1">
      <c r="C454" s="1037" t="s">
        <v>1649</v>
      </c>
      <c r="D454" s="40"/>
      <c r="E454" s="40"/>
      <c r="F454" s="40"/>
      <c r="G454" s="40"/>
      <c r="H454" s="40"/>
      <c r="I454" s="40"/>
      <c r="J454" s="274" t="s">
        <v>1659</v>
      </c>
      <c r="K454" s="40"/>
      <c r="L454" s="40"/>
      <c r="M454" s="40"/>
      <c r="N454" s="2595"/>
      <c r="O454" s="1667"/>
      <c r="P454" s="1667"/>
      <c r="Q454" s="40"/>
    </row>
    <row r="455" spans="3:17" s="77" customFormat="1">
      <c r="C455" s="1037" t="s">
        <v>1652</v>
      </c>
      <c r="D455" s="40"/>
      <c r="E455" s="40"/>
      <c r="F455" s="40"/>
      <c r="G455" s="40"/>
      <c r="H455" s="40"/>
      <c r="I455" s="40"/>
      <c r="J455" s="274" t="s">
        <v>1644</v>
      </c>
      <c r="K455" s="40"/>
      <c r="L455" s="40"/>
      <c r="M455" s="40"/>
      <c r="N455" s="2595"/>
      <c r="O455" s="1667"/>
      <c r="P455" s="1667"/>
      <c r="Q455" s="40"/>
    </row>
    <row r="456" spans="3:17" s="77" customFormat="1">
      <c r="C456" s="1037" t="s">
        <v>1655</v>
      </c>
      <c r="D456" s="40"/>
      <c r="E456" s="40"/>
      <c r="F456" s="40"/>
      <c r="G456" s="40"/>
      <c r="H456" s="40"/>
      <c r="I456" s="40"/>
      <c r="J456" s="274" t="s">
        <v>1656</v>
      </c>
      <c r="K456" s="40"/>
      <c r="L456" s="40"/>
      <c r="M456" s="40"/>
      <c r="N456" s="2595"/>
      <c r="O456" s="1667"/>
      <c r="P456" s="1667"/>
      <c r="Q456" s="40"/>
    </row>
    <row r="457" spans="3:17" s="77" customFormat="1">
      <c r="C457" s="1037" t="s">
        <v>1658</v>
      </c>
      <c r="D457" s="40"/>
      <c r="E457" s="40"/>
      <c r="F457" s="40"/>
      <c r="G457" s="40"/>
      <c r="H457" s="40"/>
      <c r="I457" s="40"/>
      <c r="J457" s="274" t="s">
        <v>2094</v>
      </c>
      <c r="K457" s="40"/>
      <c r="L457" s="40"/>
      <c r="M457" s="40"/>
      <c r="N457" s="2595"/>
      <c r="O457" s="1667"/>
      <c r="P457" s="1667"/>
      <c r="Q457" s="40"/>
    </row>
    <row r="458" spans="3:17" s="77" customFormat="1">
      <c r="C458" s="1037" t="s">
        <v>1661</v>
      </c>
      <c r="D458" s="40"/>
      <c r="E458" s="40"/>
      <c r="F458" s="40"/>
      <c r="G458" s="40"/>
      <c r="H458" s="40"/>
      <c r="I458" s="40"/>
      <c r="J458" s="274" t="s">
        <v>1671</v>
      </c>
      <c r="K458" s="40"/>
      <c r="L458" s="40"/>
      <c r="M458" s="40"/>
      <c r="N458" s="2595"/>
      <c r="O458" s="1667"/>
      <c r="P458" s="1667"/>
      <c r="Q458" s="40"/>
    </row>
    <row r="459" spans="3:17" s="77" customFormat="1">
      <c r="C459" s="1037" t="s">
        <v>1664</v>
      </c>
      <c r="D459" s="40"/>
      <c r="E459" s="40"/>
      <c r="F459" s="40"/>
      <c r="G459" s="40"/>
      <c r="H459" s="40"/>
      <c r="I459" s="40"/>
      <c r="J459" s="274" t="s">
        <v>2096</v>
      </c>
      <c r="K459" s="40"/>
      <c r="L459" s="40"/>
      <c r="M459" s="40"/>
      <c r="N459" s="2595"/>
      <c r="O459" s="1667"/>
      <c r="P459" s="1667"/>
      <c r="Q459" s="40"/>
    </row>
    <row r="460" spans="3:17" s="77" customFormat="1">
      <c r="C460" s="1037" t="s">
        <v>1667</v>
      </c>
      <c r="D460" s="40"/>
      <c r="E460" s="40"/>
      <c r="F460" s="40"/>
      <c r="G460" s="40"/>
      <c r="H460" s="40"/>
      <c r="I460" s="40"/>
      <c r="J460" s="274" t="s">
        <v>2098</v>
      </c>
      <c r="K460" s="40"/>
      <c r="L460" s="40"/>
      <c r="M460" s="40"/>
      <c r="N460" s="2595"/>
      <c r="O460" s="1667"/>
      <c r="P460" s="1667"/>
      <c r="Q460" s="40"/>
    </row>
    <row r="461" spans="3:17" s="77" customFormat="1">
      <c r="C461" s="1037" t="s">
        <v>1670</v>
      </c>
      <c r="D461" s="40"/>
      <c r="E461" s="40"/>
      <c r="F461" s="40"/>
      <c r="G461" s="40"/>
      <c r="H461" s="40"/>
      <c r="I461" s="40"/>
      <c r="J461" s="40"/>
      <c r="K461" s="40"/>
      <c r="L461" s="40"/>
      <c r="M461" s="40"/>
      <c r="N461" s="2595"/>
      <c r="O461" s="1667"/>
      <c r="P461" s="1667"/>
      <c r="Q461" s="40"/>
    </row>
    <row r="462" spans="3:17" s="77" customFormat="1">
      <c r="C462" s="1037" t="s">
        <v>1672</v>
      </c>
      <c r="D462" s="40"/>
      <c r="E462" s="40"/>
      <c r="F462" s="40"/>
      <c r="G462" s="40"/>
      <c r="H462" s="40"/>
      <c r="I462" s="40"/>
      <c r="J462" s="1668" t="s">
        <v>2102</v>
      </c>
      <c r="K462" s="40"/>
      <c r="L462" s="40"/>
      <c r="M462" s="40"/>
      <c r="N462" s="2595"/>
      <c r="O462" s="1668" t="s">
        <v>2103</v>
      </c>
      <c r="P462" s="1667"/>
      <c r="Q462" s="40"/>
    </row>
    <row r="463" spans="3:17" s="77" customFormat="1">
      <c r="C463" s="1037" t="s">
        <v>1674</v>
      </c>
      <c r="D463" s="40"/>
      <c r="E463" s="40"/>
      <c r="F463" s="40"/>
      <c r="G463" s="40"/>
      <c r="H463" s="40"/>
      <c r="I463" s="40"/>
      <c r="J463" s="274" t="s">
        <v>2105</v>
      </c>
      <c r="K463" s="40"/>
      <c r="L463" s="40"/>
      <c r="M463" s="40"/>
      <c r="N463" s="2595"/>
      <c r="O463" s="1667"/>
      <c r="P463" s="1667"/>
      <c r="Q463" s="40"/>
    </row>
    <row r="464" spans="3:17" s="77" customFormat="1">
      <c r="C464" s="1037" t="s">
        <v>1676</v>
      </c>
      <c r="D464" s="40"/>
      <c r="E464" s="40"/>
      <c r="F464" s="40"/>
      <c r="G464" s="40"/>
      <c r="H464" s="40"/>
      <c r="I464" s="40"/>
      <c r="J464" s="40" t="s">
        <v>2108</v>
      </c>
      <c r="K464" s="40"/>
      <c r="L464" s="40"/>
      <c r="M464" s="40"/>
      <c r="N464" s="2595"/>
      <c r="O464" s="1667">
        <v>2</v>
      </c>
      <c r="P464" s="1667"/>
      <c r="Q464" s="40"/>
    </row>
    <row r="465" spans="1:17" s="77" customFormat="1">
      <c r="C465" s="40"/>
      <c r="D465" s="40"/>
      <c r="E465" s="40"/>
      <c r="F465" s="40"/>
      <c r="G465" s="40"/>
      <c r="H465" s="40"/>
      <c r="I465" s="40"/>
      <c r="J465" s="40" t="s">
        <v>2110</v>
      </c>
      <c r="K465" s="40"/>
      <c r="L465" s="40"/>
      <c r="M465" s="40"/>
      <c r="N465" s="2595"/>
      <c r="O465" s="1667">
        <v>2</v>
      </c>
      <c r="P465" s="1667"/>
      <c r="Q465" s="40"/>
    </row>
    <row r="466" spans="1:17" s="77" customFormat="1">
      <c r="C466" s="40"/>
      <c r="D466" s="40"/>
      <c r="E466" s="40"/>
      <c r="F466" s="40"/>
      <c r="G466" s="4430" t="s">
        <v>2113</v>
      </c>
      <c r="H466" s="4430"/>
      <c r="I466" s="4430"/>
      <c r="J466" s="40" t="s">
        <v>2114</v>
      </c>
      <c r="K466" s="40"/>
      <c r="L466" s="40"/>
      <c r="M466" s="40"/>
      <c r="N466" s="2595"/>
      <c r="O466" s="1667">
        <v>2</v>
      </c>
      <c r="P466" s="1667"/>
      <c r="Q466" s="40"/>
    </row>
    <row r="467" spans="1:17" s="77" customFormat="1">
      <c r="C467" s="40"/>
      <c r="D467" s="40"/>
      <c r="E467" s="40"/>
      <c r="F467" s="40"/>
      <c r="G467" s="1409" t="s">
        <v>2117</v>
      </c>
      <c r="H467" s="40" t="s">
        <v>2118</v>
      </c>
      <c r="I467" s="1409" t="s">
        <v>2119</v>
      </c>
      <c r="J467" s="40" t="s">
        <v>2120</v>
      </c>
      <c r="K467" s="40"/>
      <c r="L467" s="1409"/>
      <c r="M467" s="40"/>
      <c r="N467" s="2595"/>
      <c r="O467" s="1667">
        <v>2</v>
      </c>
      <c r="P467" s="1667"/>
      <c r="Q467" s="40"/>
    </row>
    <row r="468" spans="1:17" s="77" customFormat="1">
      <c r="C468" s="365"/>
      <c r="D468" s="40"/>
      <c r="E468" s="40"/>
      <c r="F468" s="40"/>
      <c r="G468" s="1111" t="s">
        <v>2122</v>
      </c>
      <c r="H468" s="40"/>
      <c r="I468" s="1111"/>
      <c r="J468" s="40" t="s">
        <v>2123</v>
      </c>
      <c r="K468" s="40"/>
      <c r="L468" s="1111"/>
      <c r="M468" s="40"/>
      <c r="N468" s="2595"/>
      <c r="O468" s="1667">
        <v>2</v>
      </c>
      <c r="P468" s="1667"/>
      <c r="Q468" s="40"/>
    </row>
    <row r="469" spans="1:17" s="77" customFormat="1">
      <c r="C469" s="365"/>
      <c r="D469" s="40"/>
      <c r="E469" s="40"/>
      <c r="F469" s="40"/>
      <c r="G469" s="1111" t="s">
        <v>2126</v>
      </c>
      <c r="H469" s="2595" t="s">
        <v>2127</v>
      </c>
      <c r="I469" s="1409" t="s">
        <v>1117</v>
      </c>
      <c r="J469" s="40" t="s">
        <v>2128</v>
      </c>
      <c r="K469" s="40"/>
      <c r="L469" s="365"/>
      <c r="M469" s="40"/>
      <c r="N469" s="2595"/>
      <c r="O469" s="1667">
        <v>1</v>
      </c>
      <c r="P469" s="1667"/>
      <c r="Q469" s="40"/>
    </row>
    <row r="470" spans="1:17" s="77" customFormat="1">
      <c r="C470" s="365"/>
      <c r="D470" s="40"/>
      <c r="E470" s="40"/>
      <c r="F470" s="40"/>
      <c r="G470" s="1111" t="s">
        <v>2130</v>
      </c>
      <c r="H470" s="2595">
        <v>2020</v>
      </c>
      <c r="I470" s="2595" t="s">
        <v>2131</v>
      </c>
      <c r="J470" s="40" t="s">
        <v>2132</v>
      </c>
      <c r="K470" s="40"/>
      <c r="L470" s="365"/>
      <c r="M470" s="40"/>
      <c r="N470" s="2595"/>
      <c r="O470" s="1667">
        <v>1</v>
      </c>
      <c r="P470" s="1667"/>
      <c r="Q470" s="40"/>
    </row>
    <row r="471" spans="1:17" s="77" customFormat="1">
      <c r="C471" s="365"/>
      <c r="D471" s="40"/>
      <c r="E471" s="40"/>
      <c r="F471" s="40"/>
      <c r="G471" s="1111" t="s">
        <v>2134</v>
      </c>
      <c r="H471" s="2595" t="s">
        <v>2135</v>
      </c>
      <c r="I471" s="1409" t="s">
        <v>1117</v>
      </c>
      <c r="J471" s="40" t="s">
        <v>2136</v>
      </c>
      <c r="K471" s="40"/>
      <c r="L471" s="365"/>
      <c r="M471" s="40"/>
      <c r="N471" s="2595"/>
      <c r="O471" s="1667">
        <v>1</v>
      </c>
      <c r="P471" s="1667"/>
      <c r="Q471" s="40"/>
    </row>
    <row r="472" spans="1:17" s="77" customFormat="1">
      <c r="C472" s="365"/>
      <c r="D472" s="40"/>
      <c r="E472" s="40"/>
      <c r="F472" s="40"/>
      <c r="G472" s="1111" t="s">
        <v>2138</v>
      </c>
      <c r="H472" s="2595">
        <v>2020</v>
      </c>
      <c r="I472" s="2595" t="s">
        <v>2131</v>
      </c>
      <c r="J472" s="40" t="s">
        <v>2139</v>
      </c>
      <c r="K472" s="40"/>
      <c r="L472" s="365"/>
      <c r="M472" s="40"/>
      <c r="N472" s="2595"/>
      <c r="O472" s="1667">
        <v>1</v>
      </c>
      <c r="P472" s="1667"/>
      <c r="Q472" s="40"/>
    </row>
    <row r="473" spans="1:17" s="77" customFormat="1">
      <c r="C473" s="365"/>
      <c r="D473" s="40"/>
      <c r="E473" s="40"/>
      <c r="F473" s="40"/>
      <c r="G473" s="1111" t="s">
        <v>2141</v>
      </c>
      <c r="H473" s="2595">
        <v>2019</v>
      </c>
      <c r="I473" s="2595" t="s">
        <v>2131</v>
      </c>
      <c r="J473" s="40" t="s">
        <v>2142</v>
      </c>
      <c r="K473" s="40"/>
      <c r="L473" s="365"/>
      <c r="M473" s="40"/>
      <c r="N473" s="2595"/>
      <c r="O473" s="1667">
        <v>1</v>
      </c>
      <c r="P473" s="1667"/>
      <c r="Q473" s="40"/>
    </row>
    <row r="474" spans="1:17" s="77" customFormat="1">
      <c r="C474" s="365"/>
      <c r="D474" s="40"/>
      <c r="E474" s="40"/>
      <c r="F474" s="40"/>
      <c r="G474" s="1111" t="s">
        <v>2145</v>
      </c>
      <c r="H474" s="2595" t="s">
        <v>2135</v>
      </c>
      <c r="I474" s="1409" t="s">
        <v>1117</v>
      </c>
      <c r="J474" s="40" t="s">
        <v>2146</v>
      </c>
      <c r="K474" s="40"/>
      <c r="L474" s="365"/>
      <c r="M474" s="40"/>
      <c r="N474" s="2595"/>
      <c r="O474" s="1667">
        <v>1</v>
      </c>
      <c r="P474" s="1667"/>
      <c r="Q474" s="40"/>
    </row>
    <row r="475" spans="1:17" s="77" customFormat="1">
      <c r="C475" s="365"/>
      <c r="D475" s="40"/>
      <c r="E475" s="40"/>
      <c r="F475" s="40"/>
      <c r="G475" s="1111" t="s">
        <v>2149</v>
      </c>
      <c r="H475" s="2595">
        <v>2020</v>
      </c>
      <c r="I475" s="2595" t="s">
        <v>2131</v>
      </c>
      <c r="J475" s="40" t="s">
        <v>2150</v>
      </c>
      <c r="K475" s="40"/>
      <c r="L475" s="365"/>
      <c r="M475" s="40"/>
      <c r="N475" s="2595"/>
      <c r="O475" s="1667">
        <v>1</v>
      </c>
      <c r="P475" s="1667"/>
      <c r="Q475" s="40"/>
    </row>
    <row r="476" spans="1:17" s="77" customFormat="1">
      <c r="C476" s="365"/>
      <c r="D476" s="40"/>
      <c r="E476" s="40"/>
      <c r="F476" s="40"/>
      <c r="G476" s="1111" t="s">
        <v>2152</v>
      </c>
      <c r="H476" s="2595" t="s">
        <v>2127</v>
      </c>
      <c r="I476" s="1409" t="s">
        <v>1117</v>
      </c>
      <c r="J476" s="40" t="s">
        <v>2153</v>
      </c>
      <c r="K476" s="40"/>
      <c r="L476" s="365"/>
      <c r="M476" s="40"/>
      <c r="N476" s="2595"/>
      <c r="O476" s="1667">
        <v>1</v>
      </c>
      <c r="P476" s="1667"/>
      <c r="Q476" s="40"/>
    </row>
    <row r="477" spans="1:17" s="77" customFormat="1">
      <c r="C477" s="40"/>
      <c r="D477" s="40"/>
      <c r="E477" s="40"/>
      <c r="F477" s="40"/>
      <c r="G477" s="1111" t="s">
        <v>2155</v>
      </c>
      <c r="H477" s="2595" t="s">
        <v>2127</v>
      </c>
      <c r="I477" s="1409" t="s">
        <v>1117</v>
      </c>
      <c r="J477" s="40" t="s">
        <v>2156</v>
      </c>
      <c r="K477" s="40"/>
      <c r="L477" s="365"/>
      <c r="M477" s="40"/>
      <c r="N477" s="2595"/>
      <c r="O477" s="1667">
        <v>1</v>
      </c>
      <c r="P477" s="1667"/>
      <c r="Q477" s="40"/>
    </row>
    <row r="478" spans="1:17" s="77" customFormat="1">
      <c r="C478" s="40"/>
      <c r="D478" s="40"/>
      <c r="E478" s="40"/>
      <c r="F478" s="40"/>
      <c r="G478" s="1111" t="s">
        <v>2158</v>
      </c>
      <c r="H478" s="2595">
        <v>2019</v>
      </c>
      <c r="I478" s="2595" t="s">
        <v>2131</v>
      </c>
      <c r="J478" s="40" t="s">
        <v>2159</v>
      </c>
      <c r="K478" s="40"/>
      <c r="L478" s="365"/>
      <c r="M478" s="40"/>
      <c r="N478" s="2595"/>
      <c r="O478" s="1667">
        <v>1</v>
      </c>
      <c r="P478" s="1667"/>
      <c r="Q478" s="40"/>
    </row>
    <row r="479" spans="1:17" s="77" customFormat="1">
      <c r="A479" s="25" t="s">
        <v>2161</v>
      </c>
      <c r="C479" s="40"/>
      <c r="D479" s="40"/>
      <c r="E479" s="40"/>
      <c r="F479" s="40"/>
      <c r="G479" s="1111" t="s">
        <v>2162</v>
      </c>
      <c r="H479" s="2595" t="s">
        <v>2127</v>
      </c>
      <c r="I479" s="1409" t="s">
        <v>1117</v>
      </c>
      <c r="J479" s="40" t="s">
        <v>2163</v>
      </c>
      <c r="K479" s="40"/>
      <c r="L479" s="365"/>
      <c r="M479" s="40"/>
      <c r="N479" s="2595"/>
      <c r="O479" s="1667">
        <v>1</v>
      </c>
      <c r="P479" s="1667"/>
      <c r="Q479" s="40"/>
    </row>
    <row r="480" spans="1:17" s="77" customFormat="1">
      <c r="A480" s="25" t="s">
        <v>2165</v>
      </c>
      <c r="C480" s="40"/>
      <c r="D480" s="40"/>
      <c r="E480" s="40"/>
      <c r="F480" s="40"/>
      <c r="G480" s="1111" t="s">
        <v>2166</v>
      </c>
      <c r="H480" s="2595">
        <v>2019</v>
      </c>
      <c r="I480" s="2595" t="s">
        <v>2131</v>
      </c>
      <c r="J480" s="40" t="s">
        <v>2167</v>
      </c>
      <c r="K480" s="40"/>
      <c r="L480" s="365"/>
      <c r="M480" s="40"/>
      <c r="N480" s="2595"/>
      <c r="O480" s="1667">
        <v>1</v>
      </c>
      <c r="P480" s="1667"/>
      <c r="Q480" s="40"/>
    </row>
    <row r="481" spans="1:17" s="77" customFormat="1">
      <c r="A481" s="73" t="s">
        <v>2169</v>
      </c>
      <c r="C481" s="40"/>
      <c r="D481" s="365"/>
      <c r="E481" s="365">
        <v>3</v>
      </c>
      <c r="F481" s="40"/>
      <c r="G481" s="1111" t="s">
        <v>2170</v>
      </c>
      <c r="H481" s="2595">
        <v>2019</v>
      </c>
      <c r="I481" s="2595" t="s">
        <v>2131</v>
      </c>
      <c r="J481" s="40"/>
      <c r="K481" s="40"/>
      <c r="L481" s="365"/>
      <c r="M481" s="40"/>
      <c r="N481" s="2595"/>
      <c r="O481" s="1667"/>
      <c r="P481" s="1667"/>
      <c r="Q481" s="40"/>
    </row>
    <row r="482" spans="1:17" s="77" customFormat="1">
      <c r="A482" s="73" t="s">
        <v>2172</v>
      </c>
      <c r="C482" s="40"/>
      <c r="D482" s="365"/>
      <c r="E482" s="365">
        <v>2</v>
      </c>
      <c r="F482" s="40"/>
      <c r="G482" s="1111" t="s">
        <v>146</v>
      </c>
      <c r="H482" s="2595">
        <v>2019</v>
      </c>
      <c r="I482" s="2595" t="s">
        <v>2131</v>
      </c>
      <c r="J482" s="40"/>
      <c r="K482" s="40"/>
      <c r="L482" s="365"/>
      <c r="M482" s="40"/>
      <c r="N482" s="2595"/>
      <c r="O482" s="1667"/>
      <c r="P482" s="1667"/>
      <c r="Q482" s="40"/>
    </row>
    <row r="483" spans="1:17" s="77" customFormat="1">
      <c r="A483" s="73" t="s">
        <v>2173</v>
      </c>
      <c r="C483" s="40"/>
      <c r="D483" s="365"/>
      <c r="E483" s="365">
        <v>10</v>
      </c>
      <c r="F483" s="40"/>
      <c r="G483" s="1111" t="s">
        <v>2174</v>
      </c>
      <c r="H483" s="2595">
        <v>2019</v>
      </c>
      <c r="I483" s="2595" t="s">
        <v>2131</v>
      </c>
      <c r="J483" s="292" t="s">
        <v>2175</v>
      </c>
      <c r="K483" s="40"/>
      <c r="L483" s="365"/>
      <c r="M483" s="40"/>
      <c r="N483" s="2595"/>
      <c r="O483" s="1667"/>
      <c r="P483" s="1667"/>
      <c r="Q483" s="40"/>
    </row>
    <row r="484" spans="1:17" s="77" customFormat="1">
      <c r="A484" s="73" t="s">
        <v>2176</v>
      </c>
      <c r="C484" s="40"/>
      <c r="D484" s="365"/>
      <c r="E484" s="365"/>
      <c r="F484" s="40"/>
      <c r="G484" s="1111" t="s">
        <v>2177</v>
      </c>
      <c r="H484" s="2595">
        <v>2019</v>
      </c>
      <c r="I484" s="2595" t="s">
        <v>2131</v>
      </c>
      <c r="J484" s="40" t="s">
        <v>1735</v>
      </c>
      <c r="K484" s="40"/>
      <c r="L484" s="365"/>
      <c r="M484" s="40"/>
      <c r="N484" s="2595"/>
      <c r="O484" s="1667"/>
      <c r="P484" s="1667"/>
      <c r="Q484" s="40"/>
    </row>
    <row r="485" spans="1:17" s="77" customFormat="1">
      <c r="C485" s="365"/>
      <c r="D485" s="40"/>
      <c r="E485" s="40"/>
      <c r="F485" s="40"/>
      <c r="G485" s="1111" t="s">
        <v>2179</v>
      </c>
      <c r="H485" s="2595">
        <v>2020</v>
      </c>
      <c r="I485" s="2595" t="s">
        <v>2131</v>
      </c>
      <c r="J485" s="40" t="s">
        <v>2180</v>
      </c>
      <c r="K485" s="40"/>
      <c r="L485" s="365"/>
      <c r="M485" s="40"/>
      <c r="N485" s="2595"/>
      <c r="O485" s="1667"/>
      <c r="P485" s="1667"/>
      <c r="Q485" s="40"/>
    </row>
    <row r="486" spans="1:17" s="77" customFormat="1">
      <c r="C486" s="365"/>
      <c r="D486" s="40"/>
      <c r="E486" s="40"/>
      <c r="F486" s="40"/>
      <c r="G486" s="1111" t="s">
        <v>2181</v>
      </c>
      <c r="H486" s="2595">
        <v>2020</v>
      </c>
      <c r="I486" s="2595" t="s">
        <v>2131</v>
      </c>
      <c r="J486" s="40" t="s">
        <v>1736</v>
      </c>
      <c r="K486" s="40"/>
      <c r="L486" s="365"/>
      <c r="M486" s="40"/>
      <c r="N486" s="2595"/>
      <c r="O486" s="1667"/>
      <c r="P486" s="1667"/>
      <c r="Q486" s="40"/>
    </row>
    <row r="487" spans="1:17" s="77" customFormat="1">
      <c r="C487" s="365"/>
      <c r="D487" s="40"/>
      <c r="E487" s="40"/>
      <c r="F487" s="40"/>
      <c r="G487" s="1111" t="s">
        <v>2182</v>
      </c>
      <c r="H487" s="2595" t="s">
        <v>2127</v>
      </c>
      <c r="I487" s="1409" t="s">
        <v>1117</v>
      </c>
      <c r="J487" s="40" t="s">
        <v>2183</v>
      </c>
      <c r="K487" s="40"/>
      <c r="L487" s="365"/>
      <c r="M487" s="40"/>
      <c r="N487" s="2595"/>
      <c r="O487" s="1667"/>
      <c r="P487" s="1667"/>
      <c r="Q487" s="40"/>
    </row>
    <row r="488" spans="1:17" s="77" customFormat="1">
      <c r="C488" s="365"/>
      <c r="D488" s="40"/>
      <c r="E488" s="40"/>
      <c r="F488" s="40"/>
      <c r="G488" s="1111" t="s">
        <v>2184</v>
      </c>
      <c r="H488" s="2595">
        <v>2019</v>
      </c>
      <c r="I488" s="2595" t="s">
        <v>2131</v>
      </c>
      <c r="J488" s="40" t="s">
        <v>1738</v>
      </c>
      <c r="K488" s="40"/>
      <c r="L488" s="365"/>
      <c r="M488" s="40"/>
      <c r="N488" s="2595"/>
      <c r="O488" s="1667"/>
      <c r="P488" s="1667"/>
      <c r="Q488" s="40"/>
    </row>
    <row r="489" spans="1:17" s="77" customFormat="1">
      <c r="C489" s="40"/>
      <c r="D489" s="40"/>
      <c r="E489" s="40"/>
      <c r="F489" s="40"/>
      <c r="G489" s="1111" t="s">
        <v>2185</v>
      </c>
      <c r="H489" s="2595">
        <v>2019</v>
      </c>
      <c r="I489" s="2595" t="s">
        <v>2131</v>
      </c>
      <c r="J489" s="40" t="s">
        <v>2186</v>
      </c>
      <c r="K489" s="40"/>
      <c r="L489" s="365"/>
      <c r="M489" s="40"/>
      <c r="N489" s="2595"/>
      <c r="O489" s="1667"/>
      <c r="P489" s="1667"/>
      <c r="Q489" s="40"/>
    </row>
    <row r="490" spans="1:17" s="77" customFormat="1">
      <c r="C490" s="40"/>
      <c r="D490" s="40"/>
      <c r="E490" s="40"/>
      <c r="F490" s="40"/>
      <c r="G490" s="1111" t="s">
        <v>2187</v>
      </c>
      <c r="H490" s="2595">
        <v>2019</v>
      </c>
      <c r="I490" s="2595" t="s">
        <v>2131</v>
      </c>
      <c r="J490" s="40" t="s">
        <v>1740</v>
      </c>
      <c r="K490" s="40"/>
      <c r="L490" s="40"/>
      <c r="M490" s="40"/>
      <c r="N490" s="2595"/>
      <c r="O490" s="1667"/>
      <c r="P490" s="1667"/>
      <c r="Q490" s="40"/>
    </row>
    <row r="491" spans="1:17" s="77" customFormat="1">
      <c r="C491" s="40"/>
      <c r="D491" s="40"/>
      <c r="E491" s="40"/>
      <c r="F491" s="40"/>
      <c r="G491" s="1111" t="s">
        <v>2188</v>
      </c>
      <c r="H491" s="2595" t="s">
        <v>2127</v>
      </c>
      <c r="I491" s="1409" t="s">
        <v>1117</v>
      </c>
      <c r="J491" s="40" t="s">
        <v>2189</v>
      </c>
      <c r="K491" s="40"/>
      <c r="L491" s="365"/>
      <c r="M491" s="40"/>
      <c r="N491" s="2595"/>
      <c r="O491" s="1667"/>
      <c r="P491" s="1667"/>
      <c r="Q491" s="40"/>
    </row>
    <row r="492" spans="1:17" s="77" customFormat="1">
      <c r="C492" s="40"/>
      <c r="D492" s="40"/>
      <c r="E492" s="40"/>
      <c r="F492" s="40"/>
      <c r="G492" s="1111" t="s">
        <v>2190</v>
      </c>
      <c r="H492" s="2595">
        <v>2020</v>
      </c>
      <c r="I492" s="2595" t="s">
        <v>2131</v>
      </c>
      <c r="J492" s="40" t="s">
        <v>1742</v>
      </c>
      <c r="K492" s="40"/>
      <c r="L492" s="365"/>
      <c r="M492" s="40"/>
      <c r="N492" s="2595"/>
      <c r="O492" s="1667"/>
      <c r="P492" s="1667"/>
      <c r="Q492" s="40"/>
    </row>
    <row r="493" spans="1:17" s="77" customFormat="1">
      <c r="C493" s="40"/>
      <c r="D493" s="40"/>
      <c r="E493" s="40"/>
      <c r="F493" s="40"/>
      <c r="G493" s="1111" t="s">
        <v>2191</v>
      </c>
      <c r="H493" s="2595">
        <v>2020</v>
      </c>
      <c r="I493" s="2595" t="s">
        <v>2131</v>
      </c>
      <c r="J493" s="40" t="s">
        <v>2192</v>
      </c>
      <c r="K493" s="40"/>
      <c r="L493" s="40"/>
      <c r="M493" s="40"/>
      <c r="N493" s="2595"/>
      <c r="O493" s="1667"/>
      <c r="P493" s="1667"/>
      <c r="Q493" s="40"/>
    </row>
    <row r="494" spans="1:17" s="77" customFormat="1">
      <c r="C494" s="40"/>
      <c r="D494" s="525"/>
      <c r="E494" s="40"/>
      <c r="F494" s="40"/>
      <c r="G494" s="1111" t="s">
        <v>2193</v>
      </c>
      <c r="H494" s="2595" t="s">
        <v>2127</v>
      </c>
      <c r="I494" s="1409" t="s">
        <v>1117</v>
      </c>
      <c r="J494" s="40" t="s">
        <v>2194</v>
      </c>
      <c r="K494" s="40"/>
      <c r="L494" s="365"/>
      <c r="M494" s="40"/>
      <c r="N494" s="2595"/>
      <c r="O494" s="1667"/>
      <c r="P494" s="1667"/>
      <c r="Q494" s="40"/>
    </row>
    <row r="495" spans="1:17" s="77" customFormat="1">
      <c r="C495" s="40"/>
      <c r="D495" s="525"/>
      <c r="E495" s="40"/>
      <c r="F495" s="40"/>
      <c r="G495" s="1111" t="s">
        <v>2195</v>
      </c>
      <c r="H495" s="2595" t="s">
        <v>2127</v>
      </c>
      <c r="I495" s="1409" t="s">
        <v>1117</v>
      </c>
      <c r="J495" s="40" t="s">
        <v>2196</v>
      </c>
      <c r="K495" s="40"/>
      <c r="L495" s="365"/>
      <c r="M495" s="40"/>
      <c r="N495" s="2595"/>
      <c r="O495" s="1667"/>
      <c r="P495" s="1667"/>
      <c r="Q495" s="40"/>
    </row>
    <row r="496" spans="1:17" s="77" customFormat="1">
      <c r="C496" s="40"/>
      <c r="D496" s="40"/>
      <c r="E496" s="40"/>
      <c r="F496" s="40"/>
      <c r="G496" s="1111" t="s">
        <v>2197</v>
      </c>
      <c r="H496" s="2595">
        <v>2020</v>
      </c>
      <c r="I496" s="2595" t="s">
        <v>2131</v>
      </c>
      <c r="J496" s="40" t="s">
        <v>2198</v>
      </c>
      <c r="K496" s="40"/>
      <c r="L496" s="365"/>
      <c r="M496" s="40"/>
      <c r="N496" s="2595"/>
      <c r="O496" s="1667"/>
      <c r="P496" s="1667"/>
      <c r="Q496" s="40"/>
    </row>
    <row r="497" spans="3:17" s="77" customFormat="1">
      <c r="C497" s="40"/>
      <c r="D497" s="40"/>
      <c r="E497" s="40"/>
      <c r="F497" s="40"/>
      <c r="G497" s="1111" t="s">
        <v>2199</v>
      </c>
      <c r="H497" s="2595">
        <v>2019</v>
      </c>
      <c r="I497" s="2595" t="s">
        <v>2131</v>
      </c>
      <c r="J497" s="40" t="s">
        <v>2200</v>
      </c>
      <c r="K497" s="40"/>
      <c r="L497" s="40"/>
      <c r="M497" s="40"/>
      <c r="N497" s="2595"/>
      <c r="O497" s="1667"/>
      <c r="P497" s="1667"/>
      <c r="Q497" s="40"/>
    </row>
    <row r="498" spans="3:17" s="77" customFormat="1">
      <c r="C498" s="40"/>
      <c r="D498" s="40"/>
      <c r="E498" s="40"/>
      <c r="F498" s="40"/>
      <c r="G498" s="1111" t="s">
        <v>2201</v>
      </c>
      <c r="H498" s="2595">
        <v>2019</v>
      </c>
      <c r="I498" s="2595" t="s">
        <v>2131</v>
      </c>
      <c r="J498" s="40" t="s">
        <v>2202</v>
      </c>
      <c r="K498" s="40"/>
      <c r="L498" s="365"/>
      <c r="M498" s="40"/>
      <c r="N498" s="2595"/>
      <c r="O498" s="1667"/>
      <c r="P498" s="1667"/>
      <c r="Q498" s="40"/>
    </row>
    <row r="499" spans="3:17" s="77" customFormat="1">
      <c r="C499" s="40"/>
      <c r="D499" s="40"/>
      <c r="E499" s="40"/>
      <c r="F499" s="40"/>
      <c r="G499" s="1111" t="s">
        <v>2203</v>
      </c>
      <c r="H499" s="2595">
        <v>2020</v>
      </c>
      <c r="I499" s="2595" t="s">
        <v>2131</v>
      </c>
      <c r="J499" s="40" t="s">
        <v>2204</v>
      </c>
      <c r="K499" s="40"/>
      <c r="L499" s="365"/>
      <c r="M499" s="40"/>
      <c r="N499" s="2595"/>
      <c r="O499" s="1667"/>
      <c r="P499" s="1667"/>
      <c r="Q499" s="40"/>
    </row>
    <row r="500" spans="3:17" s="77" customFormat="1">
      <c r="C500" s="525"/>
      <c r="D500" s="40"/>
      <c r="E500" s="40"/>
      <c r="F500" s="40"/>
      <c r="G500" s="1111" t="s">
        <v>2205</v>
      </c>
      <c r="H500" s="2595">
        <v>2020</v>
      </c>
      <c r="I500" s="2595" t="s">
        <v>2131</v>
      </c>
      <c r="J500" s="40" t="s">
        <v>2206</v>
      </c>
      <c r="K500" s="40"/>
      <c r="L500" s="365"/>
      <c r="M500" s="40"/>
      <c r="N500" s="2595"/>
      <c r="O500" s="1667"/>
      <c r="P500" s="1667"/>
      <c r="Q500" s="40"/>
    </row>
    <row r="501" spans="3:17" s="77" customFormat="1">
      <c r="C501" s="525"/>
      <c r="D501" s="40"/>
      <c r="E501" s="40"/>
      <c r="F501" s="40"/>
      <c r="G501" s="1111" t="s">
        <v>2207</v>
      </c>
      <c r="H501" s="2595" t="s">
        <v>2127</v>
      </c>
      <c r="I501" s="1409" t="s">
        <v>1117</v>
      </c>
      <c r="J501" s="40"/>
      <c r="K501" s="40"/>
      <c r="L501" s="365"/>
      <c r="M501" s="40"/>
      <c r="N501" s="2595"/>
      <c r="O501" s="1667"/>
      <c r="P501" s="1667"/>
      <c r="Q501" s="40"/>
    </row>
    <row r="502" spans="3:17" s="77" customFormat="1">
      <c r="C502" s="525"/>
      <c r="D502" s="40"/>
      <c r="E502" s="40"/>
      <c r="F502" s="40"/>
      <c r="G502" s="1111" t="s">
        <v>2208</v>
      </c>
      <c r="H502" s="2595" t="s">
        <v>2127</v>
      </c>
      <c r="I502" s="1409" t="s">
        <v>1117</v>
      </c>
      <c r="J502" s="40"/>
      <c r="K502" s="40"/>
      <c r="L502" s="365"/>
      <c r="M502" s="40"/>
      <c r="N502" s="2595"/>
      <c r="O502" s="1667"/>
      <c r="P502" s="1667"/>
      <c r="Q502" s="40"/>
    </row>
    <row r="503" spans="3:17" s="77" customFormat="1">
      <c r="C503" s="525"/>
      <c r="D503" s="40"/>
      <c r="E503" s="40"/>
      <c r="F503" s="40"/>
      <c r="G503" s="1111" t="s">
        <v>2209</v>
      </c>
      <c r="H503" s="2595" t="s">
        <v>2127</v>
      </c>
      <c r="I503" s="1409" t="s">
        <v>1117</v>
      </c>
      <c r="J503" s="40"/>
      <c r="K503" s="40"/>
      <c r="L503" s="365"/>
      <c r="M503" s="40"/>
      <c r="N503" s="2595"/>
      <c r="O503" s="1667"/>
      <c r="P503" s="1667"/>
      <c r="Q503" s="40"/>
    </row>
    <row r="504" spans="3:17" s="77" customFormat="1">
      <c r="C504" s="525"/>
      <c r="D504" s="40"/>
      <c r="E504" s="40"/>
      <c r="F504" s="40"/>
      <c r="G504" s="1111" t="s">
        <v>2210</v>
      </c>
      <c r="H504" s="2595" t="s">
        <v>2127</v>
      </c>
      <c r="I504" s="1409" t="s">
        <v>1117</v>
      </c>
      <c r="J504" s="40"/>
      <c r="K504" s="40"/>
      <c r="L504" s="365"/>
      <c r="M504" s="40"/>
      <c r="N504" s="2595"/>
      <c r="O504" s="1667"/>
      <c r="P504" s="1667"/>
      <c r="Q504" s="40"/>
    </row>
    <row r="505" spans="3:17" s="77" customFormat="1">
      <c r="C505" s="525"/>
      <c r="D505" s="40"/>
      <c r="E505" s="40"/>
      <c r="F505" s="40"/>
      <c r="G505" s="1111" t="s">
        <v>2211</v>
      </c>
      <c r="H505" s="2595">
        <v>2020</v>
      </c>
      <c r="I505" s="2595" t="s">
        <v>2131</v>
      </c>
      <c r="J505" s="40"/>
      <c r="K505" s="40"/>
      <c r="L505" s="365"/>
      <c r="M505" s="40"/>
      <c r="N505" s="2595"/>
      <c r="O505" s="1667"/>
      <c r="P505" s="1667"/>
      <c r="Q505" s="40"/>
    </row>
    <row r="506" spans="3:17" s="77" customFormat="1">
      <c r="C506" s="525"/>
      <c r="D506" s="40"/>
      <c r="E506" s="40"/>
      <c r="F506" s="40"/>
      <c r="G506" s="1111" t="s">
        <v>2212</v>
      </c>
      <c r="H506" s="2595">
        <v>2020</v>
      </c>
      <c r="I506" s="2595" t="s">
        <v>2131</v>
      </c>
      <c r="J506" s="40"/>
      <c r="K506" s="40"/>
      <c r="L506" s="40"/>
      <c r="M506" s="40"/>
      <c r="N506" s="2595"/>
      <c r="O506" s="1667"/>
      <c r="P506" s="1667"/>
      <c r="Q506" s="40"/>
    </row>
    <row r="507" spans="3:17" s="77" customFormat="1">
      <c r="C507" s="40"/>
      <c r="D507" s="40"/>
      <c r="E507" s="40"/>
      <c r="F507" s="40"/>
      <c r="G507" s="1111" t="s">
        <v>2213</v>
      </c>
      <c r="H507" s="2595">
        <v>2019</v>
      </c>
      <c r="I507" s="2595" t="s">
        <v>2131</v>
      </c>
      <c r="J507" s="40"/>
      <c r="K507" s="40"/>
      <c r="L507" s="40"/>
      <c r="M507" s="40"/>
      <c r="N507" s="2595"/>
      <c r="O507" s="1667"/>
      <c r="P507" s="1667"/>
      <c r="Q507" s="40"/>
    </row>
    <row r="508" spans="3:17" s="77" customFormat="1">
      <c r="C508" s="40"/>
      <c r="D508" s="40"/>
      <c r="E508" s="40"/>
      <c r="F508" s="40"/>
      <c r="G508" s="1111" t="s">
        <v>2214</v>
      </c>
      <c r="H508" s="40"/>
      <c r="I508" s="40"/>
      <c r="J508" s="40"/>
      <c r="K508" s="40"/>
      <c r="L508" s="40"/>
      <c r="M508" s="40"/>
      <c r="N508" s="2595"/>
      <c r="O508" s="1667"/>
      <c r="P508" s="1667"/>
      <c r="Q508" s="40"/>
    </row>
    <row r="509" spans="3:17" s="77" customFormat="1">
      <c r="C509" s="40"/>
      <c r="D509" s="40"/>
      <c r="E509" s="40"/>
      <c r="F509" s="40"/>
      <c r="G509" s="1111" t="s">
        <v>2215</v>
      </c>
      <c r="H509" s="2595">
        <v>2019</v>
      </c>
      <c r="I509" s="2595" t="s">
        <v>2131</v>
      </c>
      <c r="J509" s="40"/>
      <c r="K509" s="40"/>
      <c r="L509" s="40"/>
      <c r="M509" s="40"/>
      <c r="N509" s="2595"/>
      <c r="O509" s="1667"/>
      <c r="P509" s="1667"/>
      <c r="Q509" s="40"/>
    </row>
    <row r="510" spans="3:17" s="77" customFormat="1">
      <c r="C510" s="40"/>
      <c r="D510" s="40"/>
      <c r="E510" s="40"/>
      <c r="F510" s="40"/>
      <c r="G510" s="1111" t="s">
        <v>2216</v>
      </c>
      <c r="H510" s="2595">
        <v>2020</v>
      </c>
      <c r="I510" s="2595" t="s">
        <v>2131</v>
      </c>
      <c r="J510" s="40"/>
      <c r="K510" s="40"/>
      <c r="L510" s="40"/>
      <c r="M510" s="40"/>
      <c r="N510" s="2595"/>
      <c r="O510" s="1667"/>
      <c r="P510" s="1667"/>
      <c r="Q510" s="40"/>
    </row>
    <row r="511" spans="3:17" s="77" customFormat="1">
      <c r="C511" s="40"/>
      <c r="D511" s="40"/>
      <c r="E511" s="40"/>
      <c r="F511" s="40"/>
      <c r="G511" s="1111" t="s">
        <v>2217</v>
      </c>
      <c r="H511" s="2595">
        <v>2020</v>
      </c>
      <c r="I511" s="2595" t="s">
        <v>2131</v>
      </c>
      <c r="J511" s="40"/>
      <c r="K511" s="40"/>
      <c r="L511" s="40"/>
      <c r="M511" s="40"/>
      <c r="N511" s="2595"/>
      <c r="O511" s="1667"/>
      <c r="P511" s="1667"/>
      <c r="Q511" s="40"/>
    </row>
    <row r="512" spans="3:17" s="77" customFormat="1">
      <c r="C512" s="40"/>
      <c r="D512" s="40"/>
      <c r="E512" s="40"/>
      <c r="F512" s="40"/>
      <c r="G512" s="1111" t="s">
        <v>2218</v>
      </c>
      <c r="H512" s="2595">
        <v>2020</v>
      </c>
      <c r="I512" s="2595" t="s">
        <v>2131</v>
      </c>
      <c r="J512" s="40"/>
      <c r="K512" s="40"/>
      <c r="L512" s="40"/>
      <c r="M512" s="40"/>
      <c r="N512" s="2595"/>
      <c r="O512" s="1667"/>
      <c r="P512" s="1667"/>
      <c r="Q512" s="40"/>
    </row>
    <row r="513" spans="3:17" s="77" customFormat="1">
      <c r="C513" s="40"/>
      <c r="D513" s="40"/>
      <c r="E513" s="40"/>
      <c r="F513" s="40"/>
      <c r="G513" s="1111" t="s">
        <v>2219</v>
      </c>
      <c r="H513" s="2595">
        <v>2019</v>
      </c>
      <c r="I513" s="2595" t="s">
        <v>2131</v>
      </c>
      <c r="J513" s="40"/>
      <c r="K513" s="40"/>
      <c r="L513" s="40"/>
      <c r="M513" s="40"/>
      <c r="N513" s="2595"/>
      <c r="O513" s="1667"/>
      <c r="P513" s="1667"/>
      <c r="Q513" s="40"/>
    </row>
    <row r="514" spans="3:17" s="77" customFormat="1">
      <c r="C514" s="40"/>
      <c r="D514" s="40"/>
      <c r="E514" s="40"/>
      <c r="F514" s="40"/>
      <c r="G514" s="1111" t="s">
        <v>2220</v>
      </c>
      <c r="H514" s="2595">
        <v>2020</v>
      </c>
      <c r="I514" s="2595" t="s">
        <v>2131</v>
      </c>
      <c r="J514" s="40"/>
      <c r="K514" s="40"/>
      <c r="L514" s="40"/>
      <c r="M514" s="40"/>
      <c r="N514" s="2595"/>
      <c r="O514" s="1667"/>
      <c r="P514" s="1667"/>
      <c r="Q514" s="40"/>
    </row>
    <row r="515" spans="3:17" s="77" customFormat="1">
      <c r="C515" s="40"/>
      <c r="D515" s="40"/>
      <c r="E515" s="40"/>
      <c r="F515" s="40"/>
      <c r="G515" s="1111" t="s">
        <v>2221</v>
      </c>
      <c r="H515" s="2595">
        <v>2020</v>
      </c>
      <c r="I515" s="2595" t="s">
        <v>2131</v>
      </c>
      <c r="J515" s="40"/>
      <c r="K515" s="40"/>
      <c r="L515" s="40"/>
      <c r="M515" s="40"/>
      <c r="N515" s="2595"/>
      <c r="O515" s="1667"/>
      <c r="P515" s="1667"/>
      <c r="Q515" s="40"/>
    </row>
    <row r="516" spans="3:17" s="77" customFormat="1">
      <c r="C516" s="40"/>
      <c r="D516" s="40"/>
      <c r="E516" s="40"/>
      <c r="F516" s="40"/>
      <c r="G516" s="1111" t="s">
        <v>2222</v>
      </c>
      <c r="H516" s="2595" t="s">
        <v>2127</v>
      </c>
      <c r="I516" s="1409" t="s">
        <v>1117</v>
      </c>
      <c r="J516" s="40"/>
      <c r="K516" s="40"/>
      <c r="L516" s="40"/>
      <c r="M516" s="40"/>
      <c r="N516" s="2595"/>
      <c r="O516" s="1667"/>
      <c r="P516" s="1667"/>
      <c r="Q516" s="40"/>
    </row>
    <row r="517" spans="3:17" s="77" customFormat="1" ht="30" customHeight="1">
      <c r="C517" s="40"/>
      <c r="D517" s="40"/>
      <c r="E517" s="40"/>
      <c r="F517" s="40"/>
      <c r="G517" s="1111"/>
      <c r="H517" s="40"/>
      <c r="I517" s="40"/>
      <c r="J517" s="40"/>
      <c r="K517" s="40"/>
    </row>
    <row r="518" spans="3:17" s="77" customFormat="1">
      <c r="N518" s="58"/>
      <c r="O518" s="2535"/>
      <c r="P518" s="2535"/>
    </row>
    <row r="519" spans="3:17" s="77" customFormat="1">
      <c r="N519" s="58"/>
      <c r="O519" s="2535"/>
      <c r="P519" s="2535"/>
    </row>
    <row r="520" spans="3:17" s="77" customFormat="1">
      <c r="N520" s="58"/>
      <c r="O520" s="2535"/>
      <c r="P520" s="2535"/>
    </row>
    <row r="521" spans="3:17" s="77" customFormat="1">
      <c r="N521" s="58"/>
      <c r="O521" s="2535"/>
      <c r="P521" s="2535"/>
    </row>
    <row r="522" spans="3:17" s="77" customFormat="1">
      <c r="N522" s="58"/>
      <c r="O522" s="2535"/>
      <c r="P522" s="2535"/>
    </row>
    <row r="523" spans="3:17" s="77" customFormat="1">
      <c r="N523" s="58"/>
      <c r="O523" s="2535"/>
      <c r="P523" s="2535"/>
    </row>
    <row r="524" spans="3:17" s="77" customFormat="1">
      <c r="N524" s="58"/>
      <c r="O524" s="2535"/>
      <c r="P524" s="2535"/>
    </row>
    <row r="525" spans="3:17" s="77" customFormat="1">
      <c r="N525" s="58"/>
      <c r="O525" s="2535"/>
      <c r="P525" s="2535"/>
    </row>
    <row r="526" spans="3:17" s="77" customFormat="1">
      <c r="N526" s="58"/>
      <c r="O526" s="2535"/>
      <c r="P526" s="2535"/>
    </row>
    <row r="527" spans="3:17" s="77" customFormat="1">
      <c r="N527" s="58"/>
      <c r="O527" s="2535"/>
      <c r="P527" s="2535"/>
    </row>
    <row r="528" spans="3:17" s="77" customFormat="1">
      <c r="N528" s="58"/>
      <c r="O528" s="2535"/>
      <c r="P528" s="2535"/>
    </row>
    <row r="529" spans="1:21" s="77" customFormat="1">
      <c r="N529" s="58"/>
      <c r="O529" s="2535"/>
      <c r="P529" s="2535"/>
    </row>
    <row r="530" spans="1:21" s="77" customFormat="1">
      <c r="N530" s="58"/>
      <c r="O530" s="2535"/>
      <c r="P530" s="2535"/>
    </row>
    <row r="531" spans="1:21" s="77" customFormat="1">
      <c r="N531" s="58"/>
      <c r="O531" s="2535"/>
      <c r="P531" s="2535"/>
    </row>
    <row r="532" spans="1:21">
      <c r="A532" s="77"/>
      <c r="B532" s="77"/>
      <c r="C532" s="77"/>
      <c r="D532" s="77"/>
      <c r="E532" s="77"/>
      <c r="F532" s="77"/>
      <c r="G532" s="77"/>
      <c r="H532" s="77"/>
      <c r="I532" s="77"/>
      <c r="J532" s="77"/>
      <c r="K532" s="77"/>
      <c r="L532" s="77"/>
      <c r="M532" s="77"/>
      <c r="N532" s="58"/>
      <c r="O532" s="2535"/>
      <c r="P532" s="2535"/>
      <c r="Q532" s="77"/>
      <c r="R532" s="77"/>
      <c r="S532" s="77"/>
      <c r="T532" s="77"/>
      <c r="U532" s="77"/>
    </row>
    <row r="533" spans="1:21">
      <c r="A533" s="77"/>
      <c r="B533" s="77"/>
      <c r="C533" s="77"/>
      <c r="D533" s="77"/>
      <c r="E533" s="77"/>
      <c r="F533" s="77"/>
      <c r="G533" s="77"/>
      <c r="H533" s="77"/>
      <c r="I533" s="77"/>
      <c r="J533" s="77"/>
      <c r="K533" s="77"/>
      <c r="L533" s="77"/>
      <c r="M533" s="77"/>
      <c r="N533" s="58"/>
      <c r="O533" s="2535"/>
      <c r="P533" s="2535"/>
      <c r="Q533" s="77"/>
      <c r="R533" s="77"/>
      <c r="S533" s="77"/>
      <c r="T533" s="77"/>
      <c r="U533" s="77"/>
    </row>
    <row r="534" spans="1:21">
      <c r="A534" s="77"/>
      <c r="B534" s="77"/>
      <c r="C534" s="77"/>
      <c r="D534" s="77"/>
      <c r="E534" s="77"/>
      <c r="F534" s="77"/>
      <c r="G534" s="77"/>
      <c r="H534" s="77"/>
      <c r="I534" s="77"/>
      <c r="J534" s="77"/>
      <c r="K534" s="77"/>
      <c r="L534" s="77"/>
      <c r="M534" s="77"/>
      <c r="N534" s="58"/>
      <c r="O534" s="2535"/>
      <c r="P534" s="2535"/>
      <c r="Q534" s="77"/>
      <c r="R534" s="77"/>
      <c r="S534" s="77"/>
      <c r="T534" s="77"/>
      <c r="U534" s="77"/>
    </row>
    <row r="535" spans="1:21">
      <c r="A535" s="77"/>
      <c r="B535" s="77"/>
      <c r="C535" s="77"/>
      <c r="D535" s="77"/>
      <c r="E535" s="77"/>
      <c r="F535" s="77"/>
      <c r="G535" s="77"/>
      <c r="H535" s="77"/>
      <c r="I535" s="77"/>
      <c r="J535" s="77"/>
      <c r="K535" s="77"/>
      <c r="L535" s="77"/>
      <c r="M535" s="77"/>
      <c r="N535" s="58"/>
      <c r="O535" s="2535"/>
      <c r="P535" s="2535"/>
      <c r="Q535" s="77"/>
      <c r="R535" s="77"/>
      <c r="S535" s="77"/>
      <c r="T535" s="77"/>
      <c r="U535" s="77"/>
    </row>
    <row r="536" spans="1:21">
      <c r="A536" s="77"/>
      <c r="B536" s="77"/>
      <c r="C536" s="77"/>
      <c r="D536" s="77"/>
      <c r="E536" s="77"/>
      <c r="F536" s="77"/>
      <c r="G536" s="77"/>
      <c r="H536" s="77"/>
      <c r="I536" s="77"/>
      <c r="J536" s="77"/>
      <c r="K536" s="77"/>
      <c r="L536" s="77"/>
      <c r="M536" s="77"/>
      <c r="N536" s="58"/>
      <c r="O536" s="2535"/>
      <c r="P536" s="2535"/>
      <c r="Q536" s="77"/>
      <c r="R536" s="77"/>
      <c r="S536" s="77"/>
      <c r="T536" s="77"/>
      <c r="U536" s="77"/>
    </row>
    <row r="537" spans="1:21">
      <c r="A537" s="77"/>
      <c r="B537" s="77"/>
      <c r="C537" s="77"/>
      <c r="D537" s="77"/>
      <c r="E537" s="77"/>
      <c r="F537" s="77"/>
      <c r="G537" s="77"/>
      <c r="H537" s="77"/>
      <c r="I537" s="77"/>
      <c r="J537" s="77"/>
      <c r="K537" s="77"/>
      <c r="L537" s="77"/>
      <c r="M537" s="77"/>
      <c r="N537" s="58"/>
      <c r="O537" s="2535"/>
      <c r="P537" s="2535"/>
      <c r="Q537" s="77"/>
      <c r="R537" s="77"/>
      <c r="S537" s="77"/>
      <c r="T537" s="77"/>
      <c r="U537" s="77"/>
    </row>
    <row r="538" spans="1:21">
      <c r="A538" s="77"/>
      <c r="B538" s="77"/>
      <c r="C538" s="77"/>
      <c r="D538" s="77"/>
      <c r="E538" s="77"/>
      <c r="F538" s="77"/>
      <c r="G538" s="77"/>
      <c r="H538" s="77"/>
      <c r="I538" s="77"/>
      <c r="J538" s="77"/>
      <c r="K538" s="77"/>
      <c r="L538" s="77"/>
      <c r="M538" s="77"/>
      <c r="N538" s="58"/>
      <c r="O538" s="2535"/>
      <c r="P538" s="2535"/>
      <c r="Q538" s="77"/>
      <c r="R538" s="77"/>
      <c r="S538" s="77"/>
      <c r="T538" s="77"/>
      <c r="U538" s="77"/>
    </row>
    <row r="539" spans="1:21">
      <c r="A539" s="77"/>
      <c r="B539" s="77"/>
      <c r="C539" s="77"/>
      <c r="D539" s="77"/>
      <c r="E539" s="77"/>
      <c r="F539" s="77"/>
      <c r="G539" s="77"/>
      <c r="H539" s="77"/>
      <c r="I539" s="77"/>
      <c r="J539" s="77"/>
      <c r="K539" s="77"/>
      <c r="L539" s="77"/>
      <c r="M539" s="77"/>
      <c r="N539" s="58"/>
      <c r="O539" s="2535"/>
      <c r="P539" s="2535"/>
      <c r="Q539" s="77"/>
      <c r="R539" s="77"/>
      <c r="S539" s="77"/>
      <c r="T539" s="77"/>
      <c r="U539" s="77"/>
    </row>
    <row r="540" spans="1:21">
      <c r="A540" s="77"/>
      <c r="B540" s="77"/>
      <c r="C540" s="77"/>
      <c r="D540" s="77"/>
      <c r="E540" s="77"/>
      <c r="F540" s="77"/>
      <c r="G540" s="77"/>
      <c r="H540" s="77"/>
      <c r="I540" s="77"/>
      <c r="J540" s="77"/>
      <c r="K540" s="77"/>
      <c r="L540" s="77"/>
      <c r="M540" s="77"/>
      <c r="N540" s="58"/>
      <c r="O540" s="2535"/>
      <c r="P540" s="2535"/>
      <c r="Q540" s="77"/>
      <c r="R540" s="77"/>
      <c r="S540" s="77"/>
      <c r="T540" s="77"/>
      <c r="U540" s="77"/>
    </row>
    <row r="541" spans="1:21">
      <c r="A541" s="77"/>
      <c r="B541" s="77"/>
      <c r="C541" s="77"/>
      <c r="D541" s="77"/>
      <c r="E541" s="77"/>
      <c r="F541" s="77"/>
      <c r="G541" s="77"/>
      <c r="H541" s="77"/>
      <c r="I541" s="77"/>
      <c r="J541" s="77"/>
      <c r="K541" s="77"/>
      <c r="L541" s="77"/>
      <c r="M541" s="77"/>
      <c r="N541" s="58"/>
      <c r="O541" s="2535"/>
      <c r="P541" s="2535"/>
      <c r="Q541" s="77"/>
      <c r="R541" s="77"/>
      <c r="S541" s="77"/>
      <c r="T541" s="77"/>
      <c r="U541" s="77"/>
    </row>
    <row r="542" spans="1:21">
      <c r="A542" s="77"/>
      <c r="B542" s="77"/>
      <c r="C542" s="77"/>
      <c r="D542" s="77"/>
      <c r="E542" s="77"/>
      <c r="F542" s="77"/>
      <c r="G542" s="77"/>
      <c r="H542" s="77"/>
      <c r="I542" s="77"/>
      <c r="J542" s="77"/>
      <c r="K542" s="77"/>
      <c r="L542" s="77"/>
      <c r="M542" s="77"/>
      <c r="N542" s="58"/>
      <c r="O542" s="2535"/>
      <c r="P542" s="2535"/>
      <c r="Q542" s="77"/>
      <c r="R542" s="77"/>
      <c r="S542" s="77"/>
      <c r="T542" s="77"/>
      <c r="U542" s="77"/>
    </row>
    <row r="543" spans="1:21">
      <c r="A543" s="77"/>
      <c r="B543" s="77"/>
      <c r="C543" s="77"/>
      <c r="D543" s="77"/>
      <c r="E543" s="77"/>
      <c r="F543" s="77"/>
      <c r="G543" s="77"/>
      <c r="H543" s="77"/>
      <c r="I543" s="77"/>
      <c r="J543" s="77"/>
      <c r="K543" s="77"/>
      <c r="L543" s="77"/>
      <c r="M543" s="77"/>
      <c r="N543" s="58"/>
      <c r="O543" s="2535"/>
      <c r="P543" s="2535"/>
      <c r="Q543" s="77"/>
      <c r="R543" s="77"/>
      <c r="S543" s="77"/>
      <c r="T543" s="77"/>
      <c r="U543" s="77"/>
    </row>
    <row r="544" spans="1:21">
      <c r="A544" s="77"/>
      <c r="B544" s="77"/>
      <c r="C544" s="77"/>
      <c r="D544" s="77"/>
      <c r="E544" s="77"/>
      <c r="F544" s="77"/>
      <c r="G544" s="77"/>
      <c r="H544" s="77"/>
      <c r="I544" s="77"/>
      <c r="J544" s="77"/>
      <c r="K544" s="77"/>
      <c r="L544" s="77"/>
      <c r="M544" s="77"/>
      <c r="N544" s="58"/>
      <c r="O544" s="2535"/>
      <c r="P544" s="2535"/>
      <c r="Q544" s="77"/>
      <c r="R544" s="77"/>
      <c r="S544" s="77"/>
    </row>
    <row r="545" spans="1:19">
      <c r="A545" s="77"/>
      <c r="B545" s="77"/>
      <c r="C545" s="77"/>
      <c r="D545" s="77"/>
      <c r="E545" s="77"/>
      <c r="F545" s="77"/>
      <c r="G545" s="77"/>
      <c r="H545" s="77"/>
      <c r="I545" s="77"/>
      <c r="J545" s="77"/>
      <c r="K545" s="77"/>
      <c r="L545" s="77"/>
      <c r="M545" s="77"/>
      <c r="N545" s="58"/>
      <c r="O545" s="2535"/>
      <c r="P545" s="2535"/>
      <c r="Q545" s="77"/>
      <c r="R545" s="77"/>
      <c r="S545" s="77"/>
    </row>
    <row r="546" spans="1:19">
      <c r="A546" s="77"/>
      <c r="B546" s="77"/>
      <c r="C546" s="77"/>
      <c r="D546" s="77"/>
      <c r="E546" s="77"/>
      <c r="F546" s="77"/>
      <c r="G546" s="77"/>
      <c r="H546" s="77"/>
      <c r="I546" s="77"/>
      <c r="J546" s="77"/>
      <c r="K546" s="77"/>
      <c r="L546" s="77"/>
      <c r="M546" s="77"/>
      <c r="N546" s="58"/>
      <c r="O546" s="2535"/>
      <c r="P546" s="2535"/>
      <c r="Q546" s="77"/>
      <c r="R546" s="77"/>
      <c r="S546" s="77"/>
    </row>
    <row r="547" spans="1:19">
      <c r="A547" s="77"/>
      <c r="B547" s="77"/>
      <c r="C547" s="77"/>
      <c r="D547" s="77"/>
      <c r="E547" s="77"/>
      <c r="F547" s="77"/>
      <c r="G547" s="77"/>
      <c r="H547" s="77"/>
      <c r="I547" s="77"/>
      <c r="J547" s="77"/>
      <c r="K547" s="77"/>
      <c r="L547" s="77"/>
      <c r="M547" s="77"/>
      <c r="N547" s="58"/>
      <c r="O547" s="2535"/>
      <c r="P547" s="2535"/>
      <c r="Q547" s="77"/>
      <c r="R547" s="77"/>
      <c r="S547" s="77"/>
    </row>
    <row r="548" spans="1:19">
      <c r="A548" s="77"/>
      <c r="B548" s="77"/>
      <c r="C548" s="77"/>
      <c r="D548" s="77"/>
      <c r="E548" s="77"/>
      <c r="F548" s="77"/>
      <c r="G548" s="77"/>
      <c r="H548" s="77"/>
      <c r="I548" s="77"/>
      <c r="J548" s="77"/>
      <c r="K548" s="77"/>
      <c r="L548" s="77"/>
      <c r="M548" s="77"/>
      <c r="N548" s="58"/>
      <c r="O548" s="2535"/>
      <c r="P548" s="2535"/>
      <c r="Q548" s="77"/>
      <c r="R548" s="77"/>
      <c r="S548" s="77"/>
    </row>
    <row r="549" spans="1:19">
      <c r="A549" s="77"/>
      <c r="B549" s="77"/>
      <c r="C549" s="77"/>
      <c r="D549" s="77"/>
      <c r="E549" s="77"/>
      <c r="F549" s="77"/>
      <c r="G549" s="77"/>
      <c r="H549" s="77"/>
      <c r="I549" s="77"/>
      <c r="J549" s="77"/>
      <c r="K549" s="77"/>
      <c r="L549" s="77"/>
      <c r="M549" s="77"/>
      <c r="N549" s="58"/>
      <c r="O549" s="2535"/>
      <c r="P549" s="2535"/>
      <c r="Q549" s="77"/>
      <c r="R549" s="77"/>
      <c r="S549" s="77"/>
    </row>
    <row r="550" spans="1:19">
      <c r="A550" s="77"/>
      <c r="B550" s="77"/>
      <c r="C550" s="77"/>
      <c r="D550" s="77"/>
      <c r="E550" s="77"/>
      <c r="F550" s="77"/>
      <c r="G550" s="77"/>
      <c r="H550" s="77"/>
      <c r="I550" s="77"/>
      <c r="J550" s="77"/>
      <c r="K550" s="77"/>
      <c r="L550" s="77"/>
      <c r="M550" s="77"/>
      <c r="N550" s="58"/>
      <c r="O550" s="2535"/>
      <c r="P550" s="2535"/>
      <c r="Q550" s="77"/>
      <c r="R550" s="77"/>
      <c r="S550" s="77"/>
    </row>
    <row r="551" spans="1:19">
      <c r="A551" s="77"/>
      <c r="B551" s="77"/>
      <c r="C551" s="77"/>
      <c r="D551" s="77"/>
      <c r="E551" s="77"/>
      <c r="F551" s="77"/>
      <c r="G551" s="77"/>
      <c r="H551" s="77"/>
      <c r="I551" s="77"/>
      <c r="J551" s="77"/>
      <c r="K551" s="77"/>
      <c r="L551" s="77"/>
      <c r="M551" s="77"/>
      <c r="N551" s="58"/>
      <c r="O551" s="2535"/>
      <c r="P551" s="2535"/>
      <c r="Q551" s="77"/>
      <c r="R551" s="77"/>
      <c r="S551" s="77"/>
    </row>
    <row r="552" spans="1:19">
      <c r="A552" s="77"/>
      <c r="B552" s="77"/>
      <c r="C552" s="77"/>
      <c r="D552" s="77"/>
      <c r="E552" s="77"/>
      <c r="F552" s="77"/>
      <c r="G552" s="77"/>
      <c r="H552" s="77"/>
      <c r="I552" s="77"/>
      <c r="J552" s="77"/>
      <c r="K552" s="77"/>
      <c r="L552" s="77"/>
      <c r="M552" s="77"/>
      <c r="N552" s="58"/>
      <c r="O552" s="2535"/>
      <c r="P552" s="2535"/>
      <c r="Q552" s="77"/>
      <c r="R552" s="77"/>
      <c r="S552" s="77"/>
    </row>
    <row r="553" spans="1:19">
      <c r="A553" s="77"/>
      <c r="B553" s="77"/>
      <c r="C553" s="77"/>
      <c r="D553" s="77"/>
      <c r="E553" s="77"/>
      <c r="F553" s="77"/>
      <c r="G553" s="77"/>
      <c r="H553" s="77"/>
      <c r="I553" s="77"/>
      <c r="J553" s="77"/>
      <c r="K553" s="77"/>
      <c r="L553" s="77"/>
      <c r="M553" s="77"/>
      <c r="N553" s="58"/>
      <c r="O553" s="2535"/>
      <c r="P553" s="2535"/>
      <c r="Q553" s="77"/>
      <c r="R553" s="77"/>
      <c r="S553" s="77"/>
    </row>
    <row r="554" spans="1:19">
      <c r="A554" s="77"/>
      <c r="B554" s="77"/>
      <c r="C554" s="77"/>
      <c r="D554" s="77"/>
      <c r="E554" s="77"/>
      <c r="F554" s="77"/>
      <c r="G554" s="77"/>
      <c r="H554" s="77"/>
      <c r="I554" s="77"/>
      <c r="J554" s="77"/>
      <c r="K554" s="77"/>
      <c r="L554" s="77"/>
      <c r="M554" s="77"/>
      <c r="N554" s="58"/>
      <c r="O554" s="2535"/>
      <c r="P554" s="2535"/>
      <c r="Q554" s="77"/>
      <c r="R554" s="77"/>
      <c r="S554" s="77"/>
    </row>
    <row r="555" spans="1:19">
      <c r="A555" s="77"/>
      <c r="B555" s="77"/>
      <c r="C555" s="77"/>
      <c r="D555" s="77"/>
      <c r="E555" s="77"/>
      <c r="F555" s="77"/>
      <c r="G555" s="77"/>
      <c r="H555" s="77"/>
      <c r="I555" s="77"/>
      <c r="J555" s="77"/>
      <c r="K555" s="77"/>
      <c r="L555" s="77"/>
      <c r="M555" s="77"/>
      <c r="N555" s="58"/>
      <c r="O555" s="2535"/>
      <c r="P555" s="2535"/>
      <c r="Q555" s="77"/>
      <c r="R555" s="77"/>
      <c r="S555" s="77"/>
    </row>
    <row r="556" spans="1:19">
      <c r="A556" s="77"/>
      <c r="B556" s="77"/>
      <c r="C556" s="77"/>
      <c r="D556" s="77"/>
      <c r="E556" s="77"/>
      <c r="F556" s="77"/>
      <c r="G556" s="77"/>
      <c r="H556" s="77"/>
      <c r="I556" s="77"/>
      <c r="J556" s="77"/>
      <c r="K556" s="77"/>
      <c r="L556" s="77"/>
      <c r="M556" s="77"/>
      <c r="N556" s="58"/>
      <c r="O556" s="2535"/>
      <c r="P556" s="2535"/>
      <c r="Q556" s="77"/>
      <c r="R556" s="77"/>
      <c r="S556" s="77"/>
    </row>
    <row r="557" spans="1:19">
      <c r="A557" s="77"/>
      <c r="B557" s="77"/>
      <c r="C557" s="77"/>
      <c r="D557" s="77"/>
      <c r="E557" s="77"/>
      <c r="F557" s="77"/>
      <c r="G557" s="77"/>
      <c r="H557" s="77"/>
      <c r="I557" s="77"/>
      <c r="J557" s="77"/>
      <c r="K557" s="77"/>
      <c r="L557" s="77"/>
      <c r="M557" s="77"/>
      <c r="N557" s="58"/>
      <c r="O557" s="2535"/>
      <c r="P557" s="2535"/>
      <c r="Q557" s="77"/>
      <c r="R557" s="77"/>
      <c r="S557" s="77"/>
    </row>
    <row r="558" spans="1:19">
      <c r="A558" s="77"/>
      <c r="B558" s="77"/>
      <c r="C558" s="77"/>
      <c r="D558" s="77"/>
      <c r="E558" s="77"/>
      <c r="F558" s="77"/>
      <c r="G558" s="77"/>
      <c r="H558" s="77"/>
      <c r="I558" s="77"/>
      <c r="J558" s="77"/>
      <c r="K558" s="77"/>
      <c r="L558" s="77"/>
      <c r="M558" s="77"/>
      <c r="N558" s="58"/>
      <c r="O558" s="2535"/>
      <c r="P558" s="2535"/>
      <c r="Q558" s="77"/>
      <c r="R558" s="77"/>
      <c r="S558" s="77"/>
    </row>
    <row r="559" spans="1:19">
      <c r="A559" s="77"/>
      <c r="B559" s="77"/>
      <c r="C559" s="77"/>
      <c r="D559" s="77"/>
      <c r="E559" s="77"/>
      <c r="F559" s="77"/>
      <c r="G559" s="77"/>
      <c r="H559" s="77"/>
      <c r="I559" s="77"/>
      <c r="J559" s="77"/>
      <c r="K559" s="77"/>
      <c r="L559" s="77"/>
      <c r="M559" s="77"/>
      <c r="N559" s="58"/>
      <c r="O559" s="2535"/>
      <c r="P559" s="2535"/>
      <c r="Q559" s="77"/>
      <c r="R559" s="77"/>
      <c r="S559" s="77"/>
    </row>
    <row r="560" spans="1:19">
      <c r="A560" s="77"/>
      <c r="B560" s="77"/>
      <c r="C560" s="77"/>
      <c r="D560" s="77"/>
      <c r="E560" s="77"/>
      <c r="F560" s="77"/>
      <c r="G560" s="77"/>
      <c r="H560" s="77"/>
      <c r="I560" s="77"/>
      <c r="J560" s="77"/>
      <c r="K560" s="77"/>
      <c r="L560" s="77"/>
      <c r="M560" s="77"/>
      <c r="N560" s="58"/>
      <c r="O560" s="2535"/>
      <c r="P560" s="2535"/>
      <c r="Q560" s="77"/>
      <c r="R560" s="77"/>
      <c r="S560" s="77"/>
    </row>
    <row r="561" spans="1:19">
      <c r="A561" s="77"/>
      <c r="B561" s="77"/>
      <c r="C561" s="77"/>
      <c r="D561" s="77"/>
      <c r="E561" s="77"/>
      <c r="F561" s="77"/>
      <c r="G561" s="77"/>
      <c r="H561" s="77"/>
      <c r="I561" s="77"/>
      <c r="J561" s="77"/>
      <c r="K561" s="77"/>
      <c r="L561" s="77"/>
      <c r="M561" s="77"/>
      <c r="N561" s="58"/>
      <c r="O561" s="2535"/>
      <c r="P561" s="2535"/>
      <c r="Q561" s="77"/>
      <c r="R561" s="77"/>
      <c r="S561" s="77"/>
    </row>
    <row r="562" spans="1:19">
      <c r="A562" s="77"/>
      <c r="B562" s="77"/>
      <c r="C562" s="77"/>
      <c r="D562" s="77"/>
      <c r="E562" s="77"/>
      <c r="F562" s="77"/>
      <c r="G562" s="77"/>
      <c r="H562" s="77"/>
      <c r="I562" s="77"/>
      <c r="J562" s="77"/>
      <c r="K562" s="77"/>
      <c r="L562" s="77"/>
      <c r="M562" s="77"/>
      <c r="N562" s="58"/>
      <c r="O562" s="2535"/>
      <c r="P562" s="2535"/>
      <c r="Q562" s="77"/>
      <c r="R562" s="77"/>
      <c r="S562" s="77"/>
    </row>
    <row r="563" spans="1:19">
      <c r="A563" s="77"/>
      <c r="B563" s="77"/>
      <c r="C563" s="77"/>
      <c r="D563" s="77"/>
      <c r="E563" s="77"/>
      <c r="F563" s="77"/>
      <c r="G563" s="77"/>
      <c r="H563" s="77"/>
      <c r="I563" s="77"/>
      <c r="J563" s="77"/>
      <c r="K563" s="77"/>
      <c r="L563" s="77"/>
      <c r="M563" s="77"/>
      <c r="N563" s="58"/>
      <c r="O563" s="2535"/>
      <c r="P563" s="2535"/>
      <c r="Q563" s="77"/>
      <c r="R563" s="77"/>
      <c r="S563" s="77"/>
    </row>
    <row r="564" spans="1:19">
      <c r="A564" s="77"/>
      <c r="B564" s="77"/>
      <c r="C564" s="77"/>
      <c r="D564" s="77"/>
      <c r="E564" s="77"/>
      <c r="F564" s="77"/>
      <c r="G564" s="77"/>
      <c r="H564" s="77"/>
      <c r="I564" s="77"/>
      <c r="J564" s="77"/>
      <c r="K564" s="77"/>
      <c r="L564" s="77"/>
      <c r="M564" s="77"/>
      <c r="N564" s="58"/>
      <c r="O564" s="2535"/>
      <c r="P564" s="2535"/>
      <c r="Q564" s="77"/>
      <c r="R564" s="77"/>
      <c r="S564" s="77"/>
    </row>
    <row r="565" spans="1:19">
      <c r="A565" s="77"/>
      <c r="B565" s="77"/>
      <c r="C565" s="77"/>
      <c r="D565" s="77"/>
      <c r="E565" s="77"/>
      <c r="F565" s="77"/>
      <c r="G565" s="77"/>
      <c r="H565" s="77"/>
      <c r="I565" s="77"/>
      <c r="J565" s="77"/>
      <c r="K565" s="77"/>
      <c r="L565" s="77"/>
      <c r="M565" s="77"/>
      <c r="N565" s="58"/>
      <c r="O565" s="2535"/>
      <c r="P565" s="2535"/>
      <c r="Q565" s="77"/>
      <c r="R565" s="77"/>
      <c r="S565" s="77"/>
    </row>
    <row r="566" spans="1:19">
      <c r="A566" s="77"/>
      <c r="B566" s="77"/>
      <c r="C566" s="77"/>
      <c r="D566" s="77"/>
      <c r="E566" s="77"/>
      <c r="F566" s="77"/>
      <c r="G566" s="77"/>
      <c r="H566" s="77"/>
      <c r="I566" s="77"/>
      <c r="J566" s="77"/>
      <c r="K566" s="77"/>
      <c r="L566" s="77"/>
      <c r="M566" s="77"/>
      <c r="N566" s="58"/>
      <c r="O566" s="2535"/>
      <c r="P566" s="2535"/>
      <c r="Q566" s="77"/>
      <c r="R566" s="77"/>
      <c r="S566" s="77"/>
    </row>
    <row r="567" spans="1:19">
      <c r="A567" s="77"/>
      <c r="B567" s="77"/>
      <c r="C567" s="77"/>
      <c r="D567" s="77"/>
      <c r="E567" s="77"/>
      <c r="F567" s="77"/>
      <c r="G567" s="77"/>
      <c r="H567" s="77"/>
      <c r="I567" s="77"/>
      <c r="J567" s="77"/>
      <c r="K567" s="77"/>
      <c r="L567" s="77"/>
      <c r="M567" s="77"/>
      <c r="N567" s="58"/>
      <c r="O567" s="2535"/>
      <c r="P567" s="2535"/>
      <c r="Q567" s="77"/>
      <c r="R567" s="77"/>
      <c r="S567" s="77"/>
    </row>
    <row r="568" spans="1:19">
      <c r="A568" s="77"/>
      <c r="B568" s="77"/>
      <c r="C568" s="77"/>
      <c r="D568" s="77"/>
      <c r="E568" s="77"/>
      <c r="F568" s="77"/>
      <c r="G568" s="77"/>
      <c r="H568" s="77"/>
      <c r="I568" s="77"/>
      <c r="J568" s="77"/>
      <c r="K568" s="77"/>
      <c r="L568" s="77"/>
      <c r="M568" s="77"/>
      <c r="N568" s="58"/>
      <c r="O568" s="2535"/>
      <c r="P568" s="2535"/>
      <c r="Q568" s="77"/>
      <c r="R568" s="77"/>
      <c r="S568" s="77"/>
    </row>
    <row r="569" spans="1:19">
      <c r="A569" s="77"/>
      <c r="B569" s="77"/>
      <c r="C569" s="77"/>
      <c r="D569" s="77"/>
      <c r="E569" s="77"/>
      <c r="F569" s="77"/>
      <c r="G569" s="77"/>
      <c r="H569" s="77"/>
      <c r="I569" s="77"/>
      <c r="J569" s="77"/>
      <c r="K569" s="77"/>
      <c r="L569" s="77"/>
      <c r="M569" s="77"/>
      <c r="N569" s="58"/>
      <c r="O569" s="2535"/>
      <c r="P569" s="2535"/>
      <c r="Q569" s="77"/>
      <c r="R569" s="77"/>
      <c r="S569" s="77"/>
    </row>
    <row r="570" spans="1:19">
      <c r="A570" s="77"/>
      <c r="B570" s="77"/>
      <c r="C570" s="77"/>
      <c r="D570" s="77"/>
      <c r="E570" s="77"/>
      <c r="F570" s="77"/>
      <c r="G570" s="77"/>
      <c r="H570" s="77"/>
      <c r="I570" s="77"/>
      <c r="J570" s="77"/>
      <c r="K570" s="77"/>
      <c r="L570" s="77"/>
      <c r="M570" s="77"/>
      <c r="N570" s="58"/>
      <c r="O570" s="2535"/>
      <c r="P570" s="2535"/>
      <c r="Q570" s="77"/>
      <c r="R570" s="77"/>
      <c r="S570" s="77"/>
    </row>
    <row r="571" spans="1:19">
      <c r="A571" s="77"/>
      <c r="B571" s="77"/>
      <c r="C571" s="77"/>
      <c r="D571" s="77"/>
      <c r="E571" s="77"/>
      <c r="F571" s="77"/>
      <c r="G571" s="77"/>
      <c r="H571" s="77"/>
      <c r="I571" s="77"/>
      <c r="J571" s="77"/>
      <c r="K571" s="77"/>
      <c r="L571" s="77"/>
      <c r="M571" s="77"/>
      <c r="N571" s="58"/>
      <c r="O571" s="2535"/>
      <c r="P571" s="2535"/>
      <c r="Q571" s="77"/>
      <c r="R571" s="77"/>
      <c r="S571" s="77"/>
    </row>
    <row r="572" spans="1:19">
      <c r="A572" s="77"/>
      <c r="B572" s="77"/>
      <c r="C572" s="77"/>
      <c r="D572" s="77"/>
      <c r="E572" s="77"/>
      <c r="F572" s="77"/>
      <c r="G572" s="77"/>
      <c r="H572" s="77"/>
      <c r="I572" s="77"/>
      <c r="J572" s="77"/>
      <c r="K572" s="77"/>
      <c r="L572" s="77"/>
      <c r="M572" s="77"/>
      <c r="N572" s="58"/>
      <c r="O572" s="2535"/>
      <c r="P572" s="2535"/>
      <c r="Q572" s="77"/>
      <c r="R572" s="77"/>
      <c r="S572" s="77"/>
    </row>
    <row r="573" spans="1:19">
      <c r="A573" s="77"/>
      <c r="B573" s="77"/>
      <c r="C573" s="77"/>
      <c r="D573" s="77"/>
      <c r="E573" s="77"/>
      <c r="F573" s="77"/>
      <c r="G573" s="77"/>
      <c r="H573" s="77"/>
      <c r="I573" s="77"/>
      <c r="J573" s="77"/>
      <c r="K573" s="77"/>
      <c r="L573" s="77"/>
      <c r="M573" s="77"/>
      <c r="N573" s="58"/>
      <c r="O573" s="2535"/>
      <c r="P573" s="2535"/>
      <c r="Q573" s="77"/>
      <c r="R573" s="77"/>
      <c r="S573" s="77"/>
    </row>
    <row r="574" spans="1:19">
      <c r="A574" s="77"/>
      <c r="B574" s="77"/>
      <c r="C574" s="77"/>
      <c r="D574" s="77"/>
      <c r="E574" s="77"/>
      <c r="F574" s="77"/>
      <c r="G574" s="77"/>
      <c r="H574" s="77"/>
      <c r="I574" s="77"/>
      <c r="J574" s="77"/>
      <c r="K574" s="77"/>
      <c r="L574" s="77"/>
      <c r="M574" s="77"/>
      <c r="N574" s="58"/>
      <c r="O574" s="2535"/>
      <c r="P574" s="2535"/>
      <c r="Q574" s="77"/>
      <c r="R574" s="77"/>
      <c r="S574" s="77"/>
    </row>
    <row r="575" spans="1:19">
      <c r="A575" s="77"/>
      <c r="B575" s="77"/>
      <c r="C575" s="77"/>
      <c r="D575" s="77"/>
      <c r="E575" s="77"/>
      <c r="F575" s="77"/>
      <c r="G575" s="77"/>
      <c r="H575" s="77"/>
      <c r="I575" s="77"/>
      <c r="J575" s="77"/>
      <c r="K575" s="77"/>
      <c r="L575" s="77"/>
      <c r="M575" s="77"/>
      <c r="N575" s="58"/>
      <c r="O575" s="2535"/>
      <c r="P575" s="2535"/>
      <c r="Q575" s="77"/>
      <c r="R575" s="77"/>
      <c r="S575" s="77"/>
    </row>
    <row r="576" spans="1:19">
      <c r="A576" s="77"/>
      <c r="B576" s="77"/>
      <c r="C576" s="77"/>
      <c r="D576" s="77"/>
      <c r="E576" s="77"/>
      <c r="F576" s="77"/>
      <c r="G576" s="77"/>
      <c r="H576" s="77"/>
      <c r="I576" s="77"/>
      <c r="J576" s="77"/>
      <c r="K576" s="77"/>
      <c r="L576" s="77"/>
      <c r="M576" s="77"/>
      <c r="N576" s="58"/>
      <c r="O576" s="2535"/>
      <c r="P576" s="2535"/>
      <c r="Q576" s="77"/>
      <c r="R576" s="77"/>
      <c r="S576" s="77"/>
    </row>
    <row r="577" spans="1:19">
      <c r="A577" s="77"/>
      <c r="B577" s="77"/>
      <c r="C577" s="77"/>
      <c r="D577" s="77"/>
      <c r="E577" s="77"/>
      <c r="F577" s="77"/>
      <c r="G577" s="77"/>
      <c r="H577" s="77"/>
      <c r="I577" s="77"/>
      <c r="J577" s="77"/>
      <c r="K577" s="77"/>
      <c r="L577" s="77"/>
      <c r="M577" s="77"/>
      <c r="N577" s="58"/>
      <c r="O577" s="2535"/>
      <c r="P577" s="2535"/>
      <c r="Q577" s="77"/>
      <c r="R577" s="77"/>
      <c r="S577" s="77"/>
    </row>
    <row r="578" spans="1:19">
      <c r="A578" s="77"/>
      <c r="B578" s="77"/>
      <c r="C578" s="77"/>
      <c r="D578" s="77"/>
      <c r="E578" s="77"/>
      <c r="F578" s="77"/>
      <c r="G578" s="77"/>
      <c r="H578" s="77"/>
      <c r="I578" s="77"/>
      <c r="J578" s="77"/>
      <c r="K578" s="77"/>
      <c r="L578" s="77"/>
      <c r="M578" s="77"/>
      <c r="N578" s="58"/>
      <c r="O578" s="2535"/>
      <c r="P578" s="2535"/>
      <c r="Q578" s="77"/>
      <c r="R578" s="77"/>
      <c r="S578" s="77"/>
    </row>
    <row r="579" spans="1:19">
      <c r="A579" s="77"/>
      <c r="B579" s="77"/>
      <c r="C579" s="77"/>
      <c r="D579" s="77"/>
      <c r="E579" s="77"/>
      <c r="F579" s="77"/>
      <c r="G579" s="77"/>
      <c r="H579" s="77"/>
      <c r="I579" s="77"/>
      <c r="J579" s="77"/>
      <c r="K579" s="77"/>
      <c r="L579" s="77"/>
      <c r="M579" s="77"/>
      <c r="N579" s="58"/>
      <c r="O579" s="2535"/>
      <c r="P579" s="2535"/>
      <c r="Q579" s="77"/>
      <c r="R579" s="77"/>
      <c r="S579" s="77"/>
    </row>
    <row r="580" spans="1:19">
      <c r="A580" s="77"/>
      <c r="B580" s="77"/>
      <c r="C580" s="77"/>
      <c r="D580" s="77"/>
      <c r="E580" s="77"/>
      <c r="F580" s="77"/>
      <c r="G580" s="77"/>
      <c r="H580" s="77"/>
      <c r="I580" s="77"/>
      <c r="J580" s="77"/>
      <c r="K580" s="77"/>
      <c r="L580" s="77"/>
      <c r="M580" s="77"/>
      <c r="N580" s="58"/>
      <c r="O580" s="2535"/>
      <c r="P580" s="2535"/>
      <c r="Q580" s="77"/>
      <c r="R580" s="77"/>
      <c r="S580" s="77"/>
    </row>
    <row r="581" spans="1:19">
      <c r="A581" s="77"/>
      <c r="B581" s="77"/>
      <c r="C581" s="77"/>
      <c r="D581" s="77"/>
      <c r="E581" s="77"/>
      <c r="F581" s="77"/>
      <c r="G581" s="77"/>
      <c r="H581" s="77"/>
      <c r="I581" s="77"/>
      <c r="J581" s="77"/>
      <c r="K581" s="77"/>
      <c r="L581" s="77"/>
      <c r="M581" s="77"/>
      <c r="N581" s="58"/>
      <c r="O581" s="2535"/>
      <c r="P581" s="2535"/>
      <c r="Q581" s="77"/>
      <c r="R581" s="77"/>
      <c r="S581" s="77"/>
    </row>
    <row r="582" spans="1:19">
      <c r="A582" s="77"/>
      <c r="B582" s="77"/>
      <c r="C582" s="77"/>
      <c r="D582" s="77"/>
      <c r="E582" s="77"/>
      <c r="F582" s="77"/>
      <c r="G582" s="77"/>
      <c r="H582" s="77"/>
      <c r="I582" s="77"/>
      <c r="J582" s="77"/>
      <c r="K582" s="77"/>
      <c r="L582" s="77"/>
      <c r="M582" s="77"/>
      <c r="N582" s="58"/>
      <c r="O582" s="2535"/>
      <c r="P582" s="2535"/>
      <c r="Q582" s="77"/>
      <c r="R582" s="77"/>
      <c r="S582" s="77"/>
    </row>
    <row r="583" spans="1:19">
      <c r="A583" s="77"/>
      <c r="B583" s="77"/>
      <c r="C583" s="77"/>
      <c r="D583" s="77"/>
      <c r="E583" s="77"/>
      <c r="F583" s="77"/>
      <c r="G583" s="77"/>
      <c r="H583" s="77"/>
      <c r="I583" s="77"/>
      <c r="J583" s="77"/>
      <c r="K583" s="77"/>
      <c r="L583" s="77"/>
      <c r="M583" s="77"/>
      <c r="N583" s="58"/>
      <c r="O583" s="2535"/>
      <c r="P583" s="2535"/>
      <c r="Q583" s="77"/>
      <c r="R583" s="77"/>
      <c r="S583" s="77"/>
    </row>
    <row r="584" spans="1:19">
      <c r="A584" s="77"/>
      <c r="B584" s="77"/>
      <c r="C584" s="77"/>
      <c r="D584" s="77"/>
      <c r="E584" s="77"/>
      <c r="F584" s="77"/>
      <c r="G584" s="77"/>
      <c r="H584" s="77"/>
      <c r="I584" s="77"/>
      <c r="J584" s="77"/>
      <c r="K584" s="77"/>
      <c r="L584" s="77"/>
      <c r="M584" s="77"/>
      <c r="N584" s="58"/>
      <c r="O584" s="2535"/>
      <c r="P584" s="2535"/>
      <c r="Q584" s="77"/>
      <c r="R584" s="77"/>
      <c r="S584" s="77"/>
    </row>
    <row r="585" spans="1:19">
      <c r="A585" s="77"/>
      <c r="B585" s="77"/>
      <c r="C585" s="77"/>
      <c r="D585" s="77"/>
      <c r="E585" s="77"/>
      <c r="F585" s="77"/>
      <c r="G585" s="77"/>
      <c r="H585" s="77"/>
      <c r="I585" s="77"/>
      <c r="J585" s="77"/>
      <c r="K585" s="77"/>
      <c r="L585" s="77"/>
      <c r="M585" s="77"/>
      <c r="N585" s="58"/>
      <c r="O585" s="2535"/>
      <c r="P585" s="2535"/>
      <c r="Q585" s="77"/>
      <c r="R585" s="77"/>
      <c r="S585" s="77"/>
    </row>
    <row r="586" spans="1:19">
      <c r="A586" s="77"/>
      <c r="B586" s="77"/>
      <c r="C586" s="77"/>
      <c r="D586" s="77"/>
      <c r="E586" s="77"/>
      <c r="F586" s="77"/>
      <c r="G586" s="77"/>
      <c r="H586" s="77"/>
      <c r="I586" s="77"/>
      <c r="J586" s="77"/>
      <c r="K586" s="77"/>
      <c r="L586" s="77"/>
      <c r="M586" s="77"/>
      <c r="N586" s="58"/>
      <c r="O586" s="2535"/>
      <c r="P586" s="2535"/>
      <c r="Q586" s="77"/>
      <c r="R586" s="77"/>
      <c r="S586" s="77"/>
    </row>
    <row r="587" spans="1:19">
      <c r="A587" s="77"/>
      <c r="B587" s="77"/>
      <c r="C587" s="77"/>
      <c r="D587" s="77"/>
      <c r="E587" s="77"/>
      <c r="F587" s="77"/>
      <c r="G587" s="77"/>
      <c r="H587" s="77"/>
      <c r="I587" s="77"/>
      <c r="J587" s="77"/>
      <c r="K587" s="77"/>
      <c r="L587" s="77"/>
      <c r="M587" s="77"/>
      <c r="N587" s="58"/>
      <c r="O587" s="2535"/>
      <c r="P587" s="2535"/>
      <c r="Q587" s="77"/>
      <c r="R587" s="77"/>
      <c r="S587" s="77"/>
    </row>
    <row r="588" spans="1:19">
      <c r="A588" s="77"/>
      <c r="B588" s="77"/>
      <c r="C588" s="77"/>
      <c r="D588" s="77"/>
      <c r="E588" s="77"/>
      <c r="F588" s="77"/>
      <c r="G588" s="77"/>
      <c r="H588" s="77"/>
      <c r="I588" s="77"/>
      <c r="J588" s="77"/>
      <c r="K588" s="77"/>
      <c r="L588" s="77"/>
      <c r="M588" s="77"/>
      <c r="N588" s="58"/>
      <c r="O588" s="2535"/>
      <c r="P588" s="2535"/>
      <c r="Q588" s="77"/>
      <c r="R588" s="77"/>
      <c r="S588" s="77"/>
    </row>
    <row r="589" spans="1:19">
      <c r="A589" s="77"/>
      <c r="B589" s="77"/>
      <c r="C589" s="77"/>
      <c r="D589" s="77"/>
      <c r="E589" s="77"/>
      <c r="F589" s="77"/>
      <c r="G589" s="77"/>
      <c r="H589" s="77"/>
      <c r="I589" s="77"/>
      <c r="J589" s="77"/>
      <c r="K589" s="77"/>
      <c r="L589" s="77"/>
      <c r="M589" s="77"/>
      <c r="N589" s="58"/>
      <c r="O589" s="2535"/>
      <c r="P589" s="2535"/>
      <c r="Q589" s="77"/>
      <c r="R589" s="77"/>
      <c r="S589" s="77"/>
    </row>
    <row r="590" spans="1:19">
      <c r="A590" s="77"/>
      <c r="B590" s="77"/>
      <c r="C590" s="77"/>
      <c r="D590" s="77"/>
      <c r="E590" s="77"/>
      <c r="F590" s="77"/>
      <c r="G590" s="77"/>
      <c r="H590" s="77"/>
      <c r="I590" s="77"/>
      <c r="J590" s="77"/>
      <c r="K590" s="77"/>
      <c r="L590" s="77"/>
      <c r="M590" s="77"/>
      <c r="N590" s="58"/>
      <c r="O590" s="2535"/>
      <c r="P590" s="2535"/>
      <c r="Q590" s="77"/>
      <c r="R590" s="77"/>
      <c r="S590" s="77"/>
    </row>
    <row r="591" spans="1:19">
      <c r="A591" s="77"/>
      <c r="B591" s="77"/>
      <c r="C591" s="77"/>
      <c r="D591" s="77"/>
      <c r="E591" s="77"/>
      <c r="F591" s="77"/>
      <c r="G591" s="77"/>
      <c r="H591" s="77"/>
      <c r="I591" s="77"/>
      <c r="J591" s="77"/>
      <c r="K591" s="77"/>
      <c r="L591" s="77"/>
      <c r="M591" s="77"/>
      <c r="N591" s="58"/>
      <c r="O591" s="2535"/>
      <c r="P591" s="2535"/>
      <c r="Q591" s="77"/>
      <c r="R591" s="77"/>
      <c r="S591" s="77"/>
    </row>
    <row r="592" spans="1:19">
      <c r="A592" s="77"/>
      <c r="B592" s="77"/>
      <c r="C592" s="77"/>
      <c r="D592" s="77"/>
      <c r="E592" s="77"/>
      <c r="F592" s="77"/>
      <c r="G592" s="77"/>
      <c r="H592" s="77"/>
      <c r="I592" s="77"/>
      <c r="J592" s="77"/>
      <c r="K592" s="77"/>
      <c r="L592" s="77"/>
      <c r="M592" s="77"/>
      <c r="N592" s="58"/>
      <c r="O592" s="2535"/>
      <c r="P592" s="2535"/>
      <c r="Q592" s="77"/>
      <c r="R592" s="77"/>
      <c r="S592" s="77"/>
    </row>
    <row r="593" spans="1:19">
      <c r="A593" s="77"/>
      <c r="B593" s="77"/>
      <c r="C593" s="77"/>
      <c r="D593" s="77"/>
      <c r="E593" s="77"/>
      <c r="F593" s="77"/>
      <c r="G593" s="77"/>
      <c r="H593" s="77"/>
      <c r="I593" s="77"/>
      <c r="J593" s="77"/>
      <c r="K593" s="77"/>
      <c r="L593" s="77"/>
      <c r="M593" s="77"/>
      <c r="N593" s="58"/>
      <c r="O593" s="2535"/>
      <c r="P593" s="2535"/>
      <c r="Q593" s="77"/>
      <c r="R593" s="77"/>
      <c r="S593" s="77"/>
    </row>
    <row r="594" spans="1:19">
      <c r="A594" s="77"/>
      <c r="B594" s="77"/>
      <c r="C594" s="77"/>
      <c r="D594" s="77"/>
      <c r="E594" s="77"/>
      <c r="F594" s="77"/>
      <c r="G594" s="77"/>
      <c r="H594" s="77"/>
      <c r="I594" s="77"/>
      <c r="J594" s="77"/>
      <c r="K594" s="77"/>
      <c r="L594" s="77"/>
      <c r="M594" s="77"/>
      <c r="N594" s="58"/>
      <c r="O594" s="2535"/>
      <c r="P594" s="2535"/>
      <c r="Q594" s="77"/>
      <c r="R594" s="77"/>
      <c r="S594" s="77"/>
    </row>
    <row r="595" spans="1:19">
      <c r="A595" s="77"/>
      <c r="B595" s="77"/>
      <c r="C595" s="77"/>
      <c r="D595" s="77"/>
      <c r="E595" s="77"/>
      <c r="F595" s="77"/>
      <c r="G595" s="77"/>
      <c r="H595" s="77"/>
      <c r="I595" s="77"/>
      <c r="J595" s="77"/>
      <c r="K595" s="77"/>
      <c r="L595" s="77"/>
      <c r="M595" s="77"/>
      <c r="N595" s="58"/>
      <c r="O595" s="2535"/>
      <c r="P595" s="2535"/>
      <c r="Q595" s="77"/>
      <c r="R595" s="77"/>
      <c r="S595" s="77"/>
    </row>
    <row r="596" spans="1:19">
      <c r="A596" s="77"/>
      <c r="B596" s="77"/>
      <c r="C596" s="77"/>
      <c r="D596" s="77"/>
      <c r="E596" s="77"/>
      <c r="F596" s="77"/>
      <c r="G596" s="77"/>
      <c r="H596" s="77"/>
      <c r="I596" s="77"/>
      <c r="J596" s="77"/>
      <c r="K596" s="77"/>
      <c r="L596" s="77"/>
      <c r="M596" s="77"/>
      <c r="N596" s="58"/>
      <c r="O596" s="2535"/>
      <c r="P596" s="2535"/>
      <c r="Q596" s="77"/>
      <c r="R596" s="77"/>
      <c r="S596" s="77"/>
    </row>
    <row r="597" spans="1:19">
      <c r="A597" s="77"/>
      <c r="B597" s="77"/>
      <c r="C597" s="77"/>
      <c r="D597" s="77"/>
      <c r="E597" s="77"/>
      <c r="F597" s="77"/>
      <c r="G597" s="77"/>
      <c r="H597" s="77"/>
      <c r="I597" s="77"/>
      <c r="J597" s="77"/>
      <c r="K597" s="77"/>
      <c r="L597" s="77"/>
      <c r="M597" s="77"/>
      <c r="N597" s="58"/>
      <c r="O597" s="2535"/>
      <c r="P597" s="2535"/>
      <c r="Q597" s="77"/>
      <c r="R597" s="77"/>
      <c r="S597" s="77"/>
    </row>
    <row r="598" spans="1:19">
      <c r="A598" s="77"/>
      <c r="B598" s="77"/>
      <c r="C598" s="77"/>
      <c r="D598" s="77"/>
      <c r="E598" s="77"/>
      <c r="F598" s="77"/>
      <c r="G598" s="77"/>
      <c r="H598" s="77"/>
      <c r="I598" s="77"/>
      <c r="J598" s="77"/>
      <c r="K598" s="77"/>
      <c r="L598" s="77"/>
      <c r="M598" s="77"/>
      <c r="N598" s="58"/>
      <c r="O598" s="2535"/>
      <c r="P598" s="2535"/>
      <c r="Q598" s="77"/>
      <c r="R598" s="77"/>
      <c r="S598" s="77"/>
    </row>
    <row r="599" spans="1:19">
      <c r="A599" s="77"/>
      <c r="B599" s="77"/>
      <c r="C599" s="77"/>
      <c r="D599" s="77"/>
      <c r="E599" s="77"/>
      <c r="F599" s="77"/>
      <c r="G599" s="77"/>
      <c r="H599" s="77"/>
      <c r="I599" s="77"/>
      <c r="J599" s="77"/>
      <c r="K599" s="77"/>
      <c r="L599" s="77"/>
      <c r="M599" s="77"/>
      <c r="N599" s="58"/>
      <c r="O599" s="2535"/>
      <c r="P599" s="2535"/>
      <c r="Q599" s="77"/>
      <c r="R599" s="77"/>
      <c r="S599" s="77"/>
    </row>
    <row r="600" spans="1:19">
      <c r="A600" s="77"/>
      <c r="B600" s="77"/>
      <c r="C600" s="77"/>
      <c r="D600" s="77"/>
      <c r="E600" s="77"/>
      <c r="F600" s="77"/>
      <c r="G600" s="77"/>
      <c r="H600" s="77"/>
      <c r="I600" s="77"/>
      <c r="J600" s="77"/>
      <c r="K600" s="77"/>
      <c r="L600" s="77"/>
      <c r="M600" s="77"/>
      <c r="N600" s="58"/>
      <c r="O600" s="2535"/>
      <c r="P600" s="2535"/>
      <c r="Q600" s="77"/>
      <c r="R600" s="77"/>
      <c r="S600" s="77"/>
    </row>
    <row r="601" spans="1:19">
      <c r="A601" s="77"/>
      <c r="B601" s="77"/>
      <c r="C601" s="77"/>
      <c r="D601" s="77"/>
      <c r="E601" s="77"/>
      <c r="F601" s="77"/>
      <c r="G601" s="77"/>
      <c r="H601" s="77"/>
      <c r="I601" s="77"/>
      <c r="J601" s="77"/>
      <c r="K601" s="77"/>
      <c r="L601" s="77"/>
      <c r="M601" s="77"/>
      <c r="N601" s="58"/>
      <c r="O601" s="2535"/>
      <c r="P601" s="2535"/>
      <c r="Q601" s="77"/>
      <c r="R601" s="77"/>
      <c r="S601" s="77"/>
    </row>
    <row r="602" spans="1:19">
      <c r="A602" s="77"/>
      <c r="B602" s="77"/>
      <c r="C602" s="77"/>
      <c r="D602" s="77"/>
      <c r="E602" s="77"/>
      <c r="F602" s="77"/>
      <c r="G602" s="77"/>
      <c r="H602" s="77"/>
      <c r="I602" s="77"/>
      <c r="J602" s="77"/>
      <c r="K602" s="77"/>
      <c r="L602" s="77"/>
      <c r="M602" s="77"/>
      <c r="N602" s="58"/>
      <c r="O602" s="2535"/>
      <c r="P602" s="2535"/>
      <c r="Q602" s="77"/>
      <c r="R602" s="77"/>
      <c r="S602" s="77"/>
    </row>
    <row r="603" spans="1:19">
      <c r="A603" s="77"/>
      <c r="B603" s="77"/>
      <c r="C603" s="77"/>
      <c r="D603" s="77"/>
      <c r="E603" s="77"/>
      <c r="F603" s="77"/>
      <c r="G603" s="77"/>
      <c r="H603" s="77"/>
      <c r="I603" s="77"/>
      <c r="J603" s="77"/>
      <c r="K603" s="77"/>
      <c r="L603" s="77"/>
      <c r="M603" s="77"/>
      <c r="N603" s="58"/>
      <c r="O603" s="2535"/>
      <c r="P603" s="2535"/>
      <c r="Q603" s="77"/>
      <c r="R603" s="77"/>
      <c r="S603" s="77"/>
    </row>
    <row r="604" spans="1:19">
      <c r="A604" s="77"/>
      <c r="B604" s="77"/>
      <c r="C604" s="77"/>
      <c r="D604" s="77"/>
      <c r="E604" s="77"/>
      <c r="F604" s="77"/>
      <c r="G604" s="77"/>
      <c r="H604" s="77"/>
      <c r="I604" s="77"/>
      <c r="J604" s="77"/>
      <c r="K604" s="77"/>
      <c r="L604" s="77"/>
      <c r="M604" s="77"/>
      <c r="N604" s="58"/>
      <c r="O604" s="2535"/>
      <c r="P604" s="2535"/>
      <c r="Q604" s="77"/>
      <c r="R604" s="77"/>
      <c r="S604" s="77"/>
    </row>
    <row r="605" spans="1:19">
      <c r="A605" s="77"/>
      <c r="B605" s="77"/>
      <c r="C605" s="77"/>
      <c r="D605" s="77"/>
      <c r="E605" s="77"/>
      <c r="F605" s="77"/>
      <c r="G605" s="77"/>
      <c r="H605" s="77"/>
      <c r="I605" s="77"/>
      <c r="J605" s="77"/>
      <c r="K605" s="77"/>
      <c r="L605" s="77"/>
      <c r="M605" s="77"/>
      <c r="N605" s="58"/>
      <c r="O605" s="2535"/>
      <c r="P605" s="2535"/>
      <c r="Q605" s="77"/>
      <c r="R605" s="77"/>
      <c r="S605" s="77"/>
    </row>
    <row r="606" spans="1:19">
      <c r="A606" s="77"/>
      <c r="B606" s="77"/>
      <c r="C606" s="77"/>
      <c r="D606" s="77"/>
      <c r="E606" s="77"/>
      <c r="F606" s="77"/>
      <c r="G606" s="77"/>
      <c r="H606" s="77"/>
      <c r="I606" s="77"/>
      <c r="J606" s="77"/>
      <c r="K606" s="77"/>
      <c r="L606" s="77"/>
      <c r="M606" s="77"/>
      <c r="N606" s="58"/>
      <c r="O606" s="2535"/>
      <c r="P606" s="2535"/>
      <c r="Q606" s="77"/>
      <c r="R606" s="77"/>
      <c r="S606" s="77"/>
    </row>
    <row r="607" spans="1:19">
      <c r="A607" s="77"/>
      <c r="B607" s="77"/>
      <c r="C607" s="77"/>
      <c r="D607" s="77"/>
      <c r="E607" s="77"/>
      <c r="F607" s="77"/>
      <c r="G607" s="77"/>
      <c r="H607" s="77"/>
      <c r="I607" s="77"/>
      <c r="J607" s="77"/>
      <c r="K607" s="77"/>
      <c r="L607" s="77"/>
      <c r="M607" s="77"/>
      <c r="N607" s="58"/>
      <c r="O607" s="2535"/>
      <c r="P607" s="2535"/>
      <c r="Q607" s="77"/>
      <c r="R607" s="77"/>
      <c r="S607" s="77"/>
    </row>
    <row r="608" spans="1:19">
      <c r="A608" s="77"/>
      <c r="B608" s="77"/>
      <c r="C608" s="77"/>
      <c r="D608" s="77"/>
      <c r="E608" s="77"/>
      <c r="F608" s="77"/>
      <c r="G608" s="77"/>
      <c r="H608" s="77"/>
      <c r="I608" s="77"/>
      <c r="J608" s="77"/>
      <c r="K608" s="77"/>
      <c r="L608" s="77"/>
      <c r="M608" s="77"/>
      <c r="N608" s="58"/>
      <c r="O608" s="2535"/>
      <c r="P608" s="2535"/>
      <c r="Q608" s="77"/>
      <c r="R608" s="77"/>
      <c r="S608" s="77"/>
    </row>
    <row r="609" spans="1:19">
      <c r="A609" s="77"/>
      <c r="B609" s="77"/>
      <c r="C609" s="77"/>
      <c r="D609" s="77"/>
      <c r="E609" s="77"/>
      <c r="F609" s="77"/>
      <c r="G609" s="77"/>
      <c r="H609" s="77"/>
      <c r="I609" s="77"/>
      <c r="J609" s="77"/>
      <c r="K609" s="77"/>
      <c r="L609" s="77"/>
      <c r="M609" s="77"/>
      <c r="N609" s="58"/>
      <c r="O609" s="2535"/>
      <c r="P609" s="2535"/>
      <c r="Q609" s="77"/>
      <c r="R609" s="77"/>
      <c r="S609" s="77"/>
    </row>
    <row r="610" spans="1:19">
      <c r="A610" s="77"/>
      <c r="B610" s="77"/>
      <c r="C610" s="77"/>
      <c r="D610" s="77"/>
      <c r="E610" s="77"/>
      <c r="F610" s="77"/>
      <c r="G610" s="77"/>
      <c r="H610" s="77"/>
      <c r="I610" s="77"/>
      <c r="J610" s="77"/>
      <c r="K610" s="77"/>
      <c r="L610" s="77"/>
      <c r="M610" s="77"/>
      <c r="N610" s="58"/>
      <c r="O610" s="2535"/>
      <c r="P610" s="2535"/>
      <c r="Q610" s="77"/>
      <c r="R610" s="77"/>
      <c r="S610" s="77"/>
    </row>
    <row r="611" spans="1:19">
      <c r="A611" s="77"/>
      <c r="B611" s="77"/>
      <c r="C611" s="77"/>
      <c r="D611" s="77"/>
      <c r="E611" s="77"/>
      <c r="F611" s="77"/>
      <c r="G611" s="77"/>
      <c r="H611" s="77"/>
      <c r="I611" s="77"/>
      <c r="J611" s="77"/>
      <c r="K611" s="77"/>
      <c r="L611" s="77"/>
      <c r="M611" s="77"/>
      <c r="N611" s="58"/>
      <c r="O611" s="2535"/>
      <c r="P611" s="2535"/>
      <c r="Q611" s="77"/>
      <c r="R611" s="77"/>
      <c r="S611" s="77"/>
    </row>
    <row r="612" spans="1:19">
      <c r="A612" s="77"/>
      <c r="B612" s="77"/>
      <c r="C612" s="77"/>
      <c r="D612" s="77"/>
      <c r="E612" s="77"/>
      <c r="F612" s="77"/>
      <c r="G612" s="77"/>
      <c r="H612" s="77"/>
      <c r="I612" s="77"/>
      <c r="J612" s="77"/>
      <c r="K612" s="77"/>
      <c r="L612" s="77"/>
      <c r="M612" s="77"/>
      <c r="N612" s="58"/>
      <c r="O612" s="2535"/>
      <c r="P612" s="2535"/>
      <c r="Q612" s="77"/>
      <c r="R612" s="77"/>
      <c r="S612" s="77"/>
    </row>
    <row r="613" spans="1:19">
      <c r="A613" s="77"/>
      <c r="B613" s="77"/>
      <c r="C613" s="77"/>
      <c r="D613" s="77"/>
      <c r="E613" s="77"/>
      <c r="F613" s="77"/>
      <c r="G613" s="77"/>
      <c r="H613" s="77"/>
      <c r="I613" s="77"/>
      <c r="J613" s="77"/>
      <c r="K613" s="77"/>
      <c r="L613" s="77"/>
      <c r="M613" s="77"/>
      <c r="N613" s="58"/>
      <c r="O613" s="2535"/>
      <c r="P613" s="2535"/>
      <c r="Q613" s="77"/>
      <c r="R613" s="77"/>
      <c r="S613" s="77"/>
    </row>
    <row r="614" spans="1:19">
      <c r="A614" s="77"/>
      <c r="B614" s="77"/>
      <c r="C614" s="77"/>
      <c r="D614" s="77"/>
      <c r="E614" s="77"/>
      <c r="F614" s="77"/>
      <c r="G614" s="77"/>
      <c r="H614" s="77"/>
      <c r="I614" s="77"/>
      <c r="J614" s="77"/>
      <c r="K614" s="77"/>
      <c r="L614" s="77"/>
      <c r="M614" s="77"/>
      <c r="N614" s="58"/>
      <c r="O614" s="2535"/>
      <c r="P614" s="2535"/>
      <c r="Q614" s="77"/>
      <c r="R614" s="77"/>
      <c r="S614" s="77"/>
    </row>
    <row r="615" spans="1:19">
      <c r="A615" s="77"/>
      <c r="B615" s="77"/>
      <c r="C615" s="77"/>
      <c r="D615" s="77"/>
      <c r="E615" s="77"/>
      <c r="F615" s="77"/>
      <c r="G615" s="77"/>
      <c r="H615" s="77"/>
      <c r="I615" s="77"/>
      <c r="J615" s="77"/>
      <c r="K615" s="77"/>
      <c r="L615" s="77"/>
      <c r="M615" s="77"/>
      <c r="N615" s="58"/>
      <c r="O615" s="2535"/>
      <c r="P615" s="2535"/>
      <c r="Q615" s="77"/>
      <c r="R615" s="77"/>
      <c r="S615" s="77"/>
    </row>
    <row r="616" spans="1:19">
      <c r="A616" s="77"/>
      <c r="B616" s="77"/>
      <c r="C616" s="77"/>
      <c r="D616" s="77"/>
      <c r="E616" s="77"/>
      <c r="F616" s="77"/>
      <c r="G616" s="77"/>
      <c r="H616" s="77"/>
      <c r="I616" s="77"/>
      <c r="J616" s="77"/>
      <c r="K616" s="77"/>
      <c r="L616" s="77"/>
      <c r="M616" s="77"/>
      <c r="N616" s="58"/>
      <c r="O616" s="2535"/>
      <c r="P616" s="2535"/>
      <c r="Q616" s="77"/>
      <c r="R616" s="77"/>
      <c r="S616" s="77"/>
    </row>
    <row r="617" spans="1:19">
      <c r="A617" s="77"/>
      <c r="B617" s="77"/>
      <c r="C617" s="77"/>
      <c r="D617" s="77"/>
      <c r="E617" s="77"/>
      <c r="F617" s="77"/>
      <c r="G617" s="77"/>
      <c r="H617" s="77"/>
      <c r="I617" s="77"/>
      <c r="J617" s="77"/>
      <c r="K617" s="77"/>
      <c r="L617" s="77"/>
      <c r="M617" s="77"/>
      <c r="N617" s="58"/>
      <c r="O617" s="2535"/>
      <c r="P617" s="2535"/>
      <c r="Q617" s="77"/>
      <c r="R617" s="77"/>
      <c r="S617" s="77"/>
    </row>
    <row r="618" spans="1:19">
      <c r="A618" s="77"/>
      <c r="B618" s="77"/>
      <c r="C618" s="77"/>
      <c r="D618" s="77"/>
      <c r="E618" s="77"/>
      <c r="F618" s="77"/>
      <c r="G618" s="77"/>
      <c r="H618" s="77"/>
      <c r="I618" s="77"/>
      <c r="J618" s="77"/>
      <c r="K618" s="77"/>
      <c r="L618" s="77"/>
      <c r="M618" s="77"/>
      <c r="N618" s="58"/>
      <c r="O618" s="2535"/>
      <c r="P618" s="2535"/>
      <c r="Q618" s="77"/>
      <c r="R618" s="77"/>
      <c r="S618" s="77"/>
    </row>
    <row r="619" spans="1:19">
      <c r="A619" s="77"/>
      <c r="B619" s="77"/>
      <c r="C619" s="77"/>
      <c r="D619" s="77"/>
      <c r="E619" s="77"/>
      <c r="F619" s="77"/>
      <c r="G619" s="77"/>
      <c r="H619" s="77"/>
      <c r="I619" s="77"/>
      <c r="J619" s="77"/>
      <c r="K619" s="77"/>
      <c r="L619" s="77"/>
      <c r="M619" s="77"/>
      <c r="N619" s="58"/>
      <c r="O619" s="2535"/>
      <c r="P619" s="2535"/>
      <c r="Q619" s="77"/>
      <c r="R619" s="77"/>
      <c r="S619" s="77"/>
    </row>
    <row r="620" spans="1:19">
      <c r="A620" s="77"/>
      <c r="B620" s="77"/>
      <c r="C620" s="77"/>
      <c r="D620" s="77"/>
      <c r="E620" s="77"/>
      <c r="F620" s="77"/>
      <c r="G620" s="77"/>
      <c r="H620" s="77"/>
      <c r="I620" s="77"/>
      <c r="J620" s="77"/>
      <c r="K620" s="77"/>
      <c r="L620" s="77"/>
      <c r="M620" s="77"/>
      <c r="N620" s="58"/>
      <c r="O620" s="2535"/>
      <c r="P620" s="2535"/>
      <c r="Q620" s="77"/>
      <c r="R620" s="77"/>
      <c r="S620" s="77"/>
    </row>
    <row r="621" spans="1:19">
      <c r="A621" s="77"/>
      <c r="B621" s="77"/>
      <c r="C621" s="77"/>
      <c r="D621" s="77"/>
      <c r="E621" s="77"/>
      <c r="F621" s="77"/>
      <c r="G621" s="77"/>
      <c r="H621" s="77"/>
      <c r="I621" s="77"/>
      <c r="J621" s="77"/>
      <c r="K621" s="77"/>
      <c r="L621" s="77"/>
      <c r="M621" s="77"/>
      <c r="N621" s="58"/>
      <c r="O621" s="2535"/>
      <c r="P621" s="2535"/>
      <c r="Q621" s="77"/>
      <c r="R621" s="77"/>
      <c r="S621" s="77"/>
    </row>
    <row r="622" spans="1:19">
      <c r="A622" s="77"/>
      <c r="B622" s="77"/>
      <c r="C622" s="77"/>
      <c r="D622" s="77"/>
      <c r="E622" s="77"/>
      <c r="F622" s="77"/>
      <c r="G622" s="77"/>
      <c r="H622" s="77"/>
      <c r="I622" s="77"/>
      <c r="J622" s="77"/>
      <c r="K622" s="77"/>
      <c r="L622" s="77"/>
      <c r="M622" s="77"/>
      <c r="N622" s="58"/>
      <c r="O622" s="2535"/>
      <c r="P622" s="2535"/>
      <c r="Q622" s="77"/>
      <c r="R622" s="77"/>
      <c r="S622" s="77"/>
    </row>
    <row r="623" spans="1:19">
      <c r="A623" s="77"/>
      <c r="B623" s="77"/>
      <c r="C623" s="77"/>
      <c r="D623" s="77"/>
      <c r="E623" s="77"/>
      <c r="F623" s="77"/>
      <c r="G623" s="77"/>
      <c r="H623" s="77"/>
      <c r="I623" s="77"/>
      <c r="J623" s="77"/>
      <c r="K623" s="77"/>
      <c r="L623" s="77"/>
      <c r="M623" s="77"/>
      <c r="N623" s="58"/>
      <c r="O623" s="2535"/>
      <c r="P623" s="2535"/>
      <c r="Q623" s="77"/>
      <c r="R623" s="77"/>
      <c r="S623" s="77"/>
    </row>
    <row r="624" spans="1:19">
      <c r="A624" s="77"/>
      <c r="B624" s="77"/>
      <c r="C624" s="77"/>
      <c r="D624" s="77"/>
      <c r="E624" s="77"/>
      <c r="F624" s="77"/>
      <c r="G624" s="77"/>
      <c r="H624" s="77"/>
      <c r="I624" s="77"/>
      <c r="J624" s="77"/>
      <c r="K624" s="77"/>
      <c r="L624" s="77"/>
      <c r="M624" s="77"/>
      <c r="N624" s="58"/>
      <c r="O624" s="2535"/>
      <c r="P624" s="2535"/>
      <c r="Q624" s="77"/>
      <c r="R624" s="77"/>
      <c r="S624" s="77"/>
    </row>
    <row r="625" spans="1:19">
      <c r="A625" s="77"/>
      <c r="B625" s="77"/>
      <c r="C625" s="77"/>
      <c r="D625" s="77"/>
      <c r="E625" s="77"/>
      <c r="F625" s="77"/>
      <c r="G625" s="77"/>
      <c r="H625" s="77"/>
      <c r="I625" s="77"/>
      <c r="J625" s="77"/>
      <c r="K625" s="77"/>
      <c r="L625" s="77"/>
      <c r="M625" s="77"/>
      <c r="N625" s="58"/>
      <c r="O625" s="2535"/>
      <c r="P625" s="2535"/>
      <c r="Q625" s="77"/>
      <c r="R625" s="77"/>
      <c r="S625" s="77"/>
    </row>
    <row r="626" spans="1:19">
      <c r="A626" s="77"/>
      <c r="B626" s="77"/>
      <c r="C626" s="77"/>
      <c r="D626" s="77"/>
      <c r="E626" s="77"/>
      <c r="F626" s="77"/>
      <c r="G626" s="77"/>
      <c r="H626" s="77"/>
      <c r="I626" s="77"/>
      <c r="J626" s="77"/>
      <c r="K626" s="77"/>
      <c r="L626" s="77"/>
      <c r="M626" s="77"/>
      <c r="N626" s="58"/>
      <c r="O626" s="2535"/>
      <c r="P626" s="2535"/>
      <c r="Q626" s="77"/>
      <c r="R626" s="77"/>
      <c r="S626" s="77"/>
    </row>
    <row r="627" spans="1:19">
      <c r="A627" s="77"/>
      <c r="B627" s="77"/>
      <c r="C627" s="77"/>
      <c r="D627" s="77"/>
      <c r="E627" s="77"/>
      <c r="F627" s="77"/>
      <c r="G627" s="77"/>
      <c r="H627" s="77"/>
      <c r="I627" s="77"/>
      <c r="J627" s="77"/>
      <c r="K627" s="77"/>
      <c r="L627" s="77"/>
      <c r="M627" s="77"/>
      <c r="N627" s="58"/>
      <c r="O627" s="2535"/>
      <c r="P627" s="2535"/>
      <c r="Q627" s="77"/>
      <c r="R627" s="77"/>
      <c r="S627" s="77"/>
    </row>
    <row r="628" spans="1:19">
      <c r="A628" s="77"/>
      <c r="B628" s="77"/>
      <c r="C628" s="77"/>
      <c r="D628" s="77"/>
      <c r="E628" s="77"/>
      <c r="F628" s="77"/>
      <c r="G628" s="77"/>
      <c r="H628" s="77"/>
      <c r="I628" s="77"/>
      <c r="J628" s="77"/>
      <c r="K628" s="77"/>
      <c r="L628" s="77"/>
      <c r="M628" s="77"/>
      <c r="N628" s="58"/>
      <c r="O628" s="2535"/>
      <c r="P628" s="2535"/>
      <c r="Q628" s="77"/>
      <c r="R628" s="77"/>
      <c r="S628" s="77"/>
    </row>
    <row r="629" spans="1:19">
      <c r="A629" s="77"/>
      <c r="B629" s="77"/>
      <c r="C629" s="77"/>
      <c r="D629" s="77"/>
      <c r="E629" s="77"/>
      <c r="F629" s="77"/>
      <c r="G629" s="77"/>
      <c r="H629" s="77"/>
      <c r="I629" s="77"/>
      <c r="J629" s="77"/>
      <c r="K629" s="77"/>
      <c r="L629" s="77"/>
      <c r="M629" s="77"/>
      <c r="N629" s="58"/>
      <c r="O629" s="2535"/>
      <c r="P629" s="2535"/>
      <c r="Q629" s="77"/>
      <c r="R629" s="77"/>
      <c r="S629" s="77"/>
    </row>
    <row r="630" spans="1:19">
      <c r="A630" s="77"/>
      <c r="B630" s="77"/>
      <c r="C630" s="77"/>
      <c r="D630" s="77"/>
      <c r="E630" s="77"/>
      <c r="F630" s="77"/>
      <c r="G630" s="77"/>
      <c r="H630" s="77"/>
      <c r="I630" s="77"/>
      <c r="J630" s="77"/>
      <c r="K630" s="77"/>
      <c r="L630" s="77"/>
      <c r="M630" s="77"/>
      <c r="N630" s="58"/>
      <c r="O630" s="2535"/>
      <c r="P630" s="2535"/>
      <c r="Q630" s="77"/>
      <c r="R630" s="77"/>
      <c r="S630" s="77"/>
    </row>
    <row r="631" spans="1:19">
      <c r="A631" s="77"/>
      <c r="B631" s="77"/>
      <c r="C631" s="77"/>
      <c r="D631" s="77"/>
      <c r="E631" s="77"/>
      <c r="F631" s="77"/>
      <c r="G631" s="77"/>
      <c r="H631" s="77"/>
      <c r="I631" s="77"/>
      <c r="J631" s="77"/>
      <c r="K631" s="77"/>
      <c r="L631" s="77"/>
      <c r="M631" s="77"/>
      <c r="N631" s="58"/>
      <c r="O631" s="2535"/>
      <c r="P631" s="2535"/>
      <c r="Q631" s="77"/>
      <c r="R631" s="77"/>
      <c r="S631" s="77"/>
    </row>
    <row r="632" spans="1:19">
      <c r="A632" s="77"/>
      <c r="B632" s="77"/>
      <c r="C632" s="77"/>
      <c r="D632" s="77"/>
      <c r="E632" s="77"/>
      <c r="F632" s="77"/>
      <c r="G632" s="77"/>
      <c r="H632" s="77"/>
      <c r="I632" s="77"/>
      <c r="J632" s="77"/>
      <c r="K632" s="77"/>
      <c r="L632" s="77"/>
      <c r="M632" s="77"/>
      <c r="N632" s="58"/>
      <c r="O632" s="2535"/>
      <c r="P632" s="2535"/>
      <c r="Q632" s="77"/>
      <c r="R632" s="77"/>
      <c r="S632" s="77"/>
    </row>
    <row r="633" spans="1:19">
      <c r="A633" s="77"/>
      <c r="B633" s="77"/>
      <c r="C633" s="77"/>
      <c r="D633" s="77"/>
      <c r="E633" s="77"/>
      <c r="F633" s="77"/>
      <c r="G633" s="77"/>
      <c r="H633" s="77"/>
      <c r="I633" s="77"/>
      <c r="J633" s="77"/>
      <c r="K633" s="77"/>
      <c r="L633" s="77"/>
      <c r="M633" s="77"/>
      <c r="N633" s="58"/>
      <c r="O633" s="2535"/>
      <c r="P633" s="2535"/>
      <c r="Q633" s="77"/>
      <c r="R633" s="77"/>
      <c r="S633" s="77"/>
    </row>
    <row r="634" spans="1:19">
      <c r="A634" s="77"/>
      <c r="B634" s="77"/>
      <c r="C634" s="77"/>
      <c r="D634" s="77"/>
      <c r="E634" s="77"/>
      <c r="F634" s="77"/>
      <c r="G634" s="77"/>
      <c r="H634" s="77"/>
      <c r="I634" s="77"/>
      <c r="J634" s="77"/>
      <c r="K634" s="77"/>
      <c r="L634" s="77"/>
      <c r="M634" s="77"/>
      <c r="N634" s="58"/>
      <c r="O634" s="2535"/>
      <c r="P634" s="2535"/>
      <c r="Q634" s="77"/>
      <c r="R634" s="77"/>
      <c r="S634" s="77"/>
    </row>
    <row r="635" spans="1:19">
      <c r="A635" s="77"/>
      <c r="B635" s="77"/>
      <c r="C635" s="77"/>
      <c r="D635" s="77"/>
      <c r="E635" s="77"/>
      <c r="F635" s="77"/>
      <c r="G635" s="77"/>
      <c r="H635" s="77"/>
      <c r="I635" s="77"/>
      <c r="J635" s="77"/>
      <c r="K635" s="77"/>
      <c r="L635" s="77"/>
      <c r="M635" s="77"/>
      <c r="N635" s="58"/>
      <c r="O635" s="2535"/>
      <c r="P635" s="2535"/>
      <c r="Q635" s="77"/>
      <c r="R635" s="77"/>
      <c r="S635" s="77"/>
    </row>
    <row r="636" spans="1:19">
      <c r="A636" s="77"/>
      <c r="B636" s="77"/>
      <c r="C636" s="77"/>
      <c r="D636" s="77"/>
      <c r="E636" s="77"/>
      <c r="F636" s="77"/>
      <c r="G636" s="77"/>
      <c r="H636" s="77"/>
      <c r="I636" s="77"/>
      <c r="J636" s="77"/>
      <c r="K636" s="77"/>
      <c r="L636" s="77"/>
      <c r="M636" s="77"/>
      <c r="N636" s="58"/>
      <c r="O636" s="2535"/>
      <c r="P636" s="2535"/>
      <c r="Q636" s="77"/>
      <c r="R636" s="77"/>
      <c r="S636" s="77"/>
    </row>
    <row r="637" spans="1:19">
      <c r="A637" s="77"/>
      <c r="B637" s="77"/>
      <c r="C637" s="77"/>
      <c r="D637" s="77"/>
      <c r="E637" s="77"/>
      <c r="F637" s="77"/>
      <c r="G637" s="77"/>
      <c r="H637" s="77"/>
      <c r="I637" s="77"/>
      <c r="J637" s="77"/>
      <c r="K637" s="77"/>
      <c r="L637" s="77"/>
      <c r="M637" s="77"/>
      <c r="N637" s="58"/>
      <c r="O637" s="2535"/>
      <c r="P637" s="2535"/>
      <c r="Q637" s="77"/>
      <c r="R637" s="77"/>
      <c r="S637" s="77"/>
    </row>
    <row r="638" spans="1:19">
      <c r="A638" s="77"/>
      <c r="B638" s="77"/>
      <c r="C638" s="77"/>
      <c r="D638" s="77"/>
      <c r="E638" s="77"/>
      <c r="F638" s="77"/>
      <c r="G638" s="77"/>
      <c r="H638" s="77"/>
      <c r="I638" s="77"/>
      <c r="J638" s="77"/>
      <c r="K638" s="77"/>
      <c r="L638" s="77"/>
      <c r="M638" s="77"/>
      <c r="N638" s="58"/>
      <c r="O638" s="2535"/>
      <c r="P638" s="2535"/>
      <c r="Q638" s="77"/>
      <c r="R638" s="77"/>
      <c r="S638" s="77"/>
    </row>
    <row r="639" spans="1:19">
      <c r="A639" s="77"/>
      <c r="B639" s="77"/>
      <c r="C639" s="77"/>
      <c r="D639" s="77"/>
      <c r="E639" s="77"/>
      <c r="F639" s="77"/>
      <c r="G639" s="77"/>
      <c r="H639" s="77"/>
      <c r="I639" s="77"/>
      <c r="J639" s="77"/>
      <c r="K639" s="77"/>
      <c r="L639" s="77"/>
      <c r="M639" s="77"/>
      <c r="N639" s="58"/>
      <c r="O639" s="2535"/>
      <c r="P639" s="2535"/>
      <c r="Q639" s="77"/>
      <c r="R639" s="77"/>
      <c r="S639" s="77"/>
    </row>
    <row r="640" spans="1:19">
      <c r="A640" s="77"/>
      <c r="B640" s="77"/>
      <c r="C640" s="77"/>
      <c r="D640" s="77"/>
      <c r="E640" s="77"/>
      <c r="F640" s="77"/>
      <c r="G640" s="77"/>
      <c r="H640" s="77"/>
      <c r="I640" s="77"/>
      <c r="J640" s="77"/>
      <c r="K640" s="77"/>
      <c r="L640" s="77"/>
      <c r="M640" s="77"/>
      <c r="N640" s="58"/>
      <c r="O640" s="2535"/>
      <c r="P640" s="2535"/>
      <c r="Q640" s="77"/>
      <c r="R640" s="77"/>
      <c r="S640" s="77"/>
    </row>
    <row r="641" spans="1:19">
      <c r="A641" s="77"/>
      <c r="B641" s="77"/>
      <c r="C641" s="77"/>
      <c r="D641" s="77"/>
      <c r="E641" s="77"/>
      <c r="F641" s="77"/>
      <c r="G641" s="77"/>
      <c r="H641" s="77"/>
      <c r="I641" s="77"/>
      <c r="J641" s="77"/>
      <c r="K641" s="77"/>
      <c r="L641" s="77"/>
      <c r="M641" s="77"/>
      <c r="N641" s="58"/>
      <c r="O641" s="2535"/>
      <c r="P641" s="2535"/>
      <c r="Q641" s="77"/>
      <c r="R641" s="77"/>
      <c r="S641" s="77"/>
    </row>
    <row r="642" spans="1:19">
      <c r="A642" s="77"/>
      <c r="B642" s="77"/>
      <c r="C642" s="77"/>
      <c r="D642" s="77"/>
      <c r="E642" s="77"/>
      <c r="F642" s="77"/>
      <c r="G642" s="77"/>
      <c r="H642" s="77"/>
      <c r="I642" s="77"/>
      <c r="J642" s="77"/>
      <c r="K642" s="77"/>
      <c r="L642" s="77"/>
      <c r="M642" s="77"/>
      <c r="N642" s="58"/>
      <c r="O642" s="2535"/>
      <c r="P642" s="2535"/>
      <c r="Q642" s="77"/>
      <c r="R642" s="77"/>
      <c r="S642" s="77"/>
    </row>
    <row r="643" spans="1:19">
      <c r="A643" s="77"/>
      <c r="B643" s="77"/>
      <c r="C643" s="77"/>
      <c r="D643" s="77"/>
      <c r="E643" s="77"/>
      <c r="F643" s="77"/>
      <c r="G643" s="77"/>
      <c r="H643" s="77"/>
      <c r="I643" s="77"/>
      <c r="J643" s="77"/>
      <c r="K643" s="77"/>
      <c r="L643" s="77"/>
      <c r="M643" s="77"/>
      <c r="N643" s="58"/>
      <c r="O643" s="2535"/>
      <c r="P643" s="2535"/>
      <c r="Q643" s="77"/>
      <c r="R643" s="77"/>
      <c r="S643" s="77"/>
    </row>
    <row r="644" spans="1:19">
      <c r="A644" s="77"/>
      <c r="B644" s="77"/>
      <c r="C644" s="77"/>
      <c r="D644" s="77"/>
      <c r="E644" s="77"/>
      <c r="F644" s="77"/>
      <c r="G644" s="77"/>
      <c r="H644" s="77"/>
      <c r="I644" s="77"/>
      <c r="J644" s="77"/>
      <c r="K644" s="77"/>
      <c r="L644" s="77"/>
      <c r="M644" s="77"/>
      <c r="N644" s="58"/>
      <c r="O644" s="2535"/>
      <c r="P644" s="2535"/>
      <c r="Q644" s="77"/>
      <c r="R644" s="77"/>
      <c r="S644" s="77"/>
    </row>
    <row r="645" spans="1:19">
      <c r="A645" s="77"/>
      <c r="B645" s="77"/>
      <c r="C645" s="77"/>
      <c r="D645" s="77"/>
      <c r="E645" s="77"/>
      <c r="F645" s="77"/>
      <c r="G645" s="77"/>
      <c r="H645" s="77"/>
      <c r="I645" s="77"/>
      <c r="J645" s="77"/>
      <c r="K645" s="77"/>
      <c r="L645" s="77"/>
      <c r="M645" s="77"/>
      <c r="N645" s="58"/>
      <c r="O645" s="2535"/>
      <c r="P645" s="2535"/>
      <c r="Q645" s="77"/>
      <c r="R645" s="77"/>
      <c r="S645" s="77"/>
    </row>
    <row r="646" spans="1:19">
      <c r="A646" s="77"/>
      <c r="B646" s="77"/>
      <c r="C646" s="77"/>
      <c r="D646" s="77"/>
      <c r="E646" s="77"/>
      <c r="F646" s="77"/>
      <c r="G646" s="77"/>
      <c r="H646" s="77"/>
      <c r="I646" s="77"/>
      <c r="J646" s="77"/>
      <c r="K646" s="77"/>
      <c r="L646" s="77"/>
      <c r="M646" s="77"/>
      <c r="N646" s="58"/>
      <c r="O646" s="2535"/>
      <c r="P646" s="2535"/>
      <c r="Q646" s="77"/>
      <c r="R646" s="77"/>
      <c r="S646" s="77"/>
    </row>
    <row r="647" spans="1:19">
      <c r="A647" s="77"/>
      <c r="B647" s="77"/>
      <c r="C647" s="77"/>
      <c r="D647" s="77"/>
      <c r="E647" s="77"/>
      <c r="F647" s="77"/>
      <c r="G647" s="77"/>
      <c r="H647" s="77"/>
      <c r="I647" s="77"/>
      <c r="J647" s="77"/>
      <c r="K647" s="77"/>
      <c r="L647" s="77"/>
      <c r="M647" s="77"/>
      <c r="N647" s="58"/>
      <c r="O647" s="2535"/>
      <c r="P647" s="2535"/>
      <c r="Q647" s="77"/>
      <c r="R647" s="77"/>
      <c r="S647" s="77"/>
    </row>
    <row r="648" spans="1:19">
      <c r="A648" s="77"/>
      <c r="B648" s="77"/>
      <c r="C648" s="77"/>
      <c r="D648" s="77"/>
      <c r="E648" s="77"/>
      <c r="F648" s="77"/>
      <c r="G648" s="77"/>
      <c r="H648" s="77"/>
      <c r="I648" s="77"/>
      <c r="J648" s="77"/>
      <c r="K648" s="77"/>
      <c r="L648" s="77"/>
      <c r="M648" s="77"/>
      <c r="N648" s="58"/>
      <c r="O648" s="2535"/>
      <c r="P648" s="2535"/>
      <c r="Q648" s="77"/>
      <c r="R648" s="77"/>
      <c r="S648" s="77"/>
    </row>
    <row r="649" spans="1:19">
      <c r="A649" s="77"/>
      <c r="B649" s="77"/>
      <c r="C649" s="77"/>
      <c r="D649" s="77"/>
      <c r="E649" s="77"/>
      <c r="F649" s="77"/>
      <c r="G649" s="77"/>
      <c r="H649" s="77"/>
      <c r="I649" s="77"/>
      <c r="J649" s="77"/>
      <c r="K649" s="77"/>
      <c r="L649" s="77"/>
      <c r="M649" s="77"/>
      <c r="N649" s="58"/>
      <c r="O649" s="2535"/>
      <c r="P649" s="2535"/>
      <c r="Q649" s="77"/>
      <c r="R649" s="77"/>
      <c r="S649" s="77"/>
    </row>
    <row r="650" spans="1:19">
      <c r="A650" s="77"/>
      <c r="B650" s="77"/>
      <c r="C650" s="77"/>
      <c r="D650" s="77"/>
      <c r="E650" s="77"/>
      <c r="F650" s="77"/>
      <c r="G650" s="77"/>
      <c r="H650" s="77"/>
      <c r="I650" s="77"/>
      <c r="J650" s="77"/>
      <c r="K650" s="77"/>
      <c r="L650" s="77"/>
      <c r="M650" s="77"/>
      <c r="N650" s="58"/>
      <c r="O650" s="2535"/>
      <c r="P650" s="77"/>
      <c r="Q650" s="77"/>
      <c r="R650" s="77"/>
      <c r="S650" s="77"/>
    </row>
    <row r="651" spans="1:19">
      <c r="A651" s="77"/>
      <c r="B651" s="77"/>
      <c r="C651" s="77"/>
      <c r="D651" s="77"/>
      <c r="E651" s="77"/>
      <c r="F651" s="77"/>
      <c r="G651" s="77"/>
      <c r="H651" s="77"/>
      <c r="I651" s="77"/>
      <c r="J651" s="77"/>
      <c r="K651" s="77"/>
      <c r="L651" s="77"/>
      <c r="M651" s="77"/>
      <c r="N651" s="58"/>
      <c r="O651" s="2535"/>
      <c r="P651" s="77"/>
      <c r="Q651" s="77"/>
      <c r="R651" s="77"/>
      <c r="S651" s="77"/>
    </row>
    <row r="652" spans="1:19">
      <c r="A652" s="77"/>
      <c r="B652" s="77"/>
      <c r="C652" s="77"/>
      <c r="D652" s="77"/>
      <c r="E652" s="77"/>
      <c r="F652" s="77"/>
      <c r="G652" s="77"/>
      <c r="H652" s="77"/>
      <c r="I652" s="77"/>
      <c r="J652" s="77"/>
      <c r="K652" s="77"/>
      <c r="L652" s="77"/>
      <c r="M652" s="77"/>
      <c r="N652" s="58"/>
      <c r="O652" s="2535"/>
      <c r="P652" s="77"/>
      <c r="Q652" s="77"/>
      <c r="R652" s="77"/>
      <c r="S652" s="77"/>
    </row>
    <row r="653" spans="1:19">
      <c r="A653" s="77"/>
      <c r="B653" s="77"/>
      <c r="C653" s="77"/>
      <c r="D653" s="77"/>
      <c r="E653" s="77"/>
      <c r="F653" s="77"/>
      <c r="G653" s="77"/>
      <c r="H653" s="77"/>
      <c r="I653" s="77"/>
      <c r="J653" s="77"/>
      <c r="K653" s="77"/>
      <c r="L653" s="77"/>
      <c r="M653" s="77"/>
      <c r="N653" s="58"/>
      <c r="O653" s="2535"/>
      <c r="P653" s="77"/>
      <c r="Q653" s="77"/>
      <c r="R653" s="77"/>
      <c r="S653" s="77"/>
    </row>
    <row r="654" spans="1:19">
      <c r="A654" s="77"/>
      <c r="B654" s="77"/>
      <c r="C654" s="77"/>
      <c r="D654" s="77"/>
      <c r="E654" s="77"/>
      <c r="F654" s="77"/>
      <c r="G654" s="77"/>
      <c r="H654" s="77"/>
      <c r="I654" s="77"/>
      <c r="J654" s="77"/>
      <c r="K654" s="77"/>
      <c r="L654" s="77"/>
      <c r="M654" s="77"/>
      <c r="N654" s="58"/>
      <c r="O654" s="2535"/>
      <c r="P654" s="77"/>
      <c r="Q654" s="77"/>
      <c r="R654" s="77"/>
      <c r="S654" s="77"/>
    </row>
    <row r="655" spans="1:19">
      <c r="A655" s="77"/>
      <c r="B655" s="77"/>
      <c r="C655" s="77"/>
      <c r="D655" s="77"/>
      <c r="E655" s="77"/>
      <c r="F655" s="77"/>
      <c r="G655" s="77"/>
      <c r="H655" s="77"/>
      <c r="I655" s="77"/>
      <c r="J655" s="77"/>
      <c r="K655" s="77"/>
      <c r="L655" s="77"/>
      <c r="M655" s="77"/>
      <c r="N655" s="58"/>
      <c r="O655" s="2535"/>
      <c r="P655" s="77"/>
      <c r="Q655" s="77"/>
      <c r="R655" s="77"/>
      <c r="S655" s="77"/>
    </row>
    <row r="656" spans="1:19">
      <c r="A656" s="77"/>
      <c r="B656" s="77"/>
      <c r="C656" s="77"/>
      <c r="D656" s="77"/>
      <c r="E656" s="77"/>
      <c r="F656" s="77"/>
      <c r="G656" s="77"/>
      <c r="H656" s="77"/>
      <c r="I656" s="77"/>
      <c r="J656" s="77"/>
      <c r="K656" s="77"/>
      <c r="L656" s="77"/>
      <c r="M656" s="77"/>
      <c r="N656" s="58"/>
      <c r="O656" s="2535"/>
      <c r="P656" s="77"/>
      <c r="Q656" s="77"/>
      <c r="R656" s="77"/>
      <c r="S656" s="77"/>
    </row>
    <row r="657" spans="1:19">
      <c r="A657" s="77"/>
      <c r="B657" s="77"/>
      <c r="C657" s="77"/>
      <c r="D657" s="77"/>
      <c r="E657" s="77"/>
      <c r="F657" s="77"/>
      <c r="G657" s="77"/>
      <c r="H657" s="77"/>
      <c r="I657" s="77"/>
      <c r="J657" s="77"/>
      <c r="K657" s="77"/>
      <c r="L657" s="77"/>
      <c r="M657" s="77"/>
      <c r="N657" s="58"/>
      <c r="O657" s="2535"/>
      <c r="P657" s="77"/>
      <c r="Q657" s="77"/>
      <c r="R657" s="77"/>
      <c r="S657" s="77"/>
    </row>
    <row r="658" spans="1:19">
      <c r="A658" s="77"/>
      <c r="B658" s="77"/>
      <c r="C658" s="77"/>
      <c r="D658" s="77"/>
      <c r="E658" s="77"/>
      <c r="F658" s="77"/>
      <c r="G658" s="77"/>
      <c r="H658" s="77"/>
      <c r="I658" s="77"/>
      <c r="J658" s="77"/>
      <c r="K658" s="77"/>
      <c r="L658" s="77"/>
      <c r="M658" s="77"/>
      <c r="N658" s="58"/>
      <c r="O658" s="2535"/>
      <c r="P658" s="77"/>
      <c r="Q658" s="77"/>
      <c r="R658" s="77"/>
      <c r="S658" s="77"/>
    </row>
    <row r="659" spans="1:19">
      <c r="A659" s="77"/>
      <c r="B659" s="77"/>
      <c r="C659" s="77"/>
      <c r="D659" s="77"/>
      <c r="E659" s="77"/>
      <c r="F659" s="77"/>
      <c r="G659" s="77"/>
      <c r="H659" s="77"/>
      <c r="I659" s="77"/>
      <c r="J659" s="77"/>
      <c r="K659" s="77"/>
      <c r="L659" s="77"/>
      <c r="M659" s="77"/>
      <c r="N659" s="58"/>
      <c r="O659" s="2535"/>
      <c r="P659" s="77"/>
      <c r="Q659" s="77"/>
      <c r="R659" s="77"/>
      <c r="S659" s="77"/>
    </row>
    <row r="660" spans="1:19">
      <c r="A660" s="77"/>
      <c r="B660" s="77"/>
      <c r="C660" s="77"/>
      <c r="D660" s="77"/>
      <c r="E660" s="77"/>
      <c r="F660" s="77"/>
      <c r="G660" s="77"/>
      <c r="H660" s="77"/>
      <c r="I660" s="77"/>
      <c r="J660" s="77"/>
      <c r="K660" s="77"/>
      <c r="L660" s="77"/>
      <c r="M660" s="77"/>
      <c r="N660" s="58"/>
      <c r="O660" s="2535"/>
      <c r="P660" s="77"/>
      <c r="Q660" s="77"/>
      <c r="R660" s="77"/>
      <c r="S660" s="77"/>
    </row>
    <row r="661" spans="1:19">
      <c r="A661" s="77"/>
      <c r="B661" s="77"/>
      <c r="C661" s="77"/>
      <c r="D661" s="77"/>
      <c r="E661" s="77"/>
      <c r="F661" s="77"/>
      <c r="G661" s="77"/>
      <c r="H661" s="77"/>
      <c r="I661" s="77"/>
      <c r="J661" s="77"/>
      <c r="K661" s="77"/>
      <c r="L661" s="77"/>
      <c r="M661" s="77"/>
      <c r="N661" s="58"/>
      <c r="O661" s="2535"/>
      <c r="P661" s="77"/>
      <c r="Q661" s="77"/>
      <c r="R661" s="77"/>
      <c r="S661" s="77"/>
    </row>
    <row r="662" spans="1:19">
      <c r="A662" s="77"/>
      <c r="B662" s="77"/>
      <c r="C662" s="77"/>
      <c r="D662" s="77"/>
      <c r="E662" s="77"/>
      <c r="F662" s="77"/>
      <c r="G662" s="77"/>
      <c r="H662" s="77"/>
      <c r="I662" s="77"/>
      <c r="J662" s="77"/>
      <c r="K662" s="77"/>
      <c r="L662" s="77"/>
      <c r="M662" s="77"/>
      <c r="N662" s="58"/>
      <c r="O662" s="2535"/>
      <c r="P662" s="77"/>
      <c r="Q662" s="77"/>
      <c r="R662" s="77"/>
      <c r="S662" s="77"/>
    </row>
    <row r="663" spans="1:19">
      <c r="A663" s="77"/>
      <c r="B663" s="77"/>
      <c r="C663" s="77"/>
      <c r="D663" s="77"/>
      <c r="E663" s="77"/>
      <c r="F663" s="77"/>
      <c r="G663" s="77"/>
      <c r="H663" s="77"/>
      <c r="I663" s="77"/>
      <c r="J663" s="77"/>
      <c r="K663" s="77"/>
      <c r="L663" s="77"/>
      <c r="M663" s="77"/>
      <c r="N663" s="58"/>
      <c r="O663" s="2535"/>
      <c r="P663" s="77"/>
      <c r="Q663" s="77"/>
      <c r="R663" s="77"/>
      <c r="S663" s="77"/>
    </row>
    <row r="664" spans="1:19">
      <c r="A664" s="77"/>
      <c r="B664" s="77"/>
      <c r="C664" s="77"/>
      <c r="D664" s="77"/>
      <c r="E664" s="77"/>
      <c r="F664" s="77"/>
      <c r="G664" s="77"/>
      <c r="H664" s="77"/>
      <c r="I664" s="77"/>
      <c r="J664" s="77"/>
      <c r="K664" s="77"/>
      <c r="L664" s="77"/>
      <c r="M664" s="77"/>
      <c r="N664" s="58"/>
      <c r="O664" s="2535"/>
      <c r="P664" s="77"/>
      <c r="Q664" s="77"/>
      <c r="R664" s="77"/>
      <c r="S664" s="77"/>
    </row>
    <row r="665" spans="1:19">
      <c r="A665" s="77"/>
      <c r="B665" s="77"/>
      <c r="C665" s="77"/>
      <c r="D665" s="77"/>
      <c r="E665" s="77"/>
      <c r="F665" s="77"/>
      <c r="G665" s="77"/>
      <c r="H665" s="77"/>
      <c r="I665" s="77"/>
      <c r="J665" s="77"/>
      <c r="K665" s="77"/>
      <c r="L665" s="77"/>
      <c r="M665" s="77"/>
      <c r="N665" s="58"/>
      <c r="O665" s="2535"/>
      <c r="P665"/>
    </row>
    <row r="666" spans="1:19">
      <c r="A666" s="77"/>
      <c r="B666" s="77"/>
      <c r="C666" s="77"/>
      <c r="D666" s="77"/>
      <c r="E666" s="77"/>
      <c r="F666" s="77"/>
      <c r="G666" s="77"/>
      <c r="H666" s="77"/>
      <c r="I666" s="77"/>
      <c r="J666" s="77"/>
      <c r="K666" s="77"/>
      <c r="L666" s="77"/>
      <c r="M666" s="77"/>
      <c r="N666" s="58"/>
      <c r="O666" s="2535"/>
      <c r="P666"/>
    </row>
    <row r="667" spans="1:19">
      <c r="A667" s="77"/>
      <c r="B667" s="77"/>
      <c r="C667" s="77"/>
      <c r="D667" s="77"/>
      <c r="E667" s="77"/>
      <c r="F667" s="77"/>
      <c r="G667" s="77"/>
      <c r="H667" s="77"/>
      <c r="I667" s="77"/>
      <c r="J667" s="77"/>
      <c r="K667" s="77"/>
      <c r="L667" s="77"/>
      <c r="M667" s="77"/>
      <c r="N667" s="58"/>
      <c r="O667" s="2535"/>
      <c r="P667"/>
    </row>
    <row r="668" spans="1:19">
      <c r="A668" s="77"/>
      <c r="B668" s="77"/>
      <c r="C668" s="77"/>
      <c r="D668" s="77"/>
      <c r="E668" s="77"/>
      <c r="F668" s="77"/>
      <c r="G668" s="77"/>
      <c r="H668" s="77"/>
      <c r="I668" s="77"/>
      <c r="J668" s="77"/>
      <c r="K668" s="77"/>
      <c r="L668" s="77"/>
      <c r="M668" s="77"/>
      <c r="N668" s="58"/>
      <c r="O668" s="2535"/>
      <c r="P668"/>
    </row>
    <row r="669" spans="1:19">
      <c r="A669" s="77"/>
      <c r="B669" s="77"/>
      <c r="C669" s="77"/>
      <c r="D669" s="77"/>
      <c r="E669" s="77"/>
      <c r="F669" s="77"/>
      <c r="G669" s="77"/>
      <c r="H669" s="77"/>
      <c r="I669" s="77"/>
      <c r="J669" s="77"/>
      <c r="K669" s="77"/>
      <c r="L669" s="77"/>
      <c r="M669" s="77"/>
      <c r="N669" s="58"/>
      <c r="O669" s="2535"/>
      <c r="P669"/>
    </row>
    <row r="670" spans="1:19">
      <c r="A670" s="77"/>
      <c r="B670" s="77"/>
      <c r="C670" s="77"/>
      <c r="D670" s="77"/>
      <c r="E670" s="77"/>
      <c r="F670" s="77"/>
      <c r="G670" s="77"/>
      <c r="H670" s="77"/>
      <c r="I670" s="77"/>
      <c r="J670" s="77"/>
      <c r="K670" s="77"/>
      <c r="L670" s="77"/>
      <c r="M670" s="77"/>
      <c r="N670" s="58"/>
      <c r="O670" s="2535"/>
      <c r="P670"/>
    </row>
    <row r="671" spans="1:19">
      <c r="A671" s="77"/>
      <c r="B671" s="77"/>
      <c r="C671" s="77"/>
      <c r="D671" s="77"/>
      <c r="E671" s="77"/>
      <c r="F671" s="77"/>
      <c r="G671" s="77"/>
      <c r="H671" s="77"/>
      <c r="I671" s="77"/>
      <c r="J671" s="77"/>
      <c r="K671" s="77"/>
      <c r="L671" s="77"/>
      <c r="M671" s="77"/>
      <c r="N671" s="58"/>
      <c r="O671" s="2535"/>
      <c r="P671"/>
    </row>
    <row r="672" spans="1:19">
      <c r="A672" s="77"/>
      <c r="B672" s="77"/>
      <c r="C672" s="77"/>
      <c r="D672" s="77"/>
      <c r="E672" s="77"/>
      <c r="F672" s="77"/>
      <c r="G672" s="77"/>
      <c r="H672" s="77"/>
      <c r="I672" s="77"/>
      <c r="J672" s="77"/>
      <c r="K672" s="77"/>
      <c r="L672" s="77"/>
      <c r="M672" s="77"/>
      <c r="N672" s="58"/>
      <c r="O672" s="2535"/>
      <c r="P672"/>
    </row>
    <row r="673" spans="1:16">
      <c r="A673" s="77"/>
      <c r="B673" s="77"/>
      <c r="C673" s="77"/>
      <c r="D673" s="77"/>
      <c r="E673" s="77"/>
      <c r="F673" s="77"/>
      <c r="G673" s="77"/>
      <c r="H673" s="77"/>
      <c r="I673" s="77"/>
      <c r="J673" s="77"/>
      <c r="K673" s="77"/>
      <c r="L673" s="77"/>
      <c r="M673" s="77"/>
      <c r="N673" s="58"/>
      <c r="O673" s="2535"/>
      <c r="P673"/>
    </row>
    <row r="674" spans="1:16">
      <c r="A674" s="77"/>
      <c r="B674" s="77"/>
      <c r="C674" s="77"/>
      <c r="D674" s="77"/>
      <c r="E674" s="77"/>
      <c r="F674" s="77"/>
      <c r="G674" s="77"/>
      <c r="H674" s="77"/>
      <c r="I674" s="77"/>
      <c r="J674" s="77"/>
      <c r="K674" s="77"/>
      <c r="L674" s="77"/>
      <c r="M674" s="77"/>
      <c r="N674" s="58"/>
      <c r="O674" s="2535"/>
      <c r="P674"/>
    </row>
    <row r="675" spans="1:16">
      <c r="A675" s="77"/>
      <c r="B675" s="77"/>
      <c r="C675" s="77"/>
      <c r="D675" s="77"/>
      <c r="E675" s="77"/>
      <c r="F675" s="77"/>
      <c r="G675" s="77"/>
      <c r="H675" s="77"/>
      <c r="I675" s="77"/>
      <c r="J675" s="77"/>
      <c r="K675" s="77"/>
      <c r="L675" s="77"/>
      <c r="M675" s="77"/>
      <c r="N675" s="58"/>
      <c r="O675" s="2535"/>
      <c r="P675"/>
    </row>
    <row r="676" spans="1:16">
      <c r="A676" s="77"/>
      <c r="B676" s="77"/>
      <c r="C676" s="77"/>
      <c r="D676" s="77"/>
      <c r="E676" s="77"/>
      <c r="F676" s="77"/>
      <c r="G676" s="77"/>
      <c r="H676" s="77"/>
      <c r="I676" s="77"/>
      <c r="J676" s="77"/>
      <c r="K676" s="77"/>
      <c r="L676" s="77"/>
      <c r="M676" s="77"/>
      <c r="N676" s="58"/>
      <c r="O676" s="2535"/>
      <c r="P676"/>
    </row>
    <row r="677" spans="1:16">
      <c r="A677" s="77"/>
      <c r="B677" s="77"/>
      <c r="C677" s="77"/>
      <c r="D677" s="77"/>
      <c r="E677" s="77"/>
      <c r="F677" s="77"/>
      <c r="G677" s="77"/>
      <c r="H677" s="77"/>
      <c r="I677" s="77"/>
      <c r="J677" s="77"/>
      <c r="K677" s="77"/>
      <c r="L677" s="77"/>
      <c r="M677" s="77"/>
      <c r="N677" s="58"/>
      <c r="O677" s="2535"/>
      <c r="P677"/>
    </row>
    <row r="678" spans="1:16">
      <c r="A678" s="77"/>
      <c r="B678" s="77"/>
      <c r="C678" s="77"/>
      <c r="D678" s="77"/>
      <c r="E678" s="77"/>
      <c r="F678" s="77"/>
      <c r="G678" s="77"/>
      <c r="H678" s="77"/>
      <c r="I678" s="77"/>
      <c r="J678" s="77"/>
      <c r="K678" s="77"/>
      <c r="L678" s="77"/>
      <c r="M678" s="77"/>
      <c r="N678" s="58"/>
      <c r="O678" s="2535"/>
      <c r="P678"/>
    </row>
    <row r="679" spans="1:16">
      <c r="A679" s="77"/>
      <c r="B679" s="77"/>
      <c r="C679" s="77"/>
      <c r="D679" s="77"/>
      <c r="E679" s="77"/>
      <c r="F679" s="77"/>
      <c r="G679" s="77"/>
      <c r="H679" s="77"/>
      <c r="I679" s="77"/>
      <c r="J679" s="77"/>
      <c r="K679" s="77"/>
      <c r="L679" s="77"/>
      <c r="M679" s="77"/>
      <c r="N679" s="58"/>
      <c r="O679" s="2535"/>
      <c r="P679"/>
    </row>
    <row r="680" spans="1:16">
      <c r="A680" s="77"/>
      <c r="B680" s="77"/>
      <c r="C680" s="77"/>
      <c r="D680" s="77"/>
      <c r="E680" s="77"/>
      <c r="F680" s="77"/>
      <c r="G680" s="77"/>
      <c r="H680" s="77"/>
      <c r="I680" s="77"/>
      <c r="J680" s="77"/>
      <c r="K680" s="77"/>
      <c r="L680" s="77"/>
      <c r="M680" s="77"/>
      <c r="N680" s="58"/>
      <c r="O680" s="2535"/>
      <c r="P680"/>
    </row>
    <row r="681" spans="1:16">
      <c r="A681" s="77"/>
      <c r="B681" s="77"/>
      <c r="C681" s="77"/>
      <c r="D681" s="77"/>
      <c r="E681" s="77"/>
      <c r="F681" s="77"/>
      <c r="G681" s="77"/>
      <c r="H681" s="77"/>
      <c r="I681" s="77"/>
      <c r="J681" s="77"/>
      <c r="K681" s="77"/>
      <c r="L681" s="77"/>
      <c r="M681" s="77"/>
      <c r="N681" s="58"/>
      <c r="O681" s="2535"/>
      <c r="P681"/>
    </row>
    <row r="682" spans="1:16">
      <c r="A682" s="77"/>
      <c r="B682" s="77"/>
      <c r="C682" s="77"/>
      <c r="D682" s="77"/>
      <c r="E682" s="77"/>
      <c r="F682" s="77"/>
      <c r="G682" s="77"/>
      <c r="H682" s="77"/>
      <c r="I682" s="77"/>
      <c r="J682" s="77"/>
      <c r="K682" s="77"/>
      <c r="L682" s="77"/>
      <c r="M682" s="77"/>
      <c r="N682" s="58"/>
      <c r="O682" s="2535"/>
      <c r="P682"/>
    </row>
    <row r="683" spans="1:16">
      <c r="A683" s="77"/>
      <c r="B683" s="77"/>
      <c r="C683" s="77"/>
      <c r="D683" s="77"/>
      <c r="E683" s="77"/>
      <c r="F683" s="77"/>
      <c r="G683" s="77"/>
      <c r="H683" s="77"/>
      <c r="I683" s="77"/>
      <c r="J683" s="77"/>
      <c r="K683" s="77"/>
      <c r="L683" s="77"/>
      <c r="M683" s="77"/>
      <c r="N683" s="58"/>
      <c r="O683" s="2535"/>
      <c r="P683"/>
    </row>
    <row r="684" spans="1:16">
      <c r="A684" s="77"/>
      <c r="B684" s="77"/>
      <c r="C684" s="77"/>
      <c r="D684" s="77"/>
      <c r="E684" s="77"/>
      <c r="F684" s="77"/>
      <c r="G684" s="77"/>
      <c r="H684" s="77"/>
      <c r="I684" s="77"/>
      <c r="J684" s="77"/>
      <c r="K684" s="77"/>
      <c r="L684" s="77"/>
      <c r="M684" s="77"/>
      <c r="N684" s="58"/>
      <c r="O684" s="2535"/>
      <c r="P684"/>
    </row>
    <row r="685" spans="1:16">
      <c r="A685" s="77"/>
      <c r="B685" s="77"/>
      <c r="C685" s="77"/>
      <c r="D685" s="77"/>
      <c r="E685" s="77"/>
      <c r="F685" s="77"/>
      <c r="G685" s="77"/>
      <c r="H685" s="77"/>
      <c r="I685" s="77"/>
      <c r="J685" s="77"/>
      <c r="K685" s="77"/>
      <c r="L685" s="77"/>
      <c r="M685" s="77"/>
      <c r="N685" s="58"/>
      <c r="O685" s="2535"/>
      <c r="P685"/>
    </row>
    <row r="686" spans="1:16">
      <c r="A686" s="77"/>
      <c r="B686" s="77"/>
      <c r="C686" s="77"/>
      <c r="D686" s="77"/>
      <c r="E686" s="77"/>
      <c r="F686" s="77"/>
      <c r="G686" s="77"/>
      <c r="H686" s="77"/>
      <c r="I686" s="77"/>
      <c r="J686" s="77"/>
      <c r="K686" s="77"/>
      <c r="L686" s="77"/>
      <c r="M686" s="77"/>
      <c r="N686" s="58"/>
      <c r="O686" s="2535"/>
      <c r="P686"/>
    </row>
    <row r="687" spans="1:16">
      <c r="A687" s="77"/>
      <c r="B687" s="77"/>
      <c r="C687" s="77"/>
      <c r="D687" s="77"/>
      <c r="E687" s="77"/>
      <c r="F687" s="77"/>
      <c r="G687" s="77"/>
      <c r="H687" s="77"/>
      <c r="I687" s="77"/>
      <c r="J687" s="77"/>
      <c r="K687" s="77"/>
      <c r="L687" s="77"/>
      <c r="M687" s="77"/>
      <c r="N687" s="58"/>
      <c r="O687" s="2535"/>
      <c r="P687"/>
    </row>
    <row r="688" spans="1:16">
      <c r="A688" s="77"/>
      <c r="B688" s="77"/>
      <c r="C688" s="77"/>
      <c r="D688" s="77"/>
      <c r="E688" s="77"/>
      <c r="F688" s="77"/>
      <c r="G688" s="77"/>
      <c r="H688" s="77"/>
      <c r="I688" s="77"/>
      <c r="J688" s="77"/>
      <c r="K688" s="77"/>
      <c r="L688" s="77"/>
      <c r="M688" s="77"/>
      <c r="N688" s="58"/>
      <c r="O688" s="2535"/>
      <c r="P688"/>
    </row>
    <row r="689" spans="1:16">
      <c r="A689" s="77"/>
      <c r="B689" s="77"/>
      <c r="C689" s="77"/>
      <c r="D689" s="77"/>
      <c r="E689" s="77"/>
      <c r="F689" s="77"/>
      <c r="G689" s="77"/>
      <c r="H689" s="77"/>
      <c r="I689" s="77"/>
      <c r="J689" s="77"/>
      <c r="K689" s="77"/>
      <c r="L689" s="77"/>
      <c r="M689" s="77"/>
      <c r="N689" s="58"/>
      <c r="O689" s="2535"/>
      <c r="P689"/>
    </row>
    <row r="690" spans="1:16">
      <c r="A690" s="77"/>
      <c r="B690" s="77"/>
      <c r="C690" s="77"/>
      <c r="D690" s="77"/>
      <c r="E690" s="77"/>
      <c r="F690" s="77"/>
      <c r="G690" s="77"/>
      <c r="H690" s="77"/>
      <c r="I690" s="77"/>
      <c r="J690" s="77"/>
      <c r="K690" s="77"/>
      <c r="L690" s="77"/>
      <c r="M690" s="77"/>
      <c r="N690" s="58"/>
      <c r="O690" s="2535"/>
      <c r="P690"/>
    </row>
    <row r="691" spans="1:16">
      <c r="A691" s="77"/>
      <c r="B691" s="77"/>
      <c r="C691" s="77"/>
      <c r="D691" s="77"/>
      <c r="E691" s="77"/>
      <c r="F691" s="77"/>
      <c r="G691" s="77"/>
      <c r="H691" s="77"/>
      <c r="I691" s="77"/>
      <c r="J691" s="77"/>
      <c r="K691" s="77"/>
      <c r="L691" s="77"/>
      <c r="M691" s="77"/>
      <c r="N691" s="58"/>
      <c r="O691" s="2535"/>
      <c r="P691"/>
    </row>
    <row r="692" spans="1:16">
      <c r="A692" s="77"/>
      <c r="B692" s="77"/>
      <c r="C692" s="77"/>
      <c r="D692" s="77"/>
      <c r="E692" s="77"/>
      <c r="F692" s="77"/>
      <c r="G692" s="77"/>
      <c r="H692" s="77"/>
      <c r="I692" s="77"/>
      <c r="J692" s="77"/>
      <c r="K692" s="77"/>
      <c r="L692" s="77"/>
      <c r="M692" s="77"/>
      <c r="N692" s="58"/>
      <c r="O692" s="2535"/>
      <c r="P692"/>
    </row>
    <row r="693" spans="1:16">
      <c r="A693" s="77"/>
      <c r="B693" s="77"/>
      <c r="C693" s="77"/>
      <c r="D693" s="77"/>
      <c r="E693" s="77"/>
      <c r="F693" s="77"/>
      <c r="G693" s="77"/>
      <c r="H693" s="77"/>
      <c r="I693" s="77"/>
      <c r="J693" s="77"/>
      <c r="K693" s="77"/>
      <c r="L693" s="77"/>
      <c r="M693" s="77"/>
      <c r="N693" s="58"/>
      <c r="O693" s="2535"/>
      <c r="P693"/>
    </row>
    <row r="694" spans="1:16">
      <c r="A694" s="77"/>
      <c r="B694" s="77"/>
      <c r="C694" s="77"/>
      <c r="D694" s="77"/>
      <c r="E694" s="77"/>
      <c r="F694" s="77"/>
      <c r="G694" s="77"/>
      <c r="H694" s="77"/>
      <c r="I694" s="77"/>
      <c r="J694" s="77"/>
      <c r="K694" s="77"/>
      <c r="L694" s="77"/>
      <c r="M694" s="77"/>
      <c r="N694" s="58"/>
      <c r="O694" s="2535"/>
      <c r="P694"/>
    </row>
    <row r="695" spans="1:16">
      <c r="A695" s="77"/>
      <c r="B695" s="77"/>
      <c r="C695" s="77"/>
      <c r="D695" s="77"/>
      <c r="E695" s="77"/>
      <c r="F695" s="77"/>
      <c r="G695" s="77"/>
      <c r="H695" s="77"/>
      <c r="I695" s="77"/>
      <c r="J695" s="77"/>
      <c r="K695" s="77"/>
      <c r="L695" s="77"/>
      <c r="M695" s="77"/>
      <c r="N695" s="58"/>
      <c r="O695" s="2535"/>
      <c r="P695"/>
    </row>
    <row r="696" spans="1:16">
      <c r="A696" s="77"/>
      <c r="B696" s="77"/>
      <c r="C696" s="77"/>
      <c r="D696" s="77"/>
      <c r="E696" s="77"/>
      <c r="F696" s="77"/>
      <c r="G696" s="77"/>
      <c r="H696" s="77"/>
      <c r="I696" s="77"/>
      <c r="J696" s="77"/>
      <c r="K696" s="77"/>
      <c r="L696" s="77"/>
      <c r="M696" s="77"/>
      <c r="N696" s="58"/>
      <c r="O696" s="2535"/>
      <c r="P696"/>
    </row>
    <row r="697" spans="1:16">
      <c r="A697" s="77"/>
      <c r="B697" s="77"/>
      <c r="C697" s="77"/>
      <c r="D697" s="77"/>
      <c r="E697" s="77"/>
      <c r="F697" s="77"/>
      <c r="G697" s="77"/>
      <c r="H697" s="77"/>
      <c r="I697" s="77"/>
      <c r="J697" s="77"/>
      <c r="K697" s="77"/>
      <c r="L697" s="77"/>
      <c r="M697" s="77"/>
      <c r="N697" s="58"/>
      <c r="O697" s="2535"/>
      <c r="P697"/>
    </row>
    <row r="698" spans="1:16">
      <c r="A698" s="77"/>
      <c r="B698" s="77"/>
      <c r="C698" s="77"/>
      <c r="D698" s="77"/>
      <c r="E698" s="77"/>
      <c r="F698" s="77"/>
      <c r="G698" s="77"/>
      <c r="H698" s="77"/>
      <c r="I698" s="77"/>
      <c r="J698" s="77"/>
      <c r="K698" s="77"/>
      <c r="L698" s="77"/>
      <c r="M698" s="77"/>
      <c r="N698" s="58"/>
      <c r="O698" s="2535"/>
      <c r="P698"/>
    </row>
    <row r="699" spans="1:16">
      <c r="A699" s="77"/>
      <c r="B699" s="77"/>
      <c r="C699" s="77"/>
      <c r="D699" s="77"/>
      <c r="E699" s="77"/>
      <c r="F699" s="77"/>
      <c r="G699" s="77"/>
      <c r="H699" s="77"/>
      <c r="I699" s="77"/>
      <c r="J699" s="77"/>
      <c r="K699" s="77"/>
      <c r="L699" s="77"/>
      <c r="M699" s="77"/>
      <c r="N699" s="58"/>
      <c r="O699" s="2535"/>
      <c r="P699"/>
    </row>
    <row r="700" spans="1:16">
      <c r="A700" s="77"/>
      <c r="B700" s="77"/>
      <c r="C700" s="77"/>
      <c r="D700" s="77"/>
      <c r="E700" s="77"/>
      <c r="F700" s="77"/>
      <c r="G700" s="77"/>
      <c r="H700" s="77"/>
      <c r="I700" s="77"/>
      <c r="J700" s="77"/>
      <c r="K700" s="77"/>
      <c r="L700" s="77"/>
      <c r="M700" s="77"/>
      <c r="N700" s="58"/>
      <c r="O700" s="2535"/>
      <c r="P700"/>
    </row>
    <row r="701" spans="1:16">
      <c r="A701" s="77"/>
      <c r="B701" s="77"/>
      <c r="C701" s="77"/>
      <c r="D701" s="77"/>
      <c r="E701" s="77"/>
      <c r="F701" s="77"/>
      <c r="G701" s="77"/>
      <c r="H701" s="77"/>
      <c r="I701" s="77"/>
      <c r="J701" s="77"/>
      <c r="K701" s="77"/>
      <c r="L701" s="77"/>
      <c r="M701" s="77"/>
      <c r="N701" s="58"/>
      <c r="O701" s="2535"/>
      <c r="P701"/>
    </row>
    <row r="702" spans="1:16">
      <c r="A702" s="77"/>
      <c r="B702" s="77"/>
      <c r="C702" s="77"/>
      <c r="D702" s="77"/>
      <c r="E702" s="77"/>
      <c r="F702" s="77"/>
      <c r="G702" s="77"/>
      <c r="H702" s="77"/>
      <c r="I702" s="77"/>
      <c r="J702" s="77"/>
      <c r="K702" s="77"/>
      <c r="L702" s="77"/>
      <c r="M702" s="77"/>
      <c r="N702" s="58"/>
      <c r="O702" s="2535"/>
      <c r="P702"/>
    </row>
    <row r="703" spans="1:16">
      <c r="A703" s="77"/>
      <c r="B703" s="77"/>
      <c r="C703" s="77"/>
      <c r="D703" s="77"/>
      <c r="E703" s="77"/>
      <c r="F703" s="77"/>
      <c r="G703" s="77"/>
      <c r="H703" s="77"/>
      <c r="I703" s="77"/>
      <c r="J703" s="77"/>
      <c r="K703" s="77"/>
      <c r="L703" s="77"/>
      <c r="M703" s="77"/>
      <c r="N703" s="58"/>
      <c r="O703" s="2535"/>
      <c r="P703"/>
    </row>
    <row r="704" spans="1:16">
      <c r="A704" s="77"/>
      <c r="B704" s="77"/>
      <c r="C704" s="77"/>
      <c r="D704" s="77"/>
      <c r="E704" s="77"/>
      <c r="F704" s="77"/>
      <c r="G704" s="77"/>
      <c r="H704" s="77"/>
      <c r="I704" s="77"/>
      <c r="J704" s="77"/>
      <c r="K704" s="77"/>
      <c r="L704" s="77"/>
      <c r="M704" s="77"/>
      <c r="N704" s="58"/>
      <c r="O704" s="2535"/>
      <c r="P704"/>
    </row>
    <row r="705" spans="1:16">
      <c r="A705" s="77"/>
      <c r="B705" s="77"/>
      <c r="C705" s="77"/>
      <c r="D705" s="77"/>
      <c r="E705" s="77"/>
      <c r="F705" s="77"/>
      <c r="G705" s="77"/>
      <c r="H705" s="77"/>
      <c r="I705" s="77"/>
      <c r="J705" s="77"/>
      <c r="K705" s="77"/>
      <c r="L705" s="77"/>
      <c r="M705" s="77"/>
      <c r="N705" s="58"/>
      <c r="O705" s="2535"/>
      <c r="P705"/>
    </row>
    <row r="706" spans="1:16">
      <c r="A706" s="77"/>
      <c r="B706" s="77"/>
      <c r="C706" s="77"/>
      <c r="D706" s="77"/>
      <c r="E706" s="77"/>
      <c r="F706" s="77"/>
      <c r="G706" s="77"/>
      <c r="H706" s="77"/>
      <c r="I706" s="77"/>
      <c r="J706" s="77"/>
      <c r="K706" s="77"/>
      <c r="L706" s="77"/>
      <c r="M706" s="77"/>
      <c r="N706" s="58"/>
      <c r="O706" s="2535"/>
      <c r="P706"/>
    </row>
    <row r="707" spans="1:16">
      <c r="A707" s="77"/>
      <c r="B707" s="77"/>
      <c r="C707" s="77"/>
      <c r="D707" s="77"/>
      <c r="E707" s="77"/>
      <c r="F707" s="77"/>
      <c r="G707" s="77"/>
      <c r="H707" s="77"/>
      <c r="I707" s="77"/>
      <c r="J707" s="77"/>
      <c r="K707" s="77"/>
      <c r="L707" s="77"/>
      <c r="M707" s="77"/>
      <c r="N707" s="58"/>
      <c r="O707" s="2535"/>
      <c r="P707"/>
    </row>
    <row r="708" spans="1:16">
      <c r="A708" s="77"/>
      <c r="B708" s="77"/>
      <c r="C708" s="77"/>
      <c r="D708" s="77"/>
      <c r="E708" s="77"/>
      <c r="F708" s="77"/>
      <c r="G708" s="77"/>
      <c r="H708" s="77"/>
      <c r="I708" s="77"/>
      <c r="J708" s="77"/>
      <c r="K708" s="77"/>
      <c r="L708" s="77"/>
      <c r="M708" s="77"/>
      <c r="N708" s="58"/>
      <c r="O708" s="2535"/>
      <c r="P708"/>
    </row>
    <row r="709" spans="1:16">
      <c r="A709" s="77"/>
      <c r="B709" s="77"/>
      <c r="C709" s="77"/>
      <c r="D709" s="77"/>
      <c r="E709" s="77"/>
      <c r="F709" s="77"/>
      <c r="G709" s="77"/>
      <c r="H709" s="77"/>
      <c r="I709" s="77"/>
      <c r="J709" s="77"/>
      <c r="K709" s="77"/>
      <c r="L709" s="77"/>
      <c r="M709" s="77"/>
      <c r="N709" s="58"/>
      <c r="O709" s="2535"/>
      <c r="P709"/>
    </row>
    <row r="710" spans="1:16">
      <c r="A710" s="77"/>
      <c r="B710" s="77"/>
      <c r="C710" s="77"/>
      <c r="D710" s="77"/>
      <c r="E710" s="77"/>
      <c r="F710" s="77"/>
      <c r="G710" s="77"/>
      <c r="H710" s="77"/>
      <c r="I710" s="77"/>
      <c r="J710" s="77"/>
      <c r="K710" s="77"/>
      <c r="L710" s="77"/>
      <c r="M710" s="77"/>
      <c r="N710" s="58"/>
      <c r="O710" s="2535"/>
      <c r="P710"/>
    </row>
    <row r="711" spans="1:16">
      <c r="A711" s="77"/>
      <c r="B711" s="77"/>
      <c r="C711" s="77"/>
      <c r="D711" s="77"/>
      <c r="E711" s="77"/>
      <c r="F711" s="77"/>
      <c r="G711" s="77"/>
      <c r="H711" s="77"/>
      <c r="I711" s="77"/>
      <c r="J711" s="77"/>
      <c r="K711" s="77"/>
      <c r="L711" s="77"/>
      <c r="M711" s="77"/>
      <c r="N711" s="58"/>
      <c r="O711" s="2535"/>
      <c r="P711"/>
    </row>
    <row r="712" spans="1:16">
      <c r="A712" s="77"/>
      <c r="B712" s="77"/>
      <c r="C712" s="77"/>
      <c r="D712" s="77"/>
      <c r="E712" s="77"/>
      <c r="F712" s="77"/>
      <c r="G712" s="77"/>
      <c r="H712" s="77"/>
      <c r="I712" s="77"/>
      <c r="J712" s="77"/>
      <c r="K712" s="77"/>
      <c r="L712" s="77"/>
      <c r="M712" s="77"/>
      <c r="N712" s="58"/>
      <c r="O712" s="2535"/>
      <c r="P712"/>
    </row>
    <row r="713" spans="1:16">
      <c r="A713" s="77"/>
      <c r="B713" s="77"/>
      <c r="C713" s="77"/>
      <c r="D713" s="77"/>
      <c r="E713" s="77"/>
      <c r="F713" s="77"/>
      <c r="G713" s="77"/>
      <c r="H713" s="77"/>
      <c r="I713" s="77"/>
      <c r="J713" s="77"/>
      <c r="K713" s="77"/>
      <c r="L713" s="77"/>
      <c r="M713" s="77"/>
      <c r="N713" s="58"/>
      <c r="O713" s="2535"/>
      <c r="P713"/>
    </row>
    <row r="714" spans="1:16">
      <c r="A714" s="77"/>
      <c r="B714" s="77"/>
      <c r="C714" s="77"/>
      <c r="D714" s="77"/>
      <c r="E714" s="77"/>
      <c r="F714" s="77"/>
      <c r="G714" s="77"/>
      <c r="H714" s="77"/>
      <c r="I714" s="77"/>
      <c r="J714" s="77"/>
      <c r="K714" s="77"/>
      <c r="L714" s="77"/>
      <c r="M714" s="77"/>
      <c r="N714" s="58"/>
      <c r="O714" s="2535"/>
      <c r="P714"/>
    </row>
    <row r="715" spans="1:16">
      <c r="A715" s="77"/>
      <c r="B715" s="77"/>
      <c r="C715" s="77"/>
      <c r="D715" s="77"/>
      <c r="E715" s="77"/>
      <c r="F715" s="77"/>
      <c r="G715" s="77"/>
      <c r="H715" s="77"/>
      <c r="I715" s="77"/>
      <c r="J715" s="77"/>
      <c r="K715" s="77"/>
      <c r="L715" s="77"/>
      <c r="M715" s="77"/>
      <c r="N715" s="58"/>
      <c r="O715" s="2535"/>
      <c r="P715"/>
    </row>
    <row r="716" spans="1:16">
      <c r="A716" s="77"/>
      <c r="B716" s="77"/>
      <c r="C716" s="77"/>
      <c r="D716" s="77"/>
      <c r="E716" s="77"/>
      <c r="F716" s="77"/>
      <c r="G716" s="77"/>
      <c r="H716" s="77"/>
      <c r="I716" s="77"/>
      <c r="J716" s="77"/>
      <c r="K716" s="77"/>
      <c r="L716" s="77"/>
      <c r="M716" s="77"/>
      <c r="N716" s="58"/>
      <c r="O716" s="2535"/>
      <c r="P716"/>
    </row>
    <row r="717" spans="1:16">
      <c r="A717" s="77"/>
      <c r="B717" s="77"/>
      <c r="C717" s="77"/>
      <c r="D717" s="77"/>
      <c r="E717" s="77"/>
      <c r="F717" s="77"/>
      <c r="G717" s="77"/>
      <c r="H717" s="77"/>
      <c r="I717" s="77"/>
      <c r="J717" s="77"/>
      <c r="K717" s="77"/>
      <c r="L717" s="77"/>
      <c r="M717" s="77"/>
      <c r="N717" s="58"/>
      <c r="O717" s="2535"/>
      <c r="P717"/>
    </row>
    <row r="718" spans="1:16">
      <c r="A718" s="77"/>
      <c r="B718" s="77"/>
      <c r="C718" s="77"/>
      <c r="D718" s="77"/>
      <c r="E718" s="77"/>
      <c r="F718" s="77"/>
      <c r="G718" s="77"/>
      <c r="H718" s="77"/>
      <c r="I718" s="77"/>
      <c r="J718" s="77"/>
      <c r="K718" s="77"/>
      <c r="L718" s="77"/>
      <c r="M718" s="77"/>
      <c r="N718" s="58"/>
      <c r="O718" s="2535"/>
      <c r="P718"/>
    </row>
    <row r="719" spans="1:16">
      <c r="A719" s="77"/>
      <c r="B719" s="77"/>
      <c r="C719" s="77"/>
      <c r="D719" s="77"/>
      <c r="E719" s="77"/>
      <c r="F719" s="77"/>
      <c r="G719" s="77"/>
      <c r="H719" s="77"/>
      <c r="I719" s="77"/>
      <c r="J719" s="77"/>
      <c r="K719" s="77"/>
      <c r="L719" s="77"/>
      <c r="M719" s="77"/>
      <c r="N719" s="58"/>
      <c r="O719" s="2535"/>
      <c r="P719"/>
    </row>
    <row r="720" spans="1:16">
      <c r="A720" s="77"/>
      <c r="B720" s="77"/>
      <c r="C720" s="77"/>
      <c r="D720" s="77"/>
      <c r="E720" s="77"/>
      <c r="F720" s="77"/>
      <c r="G720" s="77"/>
      <c r="H720" s="77"/>
      <c r="I720" s="77"/>
      <c r="J720" s="77"/>
      <c r="K720" s="77"/>
      <c r="L720" s="77"/>
      <c r="M720" s="77"/>
      <c r="N720" s="58"/>
      <c r="O720" s="2535"/>
      <c r="P720"/>
    </row>
    <row r="721" spans="1:16">
      <c r="A721" s="77"/>
      <c r="B721" s="77"/>
      <c r="C721" s="77"/>
      <c r="D721" s="77"/>
      <c r="E721" s="77"/>
      <c r="F721" s="77"/>
      <c r="G721" s="77"/>
      <c r="H721" s="77"/>
      <c r="I721" s="77"/>
      <c r="J721" s="77"/>
      <c r="K721" s="77"/>
      <c r="L721" s="77"/>
      <c r="M721" s="77"/>
      <c r="N721" s="58"/>
      <c r="O721" s="2535"/>
      <c r="P721"/>
    </row>
    <row r="722" spans="1:16">
      <c r="A722" s="77"/>
      <c r="B722" s="77"/>
      <c r="C722" s="77"/>
      <c r="D722" s="77"/>
      <c r="E722" s="77"/>
      <c r="F722" s="77"/>
      <c r="G722" s="77"/>
      <c r="H722" s="77"/>
      <c r="I722" s="77"/>
      <c r="J722" s="77"/>
      <c r="K722" s="77"/>
      <c r="L722" s="77"/>
      <c r="M722" s="77"/>
      <c r="N722" s="58"/>
      <c r="O722" s="2535"/>
      <c r="P722"/>
    </row>
    <row r="723" spans="1:16">
      <c r="A723" s="77"/>
      <c r="B723" s="77"/>
      <c r="C723" s="77"/>
      <c r="D723" s="77"/>
      <c r="E723" s="77"/>
      <c r="F723" s="77"/>
      <c r="G723" s="77"/>
      <c r="H723" s="77"/>
      <c r="I723" s="77"/>
      <c r="J723" s="77"/>
      <c r="K723" s="77"/>
      <c r="L723" s="77"/>
      <c r="M723" s="77"/>
      <c r="N723" s="58"/>
      <c r="O723" s="2535"/>
      <c r="P723"/>
    </row>
    <row r="724" spans="1:16">
      <c r="A724" s="77"/>
      <c r="B724" s="77"/>
      <c r="C724" s="77"/>
      <c r="D724" s="77"/>
      <c r="E724" s="77"/>
      <c r="F724" s="77"/>
      <c r="G724" s="77"/>
      <c r="H724" s="77"/>
      <c r="I724" s="77"/>
      <c r="J724" s="77"/>
      <c r="K724" s="77"/>
      <c r="L724" s="77"/>
      <c r="M724" s="77"/>
      <c r="N724" s="58"/>
      <c r="O724" s="2535"/>
      <c r="P724"/>
    </row>
    <row r="725" spans="1:16">
      <c r="A725" s="77"/>
      <c r="B725" s="77"/>
      <c r="C725" s="77"/>
      <c r="D725" s="77"/>
      <c r="E725" s="77"/>
      <c r="F725" s="77"/>
      <c r="G725" s="77"/>
      <c r="H725" s="77"/>
      <c r="I725" s="77"/>
      <c r="J725" s="77"/>
      <c r="K725" s="77"/>
      <c r="L725" s="77"/>
      <c r="M725" s="77"/>
      <c r="N725" s="58"/>
      <c r="O725" s="2535"/>
      <c r="P725"/>
    </row>
    <row r="726" spans="1:16">
      <c r="A726" s="77"/>
      <c r="B726" s="77"/>
      <c r="C726" s="77"/>
      <c r="D726" s="77"/>
      <c r="E726" s="77"/>
      <c r="F726" s="77"/>
      <c r="G726" s="77"/>
      <c r="H726" s="77"/>
      <c r="I726" s="77"/>
      <c r="J726" s="77"/>
      <c r="K726" s="77"/>
      <c r="L726" s="77"/>
      <c r="M726" s="77"/>
      <c r="N726" s="58"/>
      <c r="O726" s="2535"/>
      <c r="P726"/>
    </row>
    <row r="727" spans="1:16">
      <c r="A727" s="77"/>
      <c r="B727" s="77"/>
      <c r="C727" s="77"/>
      <c r="D727" s="77"/>
      <c r="E727" s="77"/>
      <c r="F727" s="77"/>
      <c r="G727" s="77"/>
      <c r="H727" s="77"/>
      <c r="I727" s="77"/>
      <c r="J727" s="77"/>
      <c r="K727" s="77"/>
      <c r="L727" s="77"/>
      <c r="M727" s="77"/>
      <c r="N727" s="58"/>
      <c r="O727" s="2535"/>
      <c r="P727"/>
    </row>
    <row r="728" spans="1:16">
      <c r="A728" s="77"/>
      <c r="B728" s="77"/>
      <c r="C728" s="77"/>
      <c r="D728" s="77"/>
      <c r="E728" s="77"/>
      <c r="F728" s="77"/>
      <c r="G728" s="77"/>
      <c r="H728" s="77"/>
      <c r="I728" s="77"/>
      <c r="J728" s="77"/>
      <c r="K728" s="77"/>
      <c r="L728" s="77"/>
      <c r="M728" s="77"/>
      <c r="N728" s="58"/>
      <c r="O728" s="2535"/>
      <c r="P728"/>
    </row>
    <row r="729" spans="1:16">
      <c r="A729" s="77"/>
      <c r="B729" s="77"/>
      <c r="C729" s="77"/>
      <c r="D729" s="77"/>
      <c r="E729" s="77"/>
      <c r="F729" s="77"/>
      <c r="G729" s="77"/>
      <c r="H729" s="77"/>
      <c r="I729" s="77"/>
      <c r="J729" s="77"/>
      <c r="K729" s="77"/>
      <c r="L729" s="77"/>
      <c r="M729" s="77"/>
      <c r="N729" s="58"/>
      <c r="O729" s="2535"/>
      <c r="P729"/>
    </row>
    <row r="730" spans="1:16">
      <c r="A730" s="77"/>
      <c r="B730" s="77"/>
      <c r="C730" s="77"/>
      <c r="D730" s="77"/>
      <c r="E730" s="77"/>
      <c r="F730" s="77"/>
      <c r="G730" s="77"/>
      <c r="H730" s="77"/>
      <c r="I730" s="77"/>
      <c r="J730" s="77"/>
      <c r="K730" s="77"/>
      <c r="L730" s="77"/>
      <c r="M730" s="77"/>
      <c r="N730" s="58"/>
      <c r="O730" s="2535"/>
      <c r="P730"/>
    </row>
    <row r="731" spans="1:16">
      <c r="A731" s="77"/>
      <c r="B731" s="77"/>
      <c r="C731" s="77"/>
      <c r="D731" s="77"/>
      <c r="E731" s="77"/>
      <c r="F731" s="77"/>
      <c r="G731" s="77"/>
      <c r="H731" s="77"/>
      <c r="I731" s="77"/>
      <c r="J731" s="77"/>
      <c r="K731" s="77"/>
      <c r="L731" s="77"/>
      <c r="M731" s="77"/>
      <c r="N731" s="58"/>
      <c r="O731" s="2535"/>
      <c r="P731"/>
    </row>
    <row r="732" spans="1:16">
      <c r="A732" s="77"/>
      <c r="B732" s="77"/>
      <c r="C732" s="77"/>
      <c r="D732" s="77"/>
      <c r="E732" s="77"/>
      <c r="F732" s="77"/>
      <c r="G732" s="77"/>
      <c r="H732" s="77"/>
      <c r="I732" s="77"/>
      <c r="J732" s="77"/>
      <c r="K732" s="77"/>
      <c r="L732" s="77"/>
      <c r="M732" s="77"/>
      <c r="N732" s="58"/>
      <c r="O732" s="2535"/>
      <c r="P732"/>
    </row>
    <row r="733" spans="1:16">
      <c r="A733" s="77"/>
      <c r="B733" s="77"/>
      <c r="C733" s="77"/>
      <c r="D733" s="77"/>
      <c r="E733" s="77"/>
      <c r="F733" s="77"/>
      <c r="G733" s="77"/>
      <c r="H733" s="77"/>
      <c r="I733" s="77"/>
      <c r="J733" s="77"/>
      <c r="K733" s="77"/>
      <c r="L733" s="77"/>
      <c r="M733" s="77"/>
      <c r="N733" s="58"/>
      <c r="O733" s="2535"/>
      <c r="P733"/>
    </row>
    <row r="734" spans="1:16">
      <c r="A734" s="77"/>
      <c r="B734" s="77"/>
      <c r="C734" s="77"/>
      <c r="D734" s="77"/>
      <c r="E734" s="77"/>
      <c r="F734" s="77"/>
      <c r="G734" s="77"/>
      <c r="H734" s="77"/>
      <c r="I734" s="77"/>
      <c r="J734" s="77"/>
      <c r="K734" s="77"/>
      <c r="L734" s="77"/>
      <c r="M734" s="77"/>
      <c r="N734" s="58"/>
      <c r="O734" s="2535"/>
      <c r="P734"/>
    </row>
    <row r="735" spans="1:16">
      <c r="A735" s="77"/>
      <c r="B735" s="77"/>
      <c r="C735" s="77"/>
      <c r="D735" s="77"/>
      <c r="E735" s="77"/>
      <c r="F735" s="77"/>
      <c r="G735" s="77"/>
      <c r="H735" s="77"/>
      <c r="I735" s="77"/>
      <c r="J735" s="77"/>
      <c r="K735" s="77"/>
      <c r="L735" s="77"/>
      <c r="M735" s="77"/>
      <c r="N735" s="58"/>
      <c r="O735" s="2535"/>
      <c r="P735"/>
    </row>
    <row r="736" spans="1:16">
      <c r="A736" s="77"/>
      <c r="B736" s="77"/>
      <c r="C736" s="77"/>
      <c r="D736" s="77"/>
      <c r="E736" s="77"/>
      <c r="F736" s="77"/>
      <c r="G736" s="77"/>
      <c r="H736" s="77"/>
      <c r="I736" s="77"/>
      <c r="J736" s="77"/>
      <c r="K736" s="77"/>
      <c r="L736" s="77"/>
      <c r="M736" s="77"/>
      <c r="N736" s="58"/>
      <c r="O736" s="2535"/>
      <c r="P736"/>
    </row>
    <row r="737" spans="1:16">
      <c r="A737" s="77"/>
      <c r="B737" s="77"/>
      <c r="C737" s="77"/>
      <c r="D737" s="77"/>
      <c r="E737" s="77"/>
      <c r="F737" s="77"/>
      <c r="G737" s="77"/>
      <c r="H737" s="77"/>
      <c r="I737" s="77"/>
      <c r="J737" s="77"/>
      <c r="K737" s="77"/>
      <c r="L737" s="77"/>
      <c r="M737" s="77"/>
      <c r="N737" s="58"/>
      <c r="O737" s="2535"/>
      <c r="P737"/>
    </row>
    <row r="738" spans="1:16">
      <c r="A738" s="77"/>
      <c r="B738" s="77"/>
      <c r="C738" s="77"/>
      <c r="D738" s="77"/>
      <c r="E738" s="77"/>
      <c r="F738" s="77"/>
      <c r="G738" s="77"/>
      <c r="H738" s="77"/>
      <c r="I738" s="77"/>
      <c r="J738" s="77"/>
      <c r="K738" s="77"/>
      <c r="L738" s="77"/>
      <c r="M738" s="77"/>
      <c r="N738" s="58"/>
      <c r="O738" s="2535"/>
      <c r="P738"/>
    </row>
    <row r="739" spans="1:16">
      <c r="A739" s="77"/>
      <c r="B739" s="77"/>
      <c r="C739" s="77"/>
      <c r="D739" s="77"/>
      <c r="E739" s="77"/>
      <c r="F739" s="77"/>
      <c r="G739" s="77"/>
      <c r="H739" s="77"/>
      <c r="I739" s="77"/>
      <c r="J739" s="77"/>
      <c r="K739" s="77"/>
      <c r="L739" s="77"/>
      <c r="M739" s="77"/>
      <c r="N739" s="58"/>
      <c r="O739" s="2535"/>
      <c r="P739"/>
    </row>
    <row r="740" spans="1:16">
      <c r="A740" s="77"/>
      <c r="B740" s="77"/>
      <c r="C740" s="77"/>
      <c r="D740" s="77"/>
      <c r="E740" s="77"/>
      <c r="F740" s="77"/>
      <c r="G740" s="77"/>
      <c r="H740" s="77"/>
      <c r="I740" s="77"/>
      <c r="J740" s="77"/>
      <c r="K740" s="77"/>
      <c r="L740" s="77"/>
      <c r="M740" s="77"/>
      <c r="N740" s="58"/>
      <c r="O740" s="2535"/>
      <c r="P740"/>
    </row>
    <row r="741" spans="1:16">
      <c r="A741" s="77"/>
      <c r="B741" s="77"/>
      <c r="C741" s="77"/>
      <c r="D741" s="77"/>
      <c r="E741" s="77"/>
      <c r="F741" s="77"/>
      <c r="G741" s="77"/>
      <c r="H741" s="77"/>
      <c r="I741" s="77"/>
      <c r="J741" s="77"/>
      <c r="K741" s="77"/>
      <c r="L741" s="77"/>
      <c r="M741" s="77"/>
      <c r="N741" s="58"/>
      <c r="O741" s="2535"/>
      <c r="P741"/>
    </row>
    <row r="742" spans="1:16">
      <c r="A742" s="77"/>
      <c r="B742" s="77"/>
      <c r="C742" s="77"/>
      <c r="D742" s="77"/>
      <c r="E742" s="77"/>
      <c r="F742" s="77"/>
      <c r="G742" s="77"/>
      <c r="H742" s="77"/>
      <c r="I742" s="77"/>
      <c r="J742" s="77"/>
      <c r="K742" s="77"/>
      <c r="L742" s="77"/>
      <c r="M742" s="77"/>
      <c r="N742" s="58"/>
      <c r="O742" s="2535"/>
      <c r="P742"/>
    </row>
    <row r="743" spans="1:16">
      <c r="A743" s="77"/>
      <c r="B743" s="77"/>
      <c r="C743" s="77"/>
      <c r="D743" s="77"/>
      <c r="E743" s="77"/>
      <c r="F743" s="77"/>
      <c r="G743" s="77"/>
      <c r="H743" s="77"/>
      <c r="I743" s="77"/>
      <c r="J743" s="77"/>
      <c r="K743" s="77"/>
      <c r="L743" s="77"/>
      <c r="M743" s="77"/>
      <c r="N743" s="58"/>
      <c r="O743" s="2535"/>
      <c r="P743"/>
    </row>
    <row r="744" spans="1:16">
      <c r="A744" s="77"/>
      <c r="B744" s="77"/>
      <c r="C744" s="77"/>
      <c r="D744" s="77"/>
      <c r="E744" s="77"/>
      <c r="F744" s="77"/>
      <c r="G744" s="77"/>
      <c r="H744" s="77"/>
      <c r="I744" s="77"/>
      <c r="J744" s="77"/>
      <c r="K744" s="77"/>
      <c r="L744" s="77"/>
      <c r="M744" s="77"/>
      <c r="N744" s="58"/>
      <c r="O744" s="2535"/>
      <c r="P744"/>
    </row>
    <row r="745" spans="1:16">
      <c r="A745" s="77"/>
      <c r="B745" s="77"/>
      <c r="C745" s="77"/>
      <c r="D745" s="77"/>
      <c r="E745" s="77"/>
      <c r="F745" s="77"/>
      <c r="G745" s="77"/>
      <c r="H745" s="77"/>
      <c r="I745" s="77"/>
      <c r="J745" s="77"/>
      <c r="K745" s="77"/>
      <c r="L745" s="77"/>
      <c r="M745" s="77"/>
      <c r="N745" s="58"/>
      <c r="O745" s="2535"/>
      <c r="P745"/>
    </row>
    <row r="746" spans="1:16">
      <c r="A746" s="77"/>
      <c r="B746" s="77"/>
      <c r="C746" s="77"/>
      <c r="D746" s="77"/>
      <c r="E746" s="77"/>
      <c r="F746" s="77"/>
      <c r="G746" s="77"/>
      <c r="H746" s="77"/>
      <c r="I746" s="77"/>
      <c r="J746" s="77"/>
      <c r="K746" s="77"/>
      <c r="L746" s="77"/>
      <c r="M746" s="77"/>
      <c r="N746" s="58"/>
      <c r="O746" s="2535"/>
      <c r="P746"/>
    </row>
    <row r="747" spans="1:16">
      <c r="A747" s="77"/>
      <c r="B747" s="77"/>
      <c r="C747" s="77"/>
      <c r="D747" s="77"/>
      <c r="E747" s="77"/>
      <c r="F747" s="77"/>
      <c r="G747" s="77"/>
      <c r="H747" s="77"/>
      <c r="I747" s="77"/>
      <c r="J747" s="77"/>
      <c r="K747" s="77"/>
      <c r="L747" s="77"/>
      <c r="M747" s="77"/>
      <c r="N747" s="58"/>
      <c r="O747" s="2535"/>
      <c r="P747"/>
    </row>
    <row r="748" spans="1:16">
      <c r="A748" s="77"/>
      <c r="B748" s="77"/>
      <c r="C748" s="77"/>
      <c r="D748" s="77"/>
      <c r="E748" s="77"/>
      <c r="F748" s="77"/>
      <c r="G748" s="77"/>
      <c r="H748" s="77"/>
      <c r="I748" s="77"/>
      <c r="J748" s="77"/>
      <c r="K748" s="77"/>
      <c r="L748" s="77"/>
      <c r="M748" s="77"/>
      <c r="N748" s="58"/>
      <c r="O748" s="2535"/>
      <c r="P748"/>
    </row>
    <row r="749" spans="1:16">
      <c r="A749" s="77"/>
      <c r="B749" s="77"/>
      <c r="C749" s="77"/>
      <c r="D749" s="77"/>
      <c r="E749" s="77"/>
      <c r="F749" s="77"/>
      <c r="G749" s="77"/>
      <c r="H749" s="77"/>
      <c r="I749" s="77"/>
      <c r="J749" s="77"/>
      <c r="K749" s="77"/>
      <c r="L749" s="77"/>
      <c r="M749" s="77"/>
      <c r="N749" s="58"/>
      <c r="O749" s="2535"/>
      <c r="P749"/>
    </row>
    <row r="750" spans="1:16">
      <c r="A750" s="77"/>
      <c r="B750" s="77"/>
      <c r="C750" s="77"/>
      <c r="D750" s="77"/>
      <c r="E750" s="77"/>
      <c r="F750" s="77"/>
      <c r="G750" s="77"/>
      <c r="H750" s="77"/>
      <c r="I750" s="77"/>
      <c r="J750" s="77"/>
      <c r="K750" s="77"/>
      <c r="L750" s="77"/>
      <c r="M750" s="77"/>
      <c r="N750" s="58"/>
      <c r="O750" s="2535"/>
      <c r="P750"/>
    </row>
    <row r="751" spans="1:16">
      <c r="A751" s="77"/>
      <c r="B751" s="77"/>
      <c r="C751" s="77"/>
      <c r="D751" s="77"/>
      <c r="E751" s="77"/>
      <c r="F751" s="77"/>
      <c r="G751" s="77"/>
      <c r="H751" s="77"/>
      <c r="I751" s="77"/>
      <c r="J751" s="77"/>
      <c r="K751" s="77"/>
      <c r="L751" s="77"/>
      <c r="M751" s="77"/>
      <c r="N751" s="58"/>
      <c r="O751" s="2535"/>
      <c r="P751"/>
    </row>
    <row r="752" spans="1:16">
      <c r="A752" s="77"/>
      <c r="B752" s="77"/>
      <c r="C752" s="77"/>
      <c r="D752" s="77"/>
      <c r="E752" s="77"/>
      <c r="F752" s="77"/>
      <c r="G752" s="77"/>
      <c r="H752" s="77"/>
      <c r="I752" s="77"/>
      <c r="J752" s="77"/>
      <c r="K752" s="77"/>
      <c r="L752" s="77"/>
      <c r="M752" s="77"/>
      <c r="N752" s="58"/>
      <c r="O752" s="2535"/>
      <c r="P752"/>
    </row>
    <row r="753" spans="1:16">
      <c r="A753" s="77"/>
      <c r="B753" s="77"/>
      <c r="C753" s="77"/>
      <c r="D753" s="77"/>
      <c r="E753" s="77"/>
      <c r="F753" s="77"/>
      <c r="G753" s="77"/>
      <c r="H753" s="77"/>
      <c r="I753" s="77"/>
      <c r="J753" s="77"/>
      <c r="K753" s="77"/>
      <c r="L753" s="77"/>
      <c r="M753" s="77"/>
      <c r="N753" s="58"/>
      <c r="O753" s="2535"/>
      <c r="P753"/>
    </row>
    <row r="754" spans="1:16">
      <c r="A754" s="77"/>
      <c r="B754" s="77"/>
      <c r="C754" s="77"/>
      <c r="D754" s="77"/>
      <c r="E754" s="77"/>
      <c r="F754" s="77"/>
      <c r="G754" s="77"/>
      <c r="H754" s="77"/>
      <c r="I754" s="77"/>
      <c r="J754" s="77"/>
      <c r="K754" s="77"/>
      <c r="L754" s="77"/>
      <c r="M754" s="77"/>
      <c r="N754" s="58"/>
      <c r="O754" s="2535"/>
      <c r="P754"/>
    </row>
    <row r="755" spans="1:16">
      <c r="A755" s="77"/>
      <c r="B755" s="77"/>
      <c r="C755" s="77"/>
      <c r="D755" s="77"/>
      <c r="E755" s="77"/>
      <c r="F755" s="77"/>
      <c r="G755" s="77"/>
      <c r="H755" s="77"/>
      <c r="I755" s="77"/>
      <c r="J755" s="77"/>
      <c r="K755" s="77"/>
      <c r="L755" s="77"/>
      <c r="M755" s="77"/>
      <c r="N755" s="58"/>
      <c r="O755" s="2535"/>
      <c r="P755"/>
    </row>
    <row r="756" spans="1:16">
      <c r="A756" s="77"/>
      <c r="B756" s="77"/>
      <c r="C756" s="77"/>
      <c r="D756" s="77"/>
      <c r="E756" s="77"/>
      <c r="F756" s="77"/>
      <c r="G756" s="77"/>
      <c r="H756" s="77"/>
      <c r="I756" s="77"/>
      <c r="J756" s="77"/>
      <c r="K756" s="77"/>
      <c r="L756" s="77"/>
      <c r="M756" s="77"/>
      <c r="N756" s="58"/>
      <c r="O756" s="2535"/>
      <c r="P756"/>
    </row>
    <row r="757" spans="1:16">
      <c r="A757" s="77"/>
      <c r="B757" s="77"/>
      <c r="C757" s="77"/>
      <c r="D757" s="77"/>
      <c r="E757" s="77"/>
      <c r="F757" s="77"/>
      <c r="G757" s="77"/>
      <c r="H757" s="77"/>
      <c r="I757" s="77"/>
      <c r="J757" s="77"/>
      <c r="K757" s="77"/>
      <c r="L757" s="77"/>
      <c r="M757" s="77"/>
      <c r="N757" s="58"/>
      <c r="O757" s="2535"/>
      <c r="P757"/>
    </row>
    <row r="758" spans="1:16">
      <c r="A758" s="77"/>
      <c r="B758" s="77"/>
      <c r="C758" s="77"/>
      <c r="D758" s="77"/>
      <c r="E758" s="77"/>
      <c r="F758" s="77"/>
      <c r="G758" s="77"/>
      <c r="H758" s="77"/>
      <c r="I758" s="77"/>
      <c r="J758" s="77"/>
      <c r="K758" s="77"/>
      <c r="L758" s="77"/>
      <c r="M758" s="77"/>
      <c r="N758" s="58"/>
      <c r="O758" s="2535"/>
      <c r="P758"/>
    </row>
    <row r="759" spans="1:16">
      <c r="A759" s="77"/>
      <c r="B759" s="77"/>
      <c r="C759" s="77"/>
      <c r="D759" s="77"/>
      <c r="E759" s="77"/>
      <c r="F759" s="77"/>
      <c r="G759" s="77"/>
      <c r="H759" s="77"/>
      <c r="I759" s="77"/>
      <c r="J759" s="77"/>
      <c r="K759" s="77"/>
      <c r="L759" s="77"/>
      <c r="M759" s="77"/>
      <c r="N759" s="58"/>
      <c r="O759" s="2535"/>
      <c r="P759"/>
    </row>
    <row r="760" spans="1:16">
      <c r="A760" s="77"/>
      <c r="B760" s="77"/>
      <c r="C760" s="77"/>
      <c r="D760" s="77"/>
      <c r="E760" s="77"/>
      <c r="F760" s="77"/>
      <c r="G760" s="77"/>
      <c r="H760" s="77"/>
      <c r="I760" s="77"/>
      <c r="J760" s="77"/>
      <c r="K760" s="77"/>
      <c r="L760" s="77"/>
      <c r="M760" s="77"/>
      <c r="N760" s="58"/>
      <c r="O760" s="2535"/>
      <c r="P760"/>
    </row>
    <row r="761" spans="1:16">
      <c r="A761" s="77"/>
      <c r="B761" s="77"/>
      <c r="C761" s="77"/>
      <c r="D761" s="77"/>
      <c r="E761" s="77"/>
      <c r="F761" s="77"/>
      <c r="G761" s="77"/>
      <c r="H761" s="77"/>
      <c r="I761" s="77"/>
      <c r="J761" s="77"/>
      <c r="K761" s="77"/>
      <c r="L761" s="77"/>
      <c r="M761" s="77"/>
      <c r="N761" s="58"/>
      <c r="O761" s="2535"/>
      <c r="P761"/>
    </row>
    <row r="762" spans="1:16">
      <c r="A762" s="77"/>
      <c r="B762" s="77"/>
      <c r="C762" s="77"/>
      <c r="D762" s="77"/>
      <c r="E762" s="77"/>
      <c r="F762" s="77"/>
      <c r="G762" s="77"/>
      <c r="H762" s="77"/>
      <c r="I762" s="77"/>
      <c r="J762" s="77"/>
      <c r="K762" s="77"/>
      <c r="L762" s="77"/>
      <c r="M762" s="77"/>
      <c r="N762" s="58"/>
      <c r="O762" s="2535"/>
      <c r="P762"/>
    </row>
    <row r="763" spans="1:16">
      <c r="A763" s="77"/>
      <c r="B763" s="77"/>
      <c r="C763" s="77"/>
      <c r="D763" s="77"/>
      <c r="E763" s="77"/>
      <c r="F763" s="77"/>
      <c r="G763" s="77"/>
      <c r="H763" s="77"/>
      <c r="I763" s="77"/>
      <c r="J763" s="77"/>
      <c r="K763" s="77"/>
      <c r="L763" s="77"/>
      <c r="M763" s="77"/>
      <c r="N763" s="58"/>
      <c r="O763" s="2535"/>
      <c r="P763"/>
    </row>
    <row r="764" spans="1:16">
      <c r="A764" s="77"/>
      <c r="B764" s="77"/>
      <c r="C764" s="77"/>
      <c r="D764" s="77"/>
      <c r="E764" s="77"/>
      <c r="F764" s="77"/>
      <c r="G764" s="77"/>
      <c r="H764" s="77"/>
      <c r="I764" s="77"/>
      <c r="J764" s="77"/>
      <c r="K764" s="77"/>
      <c r="L764" s="77"/>
      <c r="M764" s="77"/>
      <c r="N764" s="58"/>
      <c r="O764" s="2535"/>
      <c r="P764"/>
    </row>
    <row r="765" spans="1:16">
      <c r="A765" s="77"/>
      <c r="B765" s="77"/>
      <c r="C765" s="77"/>
      <c r="D765" s="77"/>
      <c r="E765" s="77"/>
      <c r="F765" s="77"/>
      <c r="G765" s="77"/>
      <c r="H765" s="77"/>
      <c r="I765" s="77"/>
      <c r="J765" s="77"/>
      <c r="K765" s="77"/>
      <c r="L765" s="77"/>
      <c r="M765" s="77"/>
      <c r="N765" s="58"/>
      <c r="O765" s="2535"/>
      <c r="P765"/>
    </row>
    <row r="766" spans="1:16">
      <c r="A766" s="77"/>
      <c r="B766" s="77"/>
      <c r="C766" s="77"/>
      <c r="D766" s="77"/>
      <c r="E766" s="77"/>
      <c r="F766" s="77"/>
      <c r="G766" s="77"/>
      <c r="H766" s="77"/>
      <c r="I766" s="77"/>
      <c r="J766" s="77"/>
      <c r="K766" s="77"/>
      <c r="L766" s="77"/>
      <c r="M766" s="77"/>
      <c r="N766" s="58"/>
      <c r="O766" s="2535"/>
      <c r="P766"/>
    </row>
    <row r="767" spans="1:16">
      <c r="A767" s="77"/>
      <c r="B767" s="77"/>
      <c r="C767" s="77"/>
      <c r="D767" s="77"/>
      <c r="E767" s="77"/>
      <c r="F767" s="77"/>
      <c r="G767" s="77"/>
      <c r="H767" s="77"/>
      <c r="I767" s="77"/>
      <c r="J767" s="77"/>
      <c r="K767" s="77"/>
      <c r="L767" s="77"/>
      <c r="M767" s="77"/>
      <c r="N767" s="58"/>
      <c r="O767" s="2535"/>
      <c r="P767"/>
    </row>
    <row r="768" spans="1:16">
      <c r="A768" s="77"/>
      <c r="B768" s="77"/>
      <c r="C768" s="77"/>
      <c r="D768" s="77"/>
      <c r="E768" s="77"/>
      <c r="F768" s="77"/>
      <c r="G768" s="77"/>
      <c r="H768" s="77"/>
      <c r="I768" s="77"/>
      <c r="J768" s="77"/>
      <c r="K768" s="77"/>
      <c r="L768" s="77"/>
      <c r="M768" s="77"/>
      <c r="N768" s="58"/>
      <c r="O768" s="2535"/>
      <c r="P768"/>
    </row>
    <row r="769" spans="1:16">
      <c r="A769" s="77"/>
      <c r="B769" s="77"/>
      <c r="C769" s="77"/>
      <c r="D769" s="77"/>
      <c r="E769" s="77"/>
      <c r="F769" s="77"/>
      <c r="G769" s="77"/>
      <c r="H769" s="77"/>
      <c r="I769" s="77"/>
      <c r="J769" s="77"/>
      <c r="K769" s="77"/>
      <c r="L769" s="77"/>
      <c r="M769" s="77"/>
      <c r="N769" s="58"/>
      <c r="O769" s="2535"/>
      <c r="P769"/>
    </row>
    <row r="770" spans="1:16">
      <c r="A770" s="77"/>
      <c r="B770" s="77"/>
      <c r="C770" s="77"/>
      <c r="D770" s="77"/>
      <c r="E770" s="77"/>
      <c r="F770" s="77"/>
      <c r="G770" s="77"/>
      <c r="H770" s="77"/>
      <c r="I770" s="77"/>
      <c r="J770" s="77"/>
      <c r="K770" s="77"/>
      <c r="L770" s="77"/>
      <c r="M770" s="77"/>
      <c r="N770" s="58"/>
      <c r="O770" s="2535"/>
      <c r="P770"/>
    </row>
    <row r="771" spans="1:16">
      <c r="A771" s="77"/>
      <c r="B771" s="77"/>
      <c r="C771" s="77"/>
      <c r="D771" s="77"/>
      <c r="E771" s="77"/>
      <c r="F771" s="77"/>
      <c r="G771" s="77"/>
      <c r="H771" s="77"/>
      <c r="I771" s="77"/>
      <c r="J771" s="77"/>
      <c r="K771" s="77"/>
      <c r="L771" s="77"/>
      <c r="M771" s="77"/>
      <c r="N771" s="58"/>
      <c r="O771" s="2535"/>
      <c r="P771"/>
    </row>
    <row r="772" spans="1:16">
      <c r="A772" s="77"/>
      <c r="B772" s="77"/>
      <c r="C772" s="77"/>
      <c r="D772" s="77"/>
      <c r="E772" s="77"/>
      <c r="F772" s="77"/>
      <c r="G772" s="77"/>
      <c r="H772" s="77"/>
      <c r="I772" s="77"/>
      <c r="J772" s="77"/>
      <c r="K772" s="77"/>
      <c r="L772" s="77"/>
      <c r="M772" s="77"/>
      <c r="N772" s="58"/>
      <c r="O772" s="2535"/>
      <c r="P772"/>
    </row>
    <row r="773" spans="1:16">
      <c r="A773" s="77"/>
      <c r="B773" s="77"/>
      <c r="C773" s="77"/>
      <c r="D773" s="77"/>
      <c r="E773" s="77"/>
      <c r="F773" s="77"/>
      <c r="G773" s="77"/>
      <c r="H773" s="77"/>
      <c r="I773" s="77"/>
      <c r="J773" s="77"/>
      <c r="K773" s="77"/>
      <c r="L773" s="77"/>
      <c r="M773" s="77"/>
      <c r="N773" s="58"/>
      <c r="O773" s="2535"/>
      <c r="P773"/>
    </row>
    <row r="774" spans="1:16">
      <c r="A774" s="77"/>
      <c r="B774" s="77"/>
      <c r="C774" s="77"/>
      <c r="D774" s="77"/>
      <c r="E774" s="77"/>
      <c r="F774" s="77"/>
      <c r="G774" s="77"/>
      <c r="H774" s="77"/>
      <c r="I774" s="77"/>
      <c r="J774" s="77"/>
      <c r="K774" s="77"/>
      <c r="L774" s="77"/>
      <c r="M774" s="77"/>
      <c r="N774" s="58"/>
      <c r="O774" s="2535"/>
      <c r="P774"/>
    </row>
    <row r="775" spans="1:16">
      <c r="A775" s="77"/>
      <c r="B775" s="77"/>
      <c r="C775" s="77"/>
      <c r="D775" s="77"/>
      <c r="E775" s="77"/>
      <c r="F775" s="77"/>
      <c r="G775" s="77"/>
      <c r="H775" s="77"/>
      <c r="I775" s="77"/>
      <c r="J775" s="77"/>
      <c r="K775" s="77"/>
      <c r="L775" s="77"/>
      <c r="M775" s="77"/>
      <c r="N775" s="58"/>
      <c r="O775" s="2535"/>
      <c r="P775"/>
    </row>
    <row r="776" spans="1:16">
      <c r="A776" s="77"/>
      <c r="B776" s="77"/>
      <c r="C776" s="77"/>
      <c r="D776" s="77"/>
      <c r="E776" s="77"/>
      <c r="F776" s="77"/>
      <c r="G776" s="77"/>
      <c r="H776" s="77"/>
      <c r="I776" s="77"/>
      <c r="J776" s="77"/>
      <c r="K776" s="77"/>
      <c r="L776" s="77"/>
      <c r="M776" s="77"/>
      <c r="N776" s="58"/>
      <c r="O776" s="2535"/>
      <c r="P776"/>
    </row>
    <row r="777" spans="1:16">
      <c r="A777" s="77"/>
      <c r="B777" s="77"/>
      <c r="C777" s="77"/>
      <c r="D777" s="77"/>
      <c r="E777" s="77"/>
      <c r="F777" s="77"/>
      <c r="G777" s="77"/>
      <c r="H777" s="77"/>
      <c r="I777" s="77"/>
      <c r="J777" s="77"/>
      <c r="K777" s="77"/>
      <c r="L777" s="77"/>
      <c r="M777" s="77"/>
      <c r="N777" s="58"/>
      <c r="O777" s="2535"/>
      <c r="P777"/>
    </row>
    <row r="778" spans="1:16">
      <c r="A778" s="77"/>
      <c r="B778" s="77"/>
      <c r="C778" s="77"/>
      <c r="D778" s="77"/>
      <c r="E778" s="77"/>
      <c r="F778" s="77"/>
      <c r="G778" s="77"/>
      <c r="H778" s="77"/>
      <c r="I778" s="77"/>
      <c r="J778" s="77"/>
      <c r="K778" s="77"/>
      <c r="L778" s="77"/>
      <c r="M778" s="77"/>
      <c r="N778" s="58"/>
      <c r="O778" s="2535"/>
      <c r="P778"/>
    </row>
    <row r="779" spans="1:16">
      <c r="A779" s="77"/>
      <c r="B779" s="77"/>
      <c r="C779" s="77"/>
      <c r="D779" s="77"/>
      <c r="E779" s="77"/>
      <c r="F779" s="77"/>
      <c r="G779" s="77"/>
      <c r="H779" s="77"/>
      <c r="I779" s="77"/>
      <c r="J779" s="77"/>
      <c r="K779" s="77"/>
      <c r="L779" s="77"/>
      <c r="M779" s="77"/>
      <c r="N779" s="58"/>
      <c r="O779" s="2535"/>
      <c r="P779"/>
    </row>
    <row r="780" spans="1:16">
      <c r="A780" s="77"/>
      <c r="B780" s="77"/>
      <c r="C780" s="77"/>
      <c r="D780" s="77"/>
      <c r="E780" s="77"/>
      <c r="F780" s="77"/>
      <c r="G780" s="77"/>
      <c r="H780" s="77"/>
      <c r="I780" s="77"/>
      <c r="J780" s="77"/>
      <c r="K780" s="77"/>
      <c r="L780" s="77"/>
      <c r="M780" s="77"/>
      <c r="N780" s="58"/>
      <c r="O780" s="2535"/>
      <c r="P780"/>
    </row>
    <row r="781" spans="1:16">
      <c r="A781" s="77"/>
      <c r="B781" s="77"/>
      <c r="C781" s="77"/>
      <c r="D781" s="77"/>
      <c r="E781" s="77"/>
      <c r="F781" s="77"/>
      <c r="G781" s="77"/>
      <c r="H781" s="77"/>
      <c r="I781" s="77"/>
      <c r="J781" s="77"/>
      <c r="K781" s="77"/>
      <c r="L781" s="77"/>
      <c r="M781" s="77"/>
      <c r="N781" s="58"/>
      <c r="O781" s="2535"/>
      <c r="P781"/>
    </row>
    <row r="782" spans="1:16">
      <c r="A782" s="77"/>
      <c r="B782" s="77"/>
      <c r="C782" s="77"/>
      <c r="D782" s="77"/>
      <c r="E782" s="77"/>
      <c r="F782" s="77"/>
      <c r="G782" s="77"/>
      <c r="H782" s="77"/>
      <c r="I782" s="77"/>
      <c r="J782" s="77"/>
      <c r="K782" s="77"/>
      <c r="L782" s="77"/>
      <c r="M782" s="77"/>
      <c r="N782" s="58"/>
      <c r="O782" s="2535"/>
      <c r="P782"/>
    </row>
    <row r="783" spans="1:16">
      <c r="A783" s="77"/>
      <c r="B783" s="77"/>
      <c r="C783" s="77"/>
      <c r="D783" s="77"/>
      <c r="E783" s="77"/>
      <c r="F783" s="77"/>
      <c r="G783" s="77"/>
      <c r="H783" s="77"/>
      <c r="I783" s="77"/>
      <c r="J783" s="77"/>
      <c r="K783" s="77"/>
      <c r="L783" s="77"/>
      <c r="M783" s="77"/>
      <c r="N783" s="58"/>
      <c r="O783" s="2535"/>
      <c r="P783"/>
    </row>
    <row r="784" spans="1:16">
      <c r="A784" s="77"/>
      <c r="B784" s="77"/>
      <c r="C784" s="77"/>
      <c r="D784" s="77"/>
      <c r="E784" s="77"/>
      <c r="F784" s="77"/>
      <c r="G784" s="77"/>
      <c r="H784" s="77"/>
      <c r="I784" s="77"/>
      <c r="J784" s="77"/>
      <c r="K784" s="77"/>
      <c r="L784" s="77"/>
      <c r="M784" s="77"/>
      <c r="N784" s="58"/>
      <c r="O784" s="2535"/>
      <c r="P784"/>
    </row>
    <row r="785" spans="1:16">
      <c r="A785" s="77"/>
      <c r="B785" s="77"/>
      <c r="C785" s="77"/>
      <c r="D785" s="77"/>
      <c r="E785" s="77"/>
      <c r="F785" s="77"/>
      <c r="G785" s="77"/>
      <c r="H785" s="77"/>
      <c r="I785" s="77"/>
      <c r="J785" s="77"/>
      <c r="K785" s="77"/>
      <c r="L785" s="77"/>
      <c r="M785" s="77"/>
      <c r="N785" s="58"/>
      <c r="O785" s="2535"/>
      <c r="P785"/>
    </row>
    <row r="786" spans="1:16">
      <c r="A786" s="77"/>
      <c r="B786" s="77"/>
      <c r="C786" s="77"/>
      <c r="D786" s="77"/>
      <c r="E786" s="77"/>
      <c r="F786" s="77"/>
      <c r="G786" s="77"/>
      <c r="H786" s="77"/>
      <c r="I786" s="77"/>
      <c r="J786" s="77"/>
      <c r="K786" s="77"/>
      <c r="L786" s="77"/>
      <c r="M786" s="77"/>
      <c r="N786" s="58"/>
      <c r="O786" s="2535"/>
      <c r="P786"/>
    </row>
    <row r="787" spans="1:16">
      <c r="A787" s="77"/>
      <c r="B787" s="77"/>
      <c r="C787" s="77"/>
      <c r="D787" s="77"/>
      <c r="E787" s="77"/>
      <c r="F787" s="77"/>
      <c r="G787" s="77"/>
      <c r="H787" s="77"/>
      <c r="I787" s="77"/>
      <c r="J787" s="77"/>
      <c r="K787" s="77"/>
      <c r="L787" s="77"/>
      <c r="M787" s="77"/>
      <c r="N787" s="58"/>
      <c r="O787" s="2535"/>
      <c r="P787"/>
    </row>
    <row r="788" spans="1:16">
      <c r="A788" s="77"/>
      <c r="B788" s="77"/>
      <c r="C788" s="77"/>
      <c r="D788" s="77"/>
      <c r="E788" s="77"/>
      <c r="F788" s="77"/>
      <c r="G788" s="77"/>
      <c r="H788" s="77"/>
      <c r="I788" s="77"/>
      <c r="J788" s="77"/>
      <c r="K788" s="77"/>
      <c r="L788" s="77"/>
      <c r="M788" s="77"/>
      <c r="N788" s="58"/>
      <c r="O788" s="2535"/>
      <c r="P788"/>
    </row>
    <row r="789" spans="1:16">
      <c r="A789" s="77"/>
      <c r="B789" s="77"/>
      <c r="C789" s="77"/>
      <c r="D789" s="77"/>
      <c r="E789" s="77"/>
      <c r="F789" s="77"/>
      <c r="G789" s="77"/>
      <c r="H789" s="77"/>
      <c r="I789" s="77"/>
      <c r="J789" s="77"/>
      <c r="K789" s="77"/>
      <c r="L789" s="77"/>
      <c r="M789" s="77"/>
      <c r="N789" s="58"/>
      <c r="O789" s="2535"/>
      <c r="P789"/>
    </row>
    <row r="790" spans="1:16">
      <c r="A790" s="77"/>
      <c r="B790" s="77"/>
      <c r="C790" s="77"/>
      <c r="D790" s="77"/>
      <c r="E790" s="77"/>
      <c r="F790" s="77"/>
      <c r="G790" s="77"/>
      <c r="H790" s="77"/>
      <c r="I790" s="77"/>
      <c r="J790" s="77"/>
      <c r="K790" s="77"/>
      <c r="L790" s="77"/>
      <c r="M790" s="77"/>
      <c r="N790" s="58"/>
      <c r="O790" s="2535"/>
      <c r="P790"/>
    </row>
    <row r="791" spans="1:16">
      <c r="A791" s="77"/>
      <c r="B791" s="77"/>
      <c r="C791" s="77"/>
      <c r="D791" s="77"/>
      <c r="E791" s="77"/>
      <c r="F791" s="77"/>
      <c r="G791" s="77"/>
      <c r="H791" s="77"/>
      <c r="I791" s="77"/>
      <c r="J791" s="77"/>
      <c r="K791" s="77"/>
      <c r="L791" s="77"/>
      <c r="M791" s="77"/>
      <c r="N791" s="58"/>
      <c r="O791" s="2535"/>
      <c r="P791"/>
    </row>
    <row r="792" spans="1:16">
      <c r="A792" s="77"/>
      <c r="B792" s="77"/>
      <c r="C792" s="77"/>
      <c r="D792" s="77"/>
      <c r="E792" s="77"/>
      <c r="F792" s="77"/>
      <c r="G792" s="77"/>
      <c r="H792" s="77"/>
      <c r="I792" s="77"/>
      <c r="J792" s="77"/>
      <c r="K792" s="77"/>
      <c r="L792" s="77"/>
      <c r="M792" s="77"/>
      <c r="N792" s="58"/>
      <c r="O792" s="2535"/>
      <c r="P792"/>
    </row>
    <row r="793" spans="1:16">
      <c r="A793" s="77"/>
      <c r="B793" s="77"/>
      <c r="C793" s="77"/>
      <c r="D793" s="77"/>
      <c r="E793" s="77"/>
      <c r="F793" s="77"/>
      <c r="G793" s="77"/>
      <c r="H793" s="77"/>
      <c r="I793" s="77"/>
      <c r="J793" s="77"/>
      <c r="K793" s="77"/>
      <c r="L793" s="77"/>
      <c r="M793" s="77"/>
      <c r="N793" s="58"/>
      <c r="O793" s="2535"/>
      <c r="P793"/>
    </row>
    <row r="794" spans="1:16">
      <c r="A794" s="77"/>
      <c r="B794" s="77"/>
      <c r="C794" s="77"/>
      <c r="D794" s="77"/>
      <c r="E794" s="77"/>
      <c r="F794" s="77"/>
      <c r="G794" s="77"/>
      <c r="H794" s="77"/>
      <c r="I794" s="77"/>
      <c r="J794" s="77"/>
      <c r="K794" s="77"/>
      <c r="L794" s="77"/>
      <c r="M794" s="77"/>
      <c r="N794" s="58"/>
      <c r="O794" s="2535"/>
      <c r="P794"/>
    </row>
    <row r="795" spans="1:16">
      <c r="A795" s="77"/>
      <c r="B795" s="77"/>
      <c r="C795" s="77"/>
      <c r="D795" s="77"/>
      <c r="E795" s="77"/>
      <c r="F795" s="77"/>
      <c r="G795" s="77"/>
      <c r="H795" s="77"/>
      <c r="I795" s="77"/>
      <c r="J795" s="77"/>
      <c r="K795" s="77"/>
      <c r="L795" s="77"/>
      <c r="M795" s="77"/>
      <c r="N795" s="58"/>
      <c r="O795" s="2535"/>
      <c r="P795"/>
    </row>
    <row r="796" spans="1:16">
      <c r="A796" s="77"/>
      <c r="B796" s="77"/>
      <c r="C796" s="77"/>
      <c r="D796" s="77"/>
      <c r="E796" s="77"/>
      <c r="F796" s="77"/>
      <c r="G796" s="77"/>
      <c r="H796" s="77"/>
      <c r="I796" s="77"/>
      <c r="J796" s="77"/>
      <c r="K796" s="77"/>
      <c r="L796" s="77"/>
      <c r="M796" s="77"/>
      <c r="N796" s="58"/>
      <c r="O796" s="2535"/>
      <c r="P796"/>
    </row>
    <row r="797" spans="1:16">
      <c r="A797" s="77"/>
      <c r="B797" s="77"/>
      <c r="C797" s="77"/>
      <c r="D797" s="77"/>
      <c r="E797" s="77"/>
      <c r="F797" s="77"/>
      <c r="G797" s="77"/>
      <c r="H797" s="77"/>
      <c r="I797" s="77"/>
      <c r="J797" s="77"/>
      <c r="K797" s="77"/>
      <c r="L797" s="77"/>
      <c r="M797" s="77"/>
      <c r="N797" s="58"/>
      <c r="O797" s="2535"/>
      <c r="P797"/>
    </row>
    <row r="798" spans="1:16">
      <c r="A798" s="77"/>
      <c r="B798" s="77"/>
      <c r="C798" s="77"/>
      <c r="D798" s="77"/>
      <c r="E798" s="77"/>
      <c r="F798" s="77"/>
      <c r="G798" s="77"/>
      <c r="H798" s="77"/>
      <c r="I798" s="77"/>
      <c r="J798" s="77"/>
      <c r="K798" s="77"/>
      <c r="L798" s="77"/>
      <c r="M798" s="77"/>
      <c r="N798" s="58"/>
      <c r="O798" s="2535"/>
      <c r="P798"/>
    </row>
    <row r="799" spans="1:16">
      <c r="A799" s="77"/>
      <c r="B799" s="77"/>
      <c r="C799" s="77"/>
      <c r="D799" s="77"/>
      <c r="E799" s="77"/>
      <c r="F799" s="77"/>
      <c r="G799" s="77"/>
      <c r="H799" s="77"/>
      <c r="I799" s="77"/>
      <c r="J799" s="77"/>
      <c r="K799" s="77"/>
      <c r="L799" s="77"/>
      <c r="M799" s="77"/>
      <c r="N799" s="58"/>
      <c r="O799" s="2535"/>
      <c r="P799"/>
    </row>
    <row r="800" spans="1:16">
      <c r="A800" s="77"/>
      <c r="B800" s="77"/>
      <c r="C800" s="77"/>
      <c r="D800" s="77"/>
      <c r="E800" s="77"/>
      <c r="F800" s="77"/>
      <c r="G800" s="77"/>
      <c r="H800" s="77"/>
      <c r="I800" s="77"/>
      <c r="J800" s="77"/>
      <c r="K800" s="77"/>
      <c r="L800" s="77"/>
      <c r="M800" s="77"/>
      <c r="N800" s="58"/>
      <c r="O800" s="2535"/>
      <c r="P800"/>
    </row>
    <row r="801" spans="1:16">
      <c r="A801" s="77"/>
      <c r="B801" s="77"/>
      <c r="C801" s="77"/>
      <c r="D801" s="77"/>
      <c r="E801" s="77"/>
      <c r="F801" s="77"/>
      <c r="G801" s="77"/>
      <c r="H801" s="77"/>
      <c r="I801" s="77"/>
      <c r="J801" s="77"/>
      <c r="K801" s="77"/>
      <c r="L801" s="77"/>
      <c r="M801" s="77"/>
      <c r="N801" s="58"/>
      <c r="O801" s="2535"/>
      <c r="P801"/>
    </row>
    <row r="802" spans="1:16">
      <c r="A802" s="77"/>
      <c r="B802" s="77"/>
      <c r="C802" s="77"/>
      <c r="D802" s="77"/>
      <c r="E802" s="77"/>
      <c r="F802" s="77"/>
      <c r="G802" s="77"/>
      <c r="H802" s="77"/>
      <c r="I802" s="77"/>
      <c r="J802" s="77"/>
      <c r="K802" s="77"/>
      <c r="L802" s="77"/>
      <c r="M802" s="77"/>
      <c r="N802" s="58"/>
      <c r="O802" s="2535"/>
      <c r="P802"/>
    </row>
    <row r="803" spans="1:16">
      <c r="A803" s="77"/>
      <c r="B803" s="77"/>
      <c r="C803" s="77"/>
      <c r="D803" s="77"/>
      <c r="E803" s="77"/>
      <c r="F803" s="77"/>
      <c r="G803" s="77"/>
      <c r="H803" s="77"/>
      <c r="I803" s="77"/>
      <c r="J803" s="77"/>
      <c r="K803" s="77"/>
      <c r="L803" s="77"/>
      <c r="M803" s="77"/>
      <c r="N803" s="58"/>
      <c r="O803" s="2535"/>
      <c r="P803"/>
    </row>
    <row r="804" spans="1:16">
      <c r="A804" s="77"/>
      <c r="B804" s="77"/>
      <c r="C804" s="77"/>
      <c r="D804" s="77"/>
      <c r="E804" s="77"/>
      <c r="F804" s="77"/>
      <c r="G804" s="77"/>
      <c r="H804" s="77"/>
      <c r="I804" s="77"/>
      <c r="J804" s="77"/>
      <c r="K804" s="77"/>
      <c r="L804" s="77"/>
      <c r="M804" s="77"/>
      <c r="N804" s="58"/>
      <c r="O804" s="2535"/>
      <c r="P804"/>
    </row>
    <row r="805" spans="1:16">
      <c r="A805" s="77"/>
      <c r="B805" s="77"/>
      <c r="C805" s="77"/>
      <c r="D805" s="77"/>
      <c r="E805" s="77"/>
      <c r="F805" s="77"/>
      <c r="G805" s="77"/>
      <c r="H805" s="77"/>
      <c r="I805" s="77"/>
      <c r="J805" s="77"/>
      <c r="K805" s="77"/>
      <c r="L805" s="77"/>
      <c r="M805" s="77"/>
      <c r="N805" s="58"/>
      <c r="O805" s="2535"/>
      <c r="P805"/>
    </row>
    <row r="806" spans="1:16">
      <c r="A806" s="77"/>
      <c r="B806" s="77"/>
      <c r="C806" s="77"/>
      <c r="D806" s="77"/>
      <c r="E806" s="77"/>
      <c r="F806" s="77"/>
      <c r="G806" s="77"/>
      <c r="H806" s="77"/>
      <c r="I806" s="77"/>
      <c r="J806" s="77"/>
      <c r="K806" s="77"/>
      <c r="L806" s="77"/>
      <c r="M806" s="77"/>
      <c r="N806" s="58"/>
      <c r="O806" s="2535"/>
      <c r="P806"/>
    </row>
    <row r="807" spans="1:16">
      <c r="A807" s="77"/>
      <c r="B807" s="77"/>
      <c r="C807" s="77"/>
      <c r="D807" s="77"/>
      <c r="E807" s="77"/>
      <c r="F807" s="77"/>
      <c r="G807" s="77"/>
      <c r="H807" s="77"/>
      <c r="I807" s="77"/>
      <c r="J807" s="77"/>
      <c r="K807" s="77"/>
      <c r="L807" s="77"/>
      <c r="M807" s="77"/>
      <c r="N807" s="58"/>
      <c r="O807" s="2535"/>
      <c r="P807"/>
    </row>
    <row r="808" spans="1:16">
      <c r="A808" s="77"/>
      <c r="B808" s="77"/>
      <c r="C808" s="77"/>
      <c r="D808" s="77"/>
      <c r="E808" s="77"/>
      <c r="F808" s="77"/>
      <c r="G808" s="77"/>
      <c r="H808" s="77"/>
      <c r="I808" s="77"/>
      <c r="J808" s="77"/>
      <c r="K808" s="77"/>
      <c r="L808" s="77"/>
      <c r="M808" s="77"/>
      <c r="N808" s="58"/>
      <c r="O808" s="2535"/>
      <c r="P808"/>
    </row>
    <row r="809" spans="1:16">
      <c r="A809" s="77"/>
      <c r="B809" s="77"/>
      <c r="C809" s="77"/>
      <c r="D809" s="77"/>
      <c r="E809" s="77"/>
      <c r="F809" s="77"/>
      <c r="G809" s="77"/>
      <c r="H809" s="77"/>
      <c r="I809" s="77"/>
      <c r="J809" s="77"/>
      <c r="K809" s="77"/>
      <c r="L809" s="77"/>
      <c r="M809" s="77"/>
      <c r="N809" s="58"/>
      <c r="O809" s="2535"/>
      <c r="P809"/>
    </row>
    <row r="810" spans="1:16">
      <c r="A810" s="77"/>
      <c r="B810" s="77"/>
      <c r="C810" s="77"/>
      <c r="D810" s="77"/>
      <c r="E810" s="77"/>
      <c r="F810" s="77"/>
      <c r="G810" s="77"/>
      <c r="H810" s="77"/>
      <c r="I810" s="77"/>
      <c r="J810" s="77"/>
      <c r="K810" s="77"/>
      <c r="L810" s="77"/>
      <c r="M810" s="77"/>
      <c r="N810" s="58"/>
      <c r="O810" s="2535"/>
      <c r="P810"/>
    </row>
    <row r="811" spans="1:16">
      <c r="A811" s="77"/>
      <c r="B811" s="77"/>
      <c r="C811" s="77"/>
      <c r="D811" s="77"/>
      <c r="E811" s="77"/>
      <c r="F811" s="77"/>
      <c r="G811" s="77"/>
      <c r="H811" s="77"/>
      <c r="I811" s="77"/>
      <c r="J811" s="77"/>
      <c r="K811" s="77"/>
      <c r="L811" s="77"/>
      <c r="M811" s="77"/>
      <c r="N811" s="58"/>
      <c r="O811" s="2535"/>
      <c r="P811"/>
    </row>
    <row r="812" spans="1:16">
      <c r="A812" s="77"/>
      <c r="B812" s="77"/>
      <c r="C812" s="77"/>
      <c r="D812" s="77"/>
      <c r="E812" s="77"/>
      <c r="F812" s="77"/>
      <c r="G812" s="77"/>
      <c r="H812" s="77"/>
      <c r="I812" s="77"/>
      <c r="J812" s="77"/>
      <c r="K812" s="77"/>
      <c r="L812" s="77"/>
      <c r="M812" s="77"/>
      <c r="N812" s="58"/>
      <c r="O812" s="2535"/>
      <c r="P812"/>
    </row>
    <row r="813" spans="1:16">
      <c r="A813" s="77"/>
      <c r="B813" s="77"/>
      <c r="C813" s="77"/>
      <c r="D813" s="77"/>
      <c r="E813" s="77"/>
      <c r="F813" s="77"/>
      <c r="G813" s="77"/>
      <c r="H813" s="77"/>
      <c r="I813" s="77"/>
      <c r="J813" s="77"/>
      <c r="K813" s="77"/>
      <c r="L813" s="77"/>
      <c r="M813" s="77"/>
      <c r="N813" s="58"/>
      <c r="O813" s="2535"/>
      <c r="P813"/>
    </row>
    <row r="814" spans="1:16">
      <c r="A814" s="77"/>
      <c r="B814" s="77"/>
      <c r="C814" s="77"/>
      <c r="D814" s="77"/>
      <c r="E814" s="77"/>
      <c r="F814" s="77"/>
      <c r="G814" s="77"/>
      <c r="H814" s="77"/>
      <c r="I814" s="77"/>
      <c r="J814" s="77"/>
      <c r="K814" s="77"/>
      <c r="L814" s="77"/>
      <c r="M814" s="77"/>
      <c r="N814" s="58"/>
      <c r="O814" s="2535"/>
      <c r="P814"/>
    </row>
    <row r="815" spans="1:16">
      <c r="A815" s="77"/>
      <c r="B815" s="77"/>
      <c r="C815" s="77"/>
      <c r="D815" s="77"/>
      <c r="E815" s="77"/>
      <c r="F815" s="77"/>
      <c r="G815" s="77"/>
      <c r="H815" s="77"/>
      <c r="I815" s="77"/>
      <c r="J815" s="77"/>
      <c r="K815" s="77"/>
      <c r="L815" s="77"/>
      <c r="M815" s="77"/>
      <c r="N815" s="58"/>
      <c r="O815" s="2535"/>
      <c r="P815"/>
    </row>
    <row r="816" spans="1:16">
      <c r="A816" s="77"/>
      <c r="B816" s="77"/>
      <c r="C816" s="77"/>
      <c r="D816" s="77"/>
      <c r="E816" s="77"/>
      <c r="F816" s="77"/>
      <c r="G816" s="77"/>
      <c r="H816" s="77"/>
      <c r="I816" s="77"/>
      <c r="J816" s="77"/>
      <c r="K816" s="77"/>
      <c r="L816" s="77"/>
      <c r="M816" s="77"/>
      <c r="N816" s="58"/>
      <c r="O816" s="2535"/>
      <c r="P816"/>
    </row>
    <row r="817" spans="1:16">
      <c r="A817" s="77"/>
      <c r="B817" s="77"/>
      <c r="C817" s="77"/>
      <c r="D817" s="77"/>
      <c r="E817" s="77"/>
      <c r="F817" s="77"/>
      <c r="G817" s="77"/>
      <c r="H817" s="77"/>
      <c r="I817" s="77"/>
      <c r="J817" s="77"/>
      <c r="K817" s="77"/>
      <c r="L817" s="77"/>
      <c r="M817" s="77"/>
      <c r="N817" s="58"/>
      <c r="O817" s="2535"/>
      <c r="P817"/>
    </row>
    <row r="818" spans="1:16">
      <c r="A818" s="77"/>
      <c r="B818" s="77"/>
      <c r="C818" s="77"/>
      <c r="D818" s="77"/>
      <c r="E818" s="77"/>
      <c r="F818" s="77"/>
      <c r="G818" s="77"/>
      <c r="H818" s="77"/>
      <c r="I818" s="77"/>
      <c r="J818" s="77"/>
      <c r="K818" s="77"/>
      <c r="L818" s="77"/>
      <c r="M818" s="77"/>
      <c r="N818" s="58"/>
      <c r="O818" s="2535"/>
      <c r="P818"/>
    </row>
    <row r="819" spans="1:16">
      <c r="A819" s="77"/>
      <c r="B819" s="77"/>
      <c r="C819" s="77"/>
      <c r="D819" s="77"/>
      <c r="E819" s="77"/>
      <c r="F819" s="77"/>
      <c r="G819" s="77"/>
      <c r="H819" s="77"/>
      <c r="I819" s="77"/>
      <c r="J819" s="77"/>
      <c r="K819" s="77"/>
      <c r="L819" s="77"/>
      <c r="M819" s="77"/>
      <c r="N819" s="58"/>
      <c r="O819" s="2535"/>
      <c r="P819"/>
    </row>
    <row r="820" spans="1:16">
      <c r="A820" s="77"/>
      <c r="B820" s="77"/>
      <c r="C820" s="77"/>
      <c r="D820" s="77"/>
      <c r="E820" s="77"/>
      <c r="F820" s="77"/>
      <c r="G820" s="77"/>
      <c r="H820" s="77"/>
      <c r="I820" s="77"/>
      <c r="J820" s="77"/>
      <c r="K820" s="77"/>
      <c r="L820" s="77"/>
      <c r="M820" s="77"/>
      <c r="N820" s="58"/>
      <c r="O820" s="2535"/>
      <c r="P820"/>
    </row>
    <row r="821" spans="1:16">
      <c r="A821" s="77"/>
      <c r="B821" s="77"/>
      <c r="C821" s="77"/>
      <c r="D821" s="77"/>
      <c r="E821" s="77"/>
      <c r="F821" s="77"/>
      <c r="G821" s="77"/>
      <c r="H821" s="77"/>
      <c r="I821" s="77"/>
      <c r="J821" s="77"/>
      <c r="K821" s="77"/>
      <c r="L821" s="77"/>
      <c r="M821" s="77"/>
      <c r="N821" s="58"/>
      <c r="O821" s="2535"/>
      <c r="P821"/>
    </row>
    <row r="822" spans="1:16">
      <c r="A822" s="77"/>
      <c r="B822" s="77"/>
      <c r="C822" s="77"/>
      <c r="D822" s="77"/>
      <c r="E822" s="77"/>
      <c r="F822" s="77"/>
      <c r="G822" s="77"/>
      <c r="H822" s="77"/>
      <c r="I822" s="77"/>
      <c r="J822" s="77"/>
      <c r="K822" s="77"/>
      <c r="L822" s="77"/>
      <c r="M822" s="77"/>
      <c r="N822" s="58"/>
      <c r="O822" s="2535"/>
      <c r="P822"/>
    </row>
    <row r="823" spans="1:16">
      <c r="A823" s="77"/>
      <c r="B823" s="77"/>
      <c r="C823" s="77"/>
      <c r="D823" s="77"/>
      <c r="E823" s="77"/>
      <c r="F823" s="77"/>
      <c r="G823" s="77"/>
      <c r="H823" s="77"/>
      <c r="I823" s="77"/>
      <c r="J823" s="77"/>
      <c r="K823" s="77"/>
      <c r="L823" s="77"/>
      <c r="M823" s="77"/>
      <c r="N823" s="58"/>
      <c r="O823" s="2535"/>
      <c r="P823"/>
    </row>
    <row r="824" spans="1:16">
      <c r="A824" s="77"/>
      <c r="B824" s="77"/>
      <c r="C824" s="77"/>
      <c r="D824" s="77"/>
      <c r="E824" s="77"/>
      <c r="F824" s="77"/>
      <c r="G824" s="77"/>
      <c r="H824" s="77"/>
      <c r="I824" s="77"/>
      <c r="J824" s="77"/>
      <c r="K824" s="77"/>
      <c r="L824" s="77"/>
      <c r="M824" s="77"/>
      <c r="N824" s="58"/>
      <c r="O824" s="2535"/>
      <c r="P824"/>
    </row>
    <row r="825" spans="1:16">
      <c r="A825" s="77"/>
      <c r="B825" s="77"/>
      <c r="C825" s="77"/>
      <c r="D825" s="77"/>
      <c r="E825" s="77"/>
      <c r="F825" s="77"/>
      <c r="G825" s="77"/>
      <c r="H825" s="77"/>
      <c r="I825" s="77"/>
      <c r="J825" s="77"/>
      <c r="K825" s="77"/>
      <c r="L825" s="77"/>
      <c r="M825" s="77"/>
      <c r="N825" s="58"/>
      <c r="O825" s="2535"/>
      <c r="P825"/>
    </row>
    <row r="826" spans="1:16">
      <c r="A826" s="77"/>
      <c r="B826" s="77"/>
      <c r="C826" s="77"/>
      <c r="D826" s="77"/>
      <c r="E826" s="77"/>
      <c r="F826" s="77"/>
      <c r="G826" s="77"/>
      <c r="H826" s="77"/>
      <c r="I826" s="77"/>
      <c r="J826" s="77"/>
      <c r="K826" s="77"/>
      <c r="L826" s="77"/>
      <c r="M826" s="77"/>
      <c r="N826" s="58"/>
      <c r="O826" s="2535"/>
      <c r="P826"/>
    </row>
    <row r="827" spans="1:16">
      <c r="A827" s="77"/>
      <c r="B827" s="77"/>
      <c r="C827" s="77"/>
      <c r="D827" s="77"/>
      <c r="E827" s="77"/>
      <c r="F827" s="77"/>
      <c r="G827" s="77"/>
      <c r="H827" s="77"/>
      <c r="I827" s="77"/>
      <c r="J827" s="77"/>
      <c r="K827" s="77"/>
      <c r="L827" s="77"/>
      <c r="M827" s="77"/>
      <c r="N827" s="58"/>
      <c r="O827" s="2535"/>
      <c r="P827"/>
    </row>
    <row r="828" spans="1:16">
      <c r="A828" s="77"/>
      <c r="B828" s="77"/>
      <c r="C828" s="77"/>
      <c r="D828" s="77"/>
      <c r="E828" s="77"/>
      <c r="F828" s="77"/>
      <c r="G828" s="77"/>
      <c r="H828" s="77"/>
      <c r="I828" s="77"/>
      <c r="J828" s="77"/>
      <c r="K828" s="77"/>
      <c r="L828" s="77"/>
      <c r="M828" s="77"/>
      <c r="N828" s="58"/>
      <c r="O828" s="2535"/>
      <c r="P828"/>
    </row>
    <row r="829" spans="1:16">
      <c r="A829" s="77"/>
      <c r="B829" s="77"/>
      <c r="C829" s="77"/>
      <c r="D829" s="77"/>
      <c r="E829" s="77"/>
      <c r="F829" s="77"/>
      <c r="G829" s="77"/>
      <c r="H829" s="77"/>
      <c r="I829" s="77"/>
      <c r="J829" s="77"/>
      <c r="K829" s="77"/>
      <c r="L829" s="77"/>
      <c r="M829" s="77"/>
      <c r="N829" s="58"/>
      <c r="O829" s="2535"/>
      <c r="P829"/>
    </row>
    <row r="830" spans="1:16">
      <c r="A830" s="77"/>
      <c r="B830" s="77"/>
      <c r="C830" s="77"/>
      <c r="D830" s="77"/>
      <c r="E830" s="77"/>
      <c r="F830" s="77"/>
      <c r="G830" s="77"/>
      <c r="H830" s="77"/>
      <c r="I830" s="77"/>
      <c r="J830" s="77"/>
      <c r="K830" s="77"/>
      <c r="L830" s="77"/>
      <c r="M830" s="77"/>
      <c r="N830" s="58"/>
      <c r="O830" s="2535"/>
      <c r="P830"/>
    </row>
    <row r="831" spans="1:16">
      <c r="A831" s="77"/>
      <c r="B831" s="77"/>
      <c r="C831" s="77"/>
      <c r="D831" s="77"/>
      <c r="E831" s="77"/>
      <c r="F831" s="77"/>
      <c r="G831" s="77"/>
      <c r="H831" s="77"/>
      <c r="I831" s="77"/>
      <c r="J831" s="77"/>
      <c r="K831" s="77"/>
      <c r="L831" s="77"/>
      <c r="M831" s="77"/>
      <c r="N831" s="58"/>
      <c r="O831" s="2535"/>
      <c r="P831"/>
    </row>
    <row r="832" spans="1:16">
      <c r="A832" s="77"/>
      <c r="B832" s="77"/>
      <c r="C832" s="77"/>
      <c r="D832" s="77"/>
      <c r="E832" s="77"/>
      <c r="F832" s="77"/>
      <c r="G832" s="77"/>
      <c r="H832" s="77"/>
      <c r="I832" s="77"/>
      <c r="J832" s="77"/>
      <c r="K832" s="77"/>
      <c r="L832" s="77"/>
      <c r="M832" s="77"/>
      <c r="N832" s="58"/>
      <c r="O832" s="2535"/>
      <c r="P832"/>
    </row>
    <row r="833" spans="1:16">
      <c r="A833" s="77"/>
      <c r="B833" s="77"/>
      <c r="C833" s="77"/>
      <c r="D833" s="77"/>
      <c r="E833" s="77"/>
      <c r="F833" s="77"/>
      <c r="G833" s="77"/>
      <c r="H833" s="77"/>
      <c r="I833" s="77"/>
      <c r="J833" s="77"/>
      <c r="K833" s="77"/>
      <c r="L833" s="77"/>
      <c r="M833" s="77"/>
      <c r="N833" s="58"/>
      <c r="O833" s="2535"/>
      <c r="P833"/>
    </row>
    <row r="834" spans="1:16">
      <c r="A834" s="77"/>
      <c r="B834" s="77"/>
      <c r="C834" s="77"/>
      <c r="D834" s="77"/>
      <c r="E834" s="77"/>
      <c r="F834" s="77"/>
      <c r="G834" s="77"/>
      <c r="H834" s="77"/>
      <c r="I834" s="77"/>
      <c r="J834" s="77"/>
      <c r="K834" s="77"/>
      <c r="L834" s="77"/>
      <c r="M834" s="77"/>
      <c r="N834" s="58"/>
      <c r="O834" s="2535"/>
      <c r="P834"/>
    </row>
    <row r="835" spans="1:16">
      <c r="A835" s="77"/>
      <c r="B835" s="77"/>
      <c r="C835" s="77"/>
      <c r="D835" s="77"/>
      <c r="E835" s="77"/>
      <c r="F835" s="77"/>
      <c r="G835" s="77"/>
      <c r="H835" s="77"/>
      <c r="I835" s="77"/>
      <c r="J835" s="77"/>
      <c r="K835" s="77"/>
      <c r="L835" s="77"/>
      <c r="M835" s="77"/>
      <c r="N835" s="58"/>
      <c r="O835" s="2535"/>
      <c r="P835"/>
    </row>
    <row r="836" spans="1:16">
      <c r="A836" s="77"/>
      <c r="B836" s="77"/>
      <c r="C836" s="77"/>
      <c r="D836" s="77"/>
      <c r="E836" s="77"/>
      <c r="F836" s="77"/>
      <c r="G836" s="77"/>
      <c r="H836" s="77"/>
      <c r="I836" s="77"/>
      <c r="J836" s="77"/>
      <c r="K836" s="77"/>
      <c r="L836" s="77"/>
      <c r="M836" s="77"/>
      <c r="N836" s="58"/>
      <c r="O836" s="2535"/>
      <c r="P836"/>
    </row>
    <row r="837" spans="1:16">
      <c r="A837" s="77"/>
      <c r="B837" s="77"/>
      <c r="C837" s="77"/>
      <c r="D837" s="77"/>
      <c r="E837" s="77"/>
      <c r="F837" s="77"/>
      <c r="G837" s="77"/>
      <c r="H837" s="77"/>
      <c r="I837" s="77"/>
      <c r="J837" s="77"/>
      <c r="K837" s="77"/>
      <c r="L837" s="77"/>
      <c r="M837" s="77"/>
      <c r="N837" s="58"/>
      <c r="O837" s="2535"/>
      <c r="P837"/>
    </row>
    <row r="838" spans="1:16">
      <c r="A838" s="77"/>
      <c r="B838" s="77"/>
      <c r="C838" s="77"/>
      <c r="D838" s="77"/>
      <c r="E838" s="77"/>
      <c r="F838" s="77"/>
      <c r="G838" s="77"/>
      <c r="H838" s="77"/>
      <c r="I838" s="77"/>
      <c r="J838" s="77"/>
      <c r="K838" s="77"/>
      <c r="L838" s="77"/>
      <c r="M838" s="77"/>
      <c r="N838" s="58"/>
      <c r="O838" s="2535"/>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pageSetUpPr fitToPage="1"/>
  </sheetPr>
  <dimension ref="A1:AR716"/>
  <sheetViews>
    <sheetView showGridLines="0" topLeftCell="A2" workbookViewId="0">
      <selection activeCell="E20" sqref="E20"/>
    </sheetView>
  </sheetViews>
  <sheetFormatPr defaultColWidth="9.28515625" defaultRowHeight="12.75"/>
  <cols>
    <col min="1" max="1" width="3.28515625" style="96" customWidth="1"/>
    <col min="2" max="2" width="2.28515625" style="159" customWidth="1"/>
    <col min="3" max="11" width="8.7109375" style="96" customWidth="1"/>
    <col min="12" max="12" width="4" style="96" customWidth="1"/>
    <col min="13" max="13" width="8.7109375" style="96" customWidth="1"/>
    <col min="14" max="14" width="9.28515625" style="96"/>
    <col min="15" max="16" width="8.7109375" style="96" customWidth="1"/>
    <col min="17" max="17" width="9.28515625" style="96"/>
    <col min="18" max="18" width="10.28515625" style="96" bestFit="1" customWidth="1"/>
    <col min="19" max="19" width="9.28515625" style="96"/>
    <col min="20" max="20" width="10.28515625" style="96" bestFit="1" customWidth="1"/>
    <col min="21" max="25" width="9.28515625" style="96"/>
    <col min="26" max="26" width="9.28515625" style="1255"/>
    <col min="27" max="16384" width="9.28515625" style="96"/>
  </cols>
  <sheetData>
    <row r="1" spans="1:28" s="1278" customFormat="1" hidden="1">
      <c r="A1" s="1277"/>
      <c r="B1" s="1277" t="s">
        <v>3</v>
      </c>
      <c r="C1" s="1277"/>
      <c r="D1" s="1277"/>
      <c r="E1" s="1277"/>
      <c r="F1" s="1277" t="s">
        <v>4</v>
      </c>
      <c r="G1" s="1277" t="s">
        <v>5</v>
      </c>
      <c r="H1" s="1277" t="s">
        <v>6</v>
      </c>
      <c r="I1" s="1277" t="s">
        <v>7</v>
      </c>
      <c r="J1" s="1277" t="s">
        <v>8</v>
      </c>
      <c r="K1" s="1277" t="s">
        <v>9</v>
      </c>
      <c r="L1" s="1277"/>
      <c r="M1" s="1277"/>
      <c r="N1" s="1277" t="s">
        <v>10</v>
      </c>
      <c r="O1" s="1277" t="s">
        <v>11</v>
      </c>
      <c r="P1" s="1277" t="s">
        <v>12</v>
      </c>
      <c r="Z1" s="1279">
        <v>1</v>
      </c>
    </row>
    <row r="2" spans="1:28" s="95" customFormat="1" ht="14.1" customHeight="1">
      <c r="A2" s="4698" t="str">
        <f>CONCATENATE("Part I-Project Identification"," - ",$O$7," ",$F$26,", ",$F$27,", ",J27," County")</f>
        <v>Part I-Project Identification - 2024-0 Finley Place, Austell, Cobb County</v>
      </c>
      <c r="B2" s="4699"/>
      <c r="C2" s="4699"/>
      <c r="D2" s="4699"/>
      <c r="E2" s="4699"/>
      <c r="F2" s="4699"/>
      <c r="G2" s="4699"/>
      <c r="H2" s="4699"/>
      <c r="I2" s="4699"/>
      <c r="J2" s="4699"/>
      <c r="K2" s="4699"/>
      <c r="L2" s="4699"/>
      <c r="M2" s="4699"/>
      <c r="N2" s="4699"/>
      <c r="O2" s="4699"/>
      <c r="P2" s="4700"/>
      <c r="Q2" s="2512"/>
      <c r="R2" s="2512"/>
      <c r="S2" s="2512"/>
      <c r="T2" s="2512"/>
      <c r="U2" s="2512"/>
      <c r="V2" s="2512"/>
      <c r="W2" s="2512"/>
      <c r="X2" s="2512"/>
      <c r="Y2" s="2512"/>
      <c r="Z2" s="1279">
        <v>2</v>
      </c>
      <c r="AA2" s="1380">
        <v>1</v>
      </c>
      <c r="AB2" s="2512"/>
    </row>
    <row r="3" spans="1:28" s="95" customFormat="1" ht="6" customHeight="1">
      <c r="A3" s="269"/>
      <c r="B3" s="269"/>
      <c r="C3" s="269"/>
      <c r="D3" s="269"/>
      <c r="E3" s="269"/>
      <c r="F3" s="269"/>
      <c r="G3" s="269"/>
      <c r="H3" s="269"/>
      <c r="I3" s="269"/>
      <c r="J3" s="269"/>
      <c r="K3" s="269"/>
      <c r="L3" s="269"/>
      <c r="M3" s="269"/>
      <c r="N3" s="269"/>
      <c r="O3" s="269"/>
      <c r="P3" s="269"/>
      <c r="Q3" s="2512"/>
      <c r="R3" s="2512"/>
      <c r="S3" s="2512"/>
      <c r="T3" s="2512"/>
      <c r="U3" s="2512"/>
      <c r="V3" s="2512"/>
      <c r="W3" s="2512"/>
      <c r="X3" s="2512"/>
      <c r="Y3" s="2512"/>
      <c r="Z3" s="1279">
        <v>3</v>
      </c>
      <c r="AA3" s="1380">
        <v>2</v>
      </c>
      <c r="AB3" s="2512"/>
    </row>
    <row r="4" spans="1:28" s="95" customFormat="1" ht="87.75" customHeight="1">
      <c r="A4" s="2844" t="s">
        <v>13</v>
      </c>
      <c r="B4" s="2844"/>
      <c r="C4" s="2844"/>
      <c r="D4" s="2844"/>
      <c r="E4" s="2844"/>
      <c r="F4" s="2844"/>
      <c r="G4" s="2844"/>
      <c r="H4" s="2844"/>
      <c r="I4" s="2844"/>
      <c r="J4" s="2844"/>
      <c r="K4" s="2844"/>
      <c r="L4" s="2844"/>
      <c r="M4" s="2844"/>
      <c r="N4" s="2844"/>
      <c r="O4" s="2844"/>
      <c r="P4" s="2844"/>
      <c r="Q4" s="2512"/>
      <c r="R4" s="2512"/>
      <c r="S4" s="2512"/>
      <c r="T4" s="2512"/>
      <c r="U4" s="2512"/>
      <c r="V4" s="2512"/>
      <c r="W4" s="2512"/>
      <c r="X4" s="2512"/>
      <c r="Y4" s="2512"/>
      <c r="Z4" s="1279">
        <v>4</v>
      </c>
      <c r="AA4" s="1380">
        <v>3</v>
      </c>
      <c r="AB4" s="2512"/>
    </row>
    <row r="5" spans="1:28" s="95" customFormat="1" ht="9.75" customHeight="1">
      <c r="A5" s="269"/>
      <c r="B5" s="269"/>
      <c r="C5" s="269"/>
      <c r="D5" s="269"/>
      <c r="E5" s="269"/>
      <c r="F5" s="269"/>
      <c r="G5" s="269"/>
      <c r="H5" s="269"/>
      <c r="I5" s="269"/>
      <c r="J5" s="269"/>
      <c r="K5" s="269"/>
      <c r="L5" s="269"/>
      <c r="M5" s="269"/>
      <c r="N5" s="269"/>
      <c r="O5" s="269"/>
      <c r="P5" s="269"/>
      <c r="Q5" s="2512"/>
      <c r="R5" s="2512"/>
      <c r="S5" s="2512"/>
      <c r="T5" s="2512"/>
      <c r="U5" s="2512"/>
      <c r="V5" s="2512"/>
      <c r="W5" s="2512"/>
      <c r="X5" s="2512"/>
      <c r="Y5" s="2512"/>
      <c r="Z5" s="1279">
        <v>5</v>
      </c>
      <c r="AA5" s="1380">
        <v>4</v>
      </c>
      <c r="AB5" s="2512"/>
    </row>
    <row r="6" spans="1:28" s="95" customFormat="1" ht="12" customHeight="1" thickBot="1">
      <c r="A6" s="2845" t="s">
        <v>14</v>
      </c>
      <c r="B6" s="2845"/>
      <c r="C6" s="2845"/>
      <c r="D6" s="2845"/>
      <c r="E6" s="2512"/>
      <c r="F6" s="4701"/>
      <c r="G6" s="136" t="s">
        <v>15</v>
      </c>
      <c r="H6" s="2512"/>
      <c r="I6" s="2512"/>
      <c r="J6" s="2512"/>
      <c r="K6" s="2512"/>
      <c r="L6" s="269"/>
      <c r="M6" s="2512"/>
      <c r="N6" s="2512"/>
      <c r="O6" s="2512"/>
      <c r="P6" s="1354" t="s">
        <v>16</v>
      </c>
      <c r="Q6" s="2512"/>
      <c r="R6" s="2512"/>
      <c r="S6" s="2512"/>
      <c r="T6" s="2512"/>
      <c r="U6" s="2512"/>
      <c r="V6" s="2512"/>
      <c r="W6" s="2512"/>
      <c r="X6" s="2512"/>
      <c r="Y6" s="2512"/>
      <c r="Z6" s="1279">
        <v>6</v>
      </c>
      <c r="AA6" s="1380">
        <v>5</v>
      </c>
      <c r="AB6" s="2512"/>
    </row>
    <row r="7" spans="1:28" s="95" customFormat="1" ht="12" customHeight="1" thickBot="1">
      <c r="A7" s="2845"/>
      <c r="B7" s="2845"/>
      <c r="C7" s="2845"/>
      <c r="D7" s="2845"/>
      <c r="E7" s="754"/>
      <c r="F7" s="4702"/>
      <c r="G7" s="136" t="s">
        <v>17</v>
      </c>
      <c r="H7" s="2518"/>
      <c r="I7" s="2518"/>
      <c r="J7" s="2518"/>
      <c r="K7" s="2512"/>
      <c r="L7" s="2512"/>
      <c r="M7" s="2512"/>
      <c r="N7" s="2512"/>
      <c r="O7" s="2846" t="s">
        <v>18</v>
      </c>
      <c r="P7" s="2847"/>
      <c r="Q7" s="4703" t="s">
        <v>19</v>
      </c>
      <c r="R7" s="4703"/>
      <c r="S7" s="4704"/>
      <c r="T7" s="2512"/>
      <c r="U7" s="2512"/>
      <c r="V7" s="2512"/>
      <c r="W7" s="2512"/>
      <c r="X7" s="2512"/>
      <c r="Y7" s="2512"/>
      <c r="Z7" s="1279">
        <v>7</v>
      </c>
      <c r="AA7" s="1380">
        <v>6</v>
      </c>
      <c r="AB7" s="2512"/>
    </row>
    <row r="8" spans="1:28" s="95" customFormat="1" ht="12" customHeight="1">
      <c r="A8" s="2845"/>
      <c r="B8" s="2845"/>
      <c r="C8" s="2845"/>
      <c r="D8" s="2845"/>
      <c r="E8" s="754"/>
      <c r="F8" s="299"/>
      <c r="G8" s="98" t="s">
        <v>20</v>
      </c>
      <c r="H8" s="2518"/>
      <c r="I8" s="2518"/>
      <c r="J8" s="2518"/>
      <c r="K8" s="2512"/>
      <c r="L8" s="2512"/>
      <c r="M8" s="2512"/>
      <c r="N8" s="2512"/>
      <c r="O8" s="2512"/>
      <c r="P8" s="2512"/>
      <c r="Q8" s="2848"/>
      <c r="R8" s="2849"/>
      <c r="S8" s="2850"/>
      <c r="T8" s="2512"/>
      <c r="U8" s="2512"/>
      <c r="V8" s="2512"/>
      <c r="W8" s="2512"/>
      <c r="X8" s="2512"/>
      <c r="Y8" s="2512"/>
      <c r="Z8" s="1279">
        <v>8</v>
      </c>
      <c r="AA8" s="1380">
        <v>7</v>
      </c>
      <c r="AB8" s="2512"/>
    </row>
    <row r="9" spans="1:28" s="95" customFormat="1" ht="6" customHeight="1">
      <c r="A9" s="269"/>
      <c r="B9" s="2512"/>
      <c r="C9" s="2512"/>
      <c r="D9" s="2512"/>
      <c r="E9" s="2518"/>
      <c r="F9" s="2512"/>
      <c r="G9" s="2512"/>
      <c r="H9" s="2518"/>
      <c r="I9" s="2518"/>
      <c r="J9" s="2512"/>
      <c r="K9" s="2512"/>
      <c r="L9" s="2512"/>
      <c r="M9" s="2518"/>
      <c r="N9" s="2512"/>
      <c r="O9" s="2512"/>
      <c r="P9" s="2512"/>
      <c r="Q9" s="2848"/>
      <c r="R9" s="2849"/>
      <c r="S9" s="2850"/>
      <c r="T9" s="2512"/>
      <c r="U9" s="2512"/>
      <c r="V9" s="2512"/>
      <c r="W9" s="2512"/>
      <c r="X9" s="2512"/>
      <c r="Y9" s="2512"/>
      <c r="Z9" s="1279">
        <v>9</v>
      </c>
      <c r="AA9" s="1380">
        <v>8</v>
      </c>
      <c r="AB9" s="2512"/>
    </row>
    <row r="10" spans="1:28" s="95" customFormat="1" ht="13.35" customHeight="1">
      <c r="A10" s="151" t="s">
        <v>21</v>
      </c>
      <c r="B10" s="151" t="s">
        <v>22</v>
      </c>
      <c r="C10" s="2512"/>
      <c r="D10" s="96"/>
      <c r="E10" s="152"/>
      <c r="F10" s="2519" t="s">
        <v>23</v>
      </c>
      <c r="G10" s="2512"/>
      <c r="H10" s="2512"/>
      <c r="I10" s="2854">
        <f>'Part III-A-Uses of Funds'!$J$191</f>
        <v>1295000</v>
      </c>
      <c r="J10" s="2855"/>
      <c r="K10" s="2512"/>
      <c r="L10" s="2512" t="s">
        <v>24</v>
      </c>
      <c r="M10" s="2512"/>
      <c r="N10" s="2512"/>
      <c r="O10" s="2856">
        <f>'Part II-Sources of Funds'!$I$6</f>
        <v>0</v>
      </c>
      <c r="P10" s="2857"/>
      <c r="Q10" s="2848"/>
      <c r="R10" s="2849"/>
      <c r="S10" s="2850"/>
      <c r="T10" s="2512"/>
      <c r="U10" s="2512"/>
      <c r="V10" s="2512"/>
      <c r="W10" s="2512"/>
      <c r="X10" s="2512"/>
      <c r="Y10" s="2512"/>
      <c r="Z10" s="1279">
        <v>10</v>
      </c>
      <c r="AA10" s="1380">
        <v>9</v>
      </c>
      <c r="AB10" s="2512"/>
    </row>
    <row r="11" spans="1:28" s="95" customFormat="1" ht="6" customHeight="1">
      <c r="A11" s="151"/>
      <c r="B11" s="151"/>
      <c r="C11" s="2512"/>
      <c r="D11" s="96"/>
      <c r="E11" s="152"/>
      <c r="F11" s="152"/>
      <c r="G11" s="2512"/>
      <c r="H11" s="2512"/>
      <c r="I11" s="134"/>
      <c r="J11" s="2512"/>
      <c r="K11" s="2512"/>
      <c r="L11" s="2512"/>
      <c r="M11" s="2512"/>
      <c r="N11" s="154"/>
      <c r="O11" s="2512"/>
      <c r="P11" s="2512"/>
      <c r="Q11" s="2848"/>
      <c r="R11" s="2849"/>
      <c r="S11" s="2850"/>
      <c r="T11" s="2512"/>
      <c r="U11" s="2512"/>
      <c r="V11" s="2512"/>
      <c r="W11" s="2512"/>
      <c r="X11" s="2512"/>
      <c r="Y11" s="2512"/>
      <c r="Z11" s="1279">
        <v>11</v>
      </c>
      <c r="AA11" s="1380">
        <v>10</v>
      </c>
      <c r="AB11" s="2512"/>
    </row>
    <row r="12" spans="1:28" s="95" customFormat="1" ht="13.5">
      <c r="A12" s="134" t="s">
        <v>25</v>
      </c>
      <c r="B12" s="151" t="s">
        <v>26</v>
      </c>
      <c r="C12" s="2512"/>
      <c r="D12" s="2512"/>
      <c r="E12" s="2512"/>
      <c r="F12" s="2858" t="s">
        <v>27</v>
      </c>
      <c r="G12" s="2859"/>
      <c r="H12" s="2860"/>
      <c r="I12" s="1355" t="s">
        <v>28</v>
      </c>
      <c r="J12" s="1135" t="s">
        <v>29</v>
      </c>
      <c r="K12" s="151"/>
      <c r="L12" s="2518"/>
      <c r="M12" s="2512"/>
      <c r="N12" s="2512"/>
      <c r="O12" s="2861" t="s">
        <v>30</v>
      </c>
      <c r="P12" s="2862"/>
      <c r="Q12" s="2848"/>
      <c r="R12" s="2849"/>
      <c r="S12" s="2850"/>
      <c r="T12" s="2512"/>
      <c r="U12" s="2512"/>
      <c r="V12" s="2512"/>
      <c r="W12" s="2512"/>
      <c r="X12" s="2512"/>
      <c r="Y12" s="2512"/>
      <c r="Z12" s="1279">
        <v>12</v>
      </c>
      <c r="AA12" s="1380">
        <v>11</v>
      </c>
      <c r="AB12" s="2512"/>
    </row>
    <row r="13" spans="1:28" s="1621" customFormat="1" ht="15">
      <c r="A13" s="1596"/>
      <c r="C13" s="2546"/>
      <c r="D13" s="2546"/>
      <c r="E13" s="2546"/>
      <c r="F13" s="1711" t="s">
        <v>31</v>
      </c>
      <c r="H13" s="1709"/>
      <c r="I13" s="1709"/>
      <c r="J13" s="1709"/>
      <c r="K13" s="1709"/>
      <c r="L13" s="1709"/>
      <c r="M13" s="1709"/>
      <c r="N13" s="1709"/>
      <c r="O13" s="1710"/>
      <c r="P13" s="1707"/>
      <c r="Q13" s="2848"/>
      <c r="R13" s="2849"/>
      <c r="S13" s="2850"/>
      <c r="T13" s="1685"/>
      <c r="U13" s="1685"/>
      <c r="V13" s="1685"/>
      <c r="W13" s="1685"/>
      <c r="X13" s="1685"/>
      <c r="Y13" s="1685"/>
      <c r="Z13" s="1279">
        <v>13</v>
      </c>
      <c r="AA13" s="1380">
        <v>12</v>
      </c>
      <c r="AB13" s="1685"/>
    </row>
    <row r="14" spans="1:28" s="95" customFormat="1">
      <c r="A14" s="269"/>
      <c r="B14" s="96"/>
      <c r="C14" s="96"/>
      <c r="D14" s="96"/>
      <c r="E14" s="96"/>
      <c r="F14" s="2512"/>
      <c r="G14" s="2512"/>
      <c r="H14" s="2518"/>
      <c r="I14" s="2512"/>
      <c r="J14" s="286"/>
      <c r="K14" s="134"/>
      <c r="L14" s="2512"/>
      <c r="M14" s="2518"/>
      <c r="N14" s="2512"/>
      <c r="O14" s="2512"/>
      <c r="P14" s="2512"/>
      <c r="Q14" s="2848"/>
      <c r="R14" s="2849"/>
      <c r="S14" s="2850"/>
      <c r="T14" s="2512"/>
      <c r="U14" s="2512"/>
      <c r="V14" s="2512"/>
      <c r="W14" s="2512"/>
      <c r="X14" s="2512"/>
      <c r="Y14" s="2512"/>
      <c r="Z14" s="1279">
        <v>14</v>
      </c>
      <c r="AA14" s="1380">
        <v>13</v>
      </c>
      <c r="AB14" s="2512"/>
    </row>
    <row r="15" spans="1:28" s="95" customFormat="1">
      <c r="A15" s="134" t="s">
        <v>32</v>
      </c>
      <c r="B15" s="151" t="s">
        <v>33</v>
      </c>
      <c r="C15" s="2512"/>
      <c r="D15" s="2519"/>
      <c r="E15" s="152"/>
      <c r="F15" s="2512"/>
      <c r="G15" s="152"/>
      <c r="H15" s="152"/>
      <c r="I15" s="568" t="s">
        <v>34</v>
      </c>
      <c r="J15" s="2512"/>
      <c r="K15" s="2512"/>
      <c r="L15" s="154"/>
      <c r="M15" s="2512"/>
      <c r="N15" s="2512"/>
      <c r="O15" s="2512"/>
      <c r="P15" s="2512"/>
      <c r="Q15" s="2848"/>
      <c r="R15" s="2849"/>
      <c r="S15" s="2850"/>
      <c r="T15" s="2512"/>
      <c r="U15" s="2512"/>
      <c r="V15" s="2512"/>
      <c r="W15" s="2512"/>
      <c r="X15" s="2512"/>
      <c r="Y15" s="2512"/>
      <c r="Z15" s="1279">
        <v>15</v>
      </c>
      <c r="AA15" s="1380">
        <v>14</v>
      </c>
      <c r="AB15" s="2512"/>
    </row>
    <row r="16" spans="1:28" s="95" customFormat="1">
      <c r="A16" s="2512"/>
      <c r="B16" s="2512" t="s">
        <v>35</v>
      </c>
      <c r="C16" s="2512"/>
      <c r="D16" s="2512"/>
      <c r="E16" s="2512"/>
      <c r="F16" s="2863" t="s">
        <v>36</v>
      </c>
      <c r="G16" s="2864"/>
      <c r="H16" s="2865"/>
      <c r="I16" s="1673" t="s">
        <v>37</v>
      </c>
      <c r="J16" s="2873" t="s">
        <v>38</v>
      </c>
      <c r="K16" s="2868"/>
      <c r="L16" s="2869"/>
      <c r="M16" s="1458" t="s">
        <v>39</v>
      </c>
      <c r="N16" s="2863" t="s">
        <v>40</v>
      </c>
      <c r="O16" s="2864"/>
      <c r="P16" s="2865"/>
      <c r="Q16" s="2848"/>
      <c r="R16" s="2849"/>
      <c r="S16" s="2850"/>
      <c r="T16" s="2512"/>
      <c r="U16" s="2512"/>
      <c r="V16" s="2512"/>
      <c r="W16" s="2512"/>
      <c r="X16" s="2512"/>
      <c r="Y16" s="2512"/>
      <c r="Z16" s="1279">
        <v>16</v>
      </c>
      <c r="AA16" s="1380">
        <v>15</v>
      </c>
      <c r="AB16" s="2512"/>
    </row>
    <row r="17" spans="1:27" s="95" customFormat="1" ht="12.75" customHeight="1">
      <c r="A17" s="2512"/>
      <c r="B17" s="2519" t="s">
        <v>41</v>
      </c>
      <c r="C17" s="2512"/>
      <c r="D17" s="2512"/>
      <c r="E17" s="2512"/>
      <c r="F17" s="2874">
        <v>4049493870</v>
      </c>
      <c r="G17" s="2875"/>
      <c r="H17" s="2876"/>
      <c r="I17" s="1674" t="s">
        <v>42</v>
      </c>
      <c r="J17" s="2517"/>
      <c r="K17" s="2512"/>
      <c r="L17" s="2512"/>
      <c r="M17" s="2519" t="s">
        <v>43</v>
      </c>
      <c r="N17" s="2874">
        <v>4049493871</v>
      </c>
      <c r="O17" s="2875"/>
      <c r="P17" s="2876"/>
      <c r="Q17" s="2848"/>
      <c r="R17" s="2849"/>
      <c r="S17" s="2850"/>
      <c r="T17" s="2512"/>
      <c r="U17" s="2512"/>
      <c r="V17" s="568"/>
      <c r="W17" s="568"/>
      <c r="X17" s="568"/>
      <c r="Y17" s="2512"/>
      <c r="Z17" s="1279">
        <v>17</v>
      </c>
      <c r="AA17" s="1380">
        <v>16</v>
      </c>
    </row>
    <row r="18" spans="1:27" s="95" customFormat="1">
      <c r="A18" s="2512"/>
      <c r="B18" s="2519" t="s">
        <v>44</v>
      </c>
      <c r="C18" s="2512"/>
      <c r="D18" s="2512"/>
      <c r="E18" s="2512"/>
      <c r="F18" s="2866" t="s">
        <v>45</v>
      </c>
      <c r="G18" s="2867"/>
      <c r="H18" s="2867"/>
      <c r="I18" s="2868"/>
      <c r="J18" s="2867"/>
      <c r="K18" s="2868"/>
      <c r="L18" s="2869"/>
      <c r="M18" s="2519" t="s">
        <v>46</v>
      </c>
      <c r="N18" s="2870"/>
      <c r="O18" s="2871"/>
      <c r="P18" s="2872"/>
      <c r="Q18" s="2848"/>
      <c r="R18" s="2849"/>
      <c r="S18" s="2850"/>
      <c r="T18" s="2512"/>
      <c r="U18" s="568"/>
      <c r="V18" s="568"/>
      <c r="W18" s="568"/>
      <c r="X18" s="568"/>
      <c r="Y18" s="2512"/>
      <c r="Z18" s="1279">
        <v>18</v>
      </c>
      <c r="AA18" s="1380">
        <v>17</v>
      </c>
    </row>
    <row r="19" spans="1:27" s="95" customFormat="1">
      <c r="A19" s="269"/>
      <c r="B19" s="151" t="s">
        <v>47</v>
      </c>
      <c r="C19" s="96"/>
      <c r="D19" s="2512"/>
      <c r="E19" s="2512"/>
      <c r="F19" s="2512"/>
      <c r="G19" s="2512"/>
      <c r="H19" s="2518"/>
      <c r="I19" s="2512"/>
      <c r="J19" s="96"/>
      <c r="K19" s="2512"/>
      <c r="L19" s="2512"/>
      <c r="M19" s="2512"/>
      <c r="N19" s="2512"/>
      <c r="O19" s="2512"/>
      <c r="P19" s="2518"/>
      <c r="Q19" s="2848"/>
      <c r="R19" s="2849"/>
      <c r="S19" s="2850"/>
      <c r="T19" s="2512"/>
      <c r="U19" s="2512"/>
      <c r="V19" s="2512"/>
      <c r="W19" s="2512"/>
      <c r="X19" s="2512"/>
      <c r="Y19" s="2512"/>
      <c r="Z19" s="1279">
        <v>19</v>
      </c>
      <c r="AA19" s="1380">
        <v>18</v>
      </c>
    </row>
    <row r="20" spans="1:27" s="95" customFormat="1">
      <c r="A20" s="2512"/>
      <c r="B20" s="2512" t="s">
        <v>35</v>
      </c>
      <c r="C20" s="2512"/>
      <c r="D20" s="2512"/>
      <c r="E20" s="2512"/>
      <c r="F20" s="2863" t="s">
        <v>36</v>
      </c>
      <c r="G20" s="2864"/>
      <c r="H20" s="2865"/>
      <c r="I20" s="1673" t="s">
        <v>37</v>
      </c>
      <c r="J20" s="2873" t="s">
        <v>48</v>
      </c>
      <c r="K20" s="2868"/>
      <c r="L20" s="2869"/>
      <c r="M20" s="1458" t="s">
        <v>39</v>
      </c>
      <c r="N20" s="2863" t="s">
        <v>49</v>
      </c>
      <c r="O20" s="2864"/>
      <c r="P20" s="2865"/>
      <c r="Q20" s="2848"/>
      <c r="R20" s="2849"/>
      <c r="S20" s="2850"/>
      <c r="T20" s="2512"/>
      <c r="U20" s="2512"/>
      <c r="V20" s="2512"/>
      <c r="W20" s="2512"/>
      <c r="X20" s="2512"/>
      <c r="Y20" s="2512"/>
      <c r="Z20" s="1279">
        <v>20</v>
      </c>
      <c r="AA20" s="1380">
        <v>19</v>
      </c>
    </row>
    <row r="21" spans="1:27" s="95" customFormat="1">
      <c r="A21" s="2512"/>
      <c r="B21" s="2519" t="s">
        <v>41</v>
      </c>
      <c r="C21" s="2512"/>
      <c r="D21" s="2512"/>
      <c r="E21" s="2512"/>
      <c r="F21" s="2874">
        <v>6787050738</v>
      </c>
      <c r="G21" s="2875"/>
      <c r="H21" s="2876"/>
      <c r="I21" s="1674" t="s">
        <v>42</v>
      </c>
      <c r="J21" s="2517"/>
      <c r="K21" s="2512"/>
      <c r="L21" s="2512"/>
      <c r="M21" s="2519" t="s">
        <v>43</v>
      </c>
      <c r="N21" s="2874">
        <v>6787050738</v>
      </c>
      <c r="O21" s="2875"/>
      <c r="P21" s="2876"/>
      <c r="Q21" s="2848"/>
      <c r="R21" s="2849"/>
      <c r="S21" s="2850"/>
      <c r="T21" s="2512"/>
      <c r="U21" s="142"/>
      <c r="V21" s="142"/>
      <c r="W21" s="142"/>
      <c r="X21" s="142"/>
      <c r="Y21" s="2512"/>
      <c r="Z21" s="1279">
        <v>21</v>
      </c>
      <c r="AA21" s="1380">
        <v>20</v>
      </c>
    </row>
    <row r="22" spans="1:27" s="95" customFormat="1">
      <c r="A22" s="2512"/>
      <c r="B22" s="2519" t="s">
        <v>44</v>
      </c>
      <c r="C22" s="2512"/>
      <c r="D22" s="2512"/>
      <c r="E22" s="2512"/>
      <c r="F22" s="2866" t="s">
        <v>50</v>
      </c>
      <c r="G22" s="2867"/>
      <c r="H22" s="2867"/>
      <c r="I22" s="2868"/>
      <c r="J22" s="2867"/>
      <c r="K22" s="2868"/>
      <c r="L22" s="2869"/>
      <c r="M22" s="2519" t="s">
        <v>46</v>
      </c>
      <c r="N22" s="2870"/>
      <c r="O22" s="2871"/>
      <c r="P22" s="2872"/>
      <c r="Q22" s="2848"/>
      <c r="R22" s="2849"/>
      <c r="S22" s="2850"/>
      <c r="T22" s="2512"/>
      <c r="U22" s="2512"/>
      <c r="V22" s="2512"/>
      <c r="W22" s="2512"/>
      <c r="X22" s="2512"/>
      <c r="Y22" s="2512"/>
      <c r="Z22" s="1279">
        <v>22</v>
      </c>
      <c r="AA22" s="1380">
        <v>21</v>
      </c>
    </row>
    <row r="23" spans="1:27" s="95" customFormat="1">
      <c r="A23" s="2512"/>
      <c r="B23" s="2512"/>
      <c r="C23" s="2512"/>
      <c r="D23" s="2512"/>
      <c r="E23" s="2512"/>
      <c r="F23" s="2512"/>
      <c r="G23" s="2512"/>
      <c r="H23" s="2512"/>
      <c r="I23" s="96"/>
      <c r="J23" s="96"/>
      <c r="K23" s="96"/>
      <c r="L23" s="96"/>
      <c r="M23" s="96"/>
      <c r="N23" s="96"/>
      <c r="O23" s="96"/>
      <c r="P23" s="96"/>
      <c r="Q23" s="2848"/>
      <c r="R23" s="2849"/>
      <c r="S23" s="2850"/>
      <c r="T23" s="2512"/>
      <c r="U23" s="2512"/>
      <c r="V23" s="2512"/>
      <c r="W23" s="2512"/>
      <c r="X23" s="2512"/>
      <c r="Y23" s="2512"/>
      <c r="Z23" s="1279">
        <v>23</v>
      </c>
      <c r="AA23" s="1380">
        <v>22</v>
      </c>
    </row>
    <row r="24" spans="1:27" s="95" customFormat="1">
      <c r="A24" s="134" t="s">
        <v>51</v>
      </c>
      <c r="B24" s="151" t="s">
        <v>52</v>
      </c>
      <c r="C24" s="2512"/>
      <c r="D24" s="96"/>
      <c r="E24" s="152"/>
      <c r="F24" s="152"/>
      <c r="G24" s="2519"/>
      <c r="H24" s="152"/>
      <c r="I24" s="152"/>
      <c r="J24" s="152"/>
      <c r="K24" s="2512"/>
      <c r="L24" s="2512"/>
      <c r="M24" s="2512"/>
      <c r="N24" s="2512"/>
      <c r="O24" s="2512"/>
      <c r="P24" s="2512"/>
      <c r="Q24" s="2848"/>
      <c r="R24" s="2849"/>
      <c r="S24" s="2850"/>
      <c r="T24" s="2512"/>
      <c r="U24" s="2512"/>
      <c r="V24" s="2512"/>
      <c r="W24" s="2512"/>
      <c r="X24" s="2512"/>
      <c r="Y24" s="2512"/>
      <c r="Z24" s="1279">
        <v>24</v>
      </c>
      <c r="AA24" s="1380">
        <v>23</v>
      </c>
    </row>
    <row r="25" spans="1:27" s="95" customFormat="1" ht="1.5" customHeight="1">
      <c r="A25" s="134"/>
      <c r="B25" s="151"/>
      <c r="C25" s="2512"/>
      <c r="D25" s="96"/>
      <c r="E25" s="152"/>
      <c r="F25" s="152"/>
      <c r="G25" s="2519"/>
      <c r="H25" s="152"/>
      <c r="I25" s="152"/>
      <c r="J25" s="152"/>
      <c r="K25" s="2512"/>
      <c r="L25" s="154"/>
      <c r="M25" s="154"/>
      <c r="N25" s="2512"/>
      <c r="O25" s="2512"/>
      <c r="P25" s="2512"/>
      <c r="Q25" s="2848"/>
      <c r="R25" s="2849"/>
      <c r="S25" s="2850"/>
      <c r="T25" s="2512"/>
      <c r="U25" s="2512"/>
      <c r="V25" s="2512"/>
      <c r="W25" s="2512"/>
      <c r="X25" s="2512"/>
      <c r="Y25" s="2512"/>
      <c r="Z25" s="1279">
        <v>25</v>
      </c>
      <c r="AA25" s="1380">
        <v>24</v>
      </c>
    </row>
    <row r="26" spans="1:27" s="95" customFormat="1" ht="13.35" customHeight="1">
      <c r="A26" s="151"/>
      <c r="B26" s="2512" t="s">
        <v>53</v>
      </c>
      <c r="C26" s="2512"/>
      <c r="D26" s="151"/>
      <c r="E26" s="2512"/>
      <c r="F26" s="2873" t="s">
        <v>54</v>
      </c>
      <c r="G26" s="2878"/>
      <c r="H26" s="2878"/>
      <c r="I26" s="2868"/>
      <c r="J26" s="2878"/>
      <c r="K26" s="4705"/>
      <c r="L26" s="2512"/>
      <c r="M26" s="2519" t="s">
        <v>55</v>
      </c>
      <c r="N26" s="2512"/>
      <c r="O26" s="2512"/>
      <c r="P26" s="1459" t="s">
        <v>56</v>
      </c>
      <c r="Q26" s="2848"/>
      <c r="R26" s="2849"/>
      <c r="S26" s="2850"/>
      <c r="T26" s="2512"/>
      <c r="U26" s="2512"/>
      <c r="V26" s="2512"/>
      <c r="W26" s="2512"/>
      <c r="X26" s="2512"/>
      <c r="Y26" s="2512"/>
      <c r="Z26" s="1279">
        <v>26</v>
      </c>
      <c r="AA26" s="1380">
        <v>25</v>
      </c>
    </row>
    <row r="27" spans="1:27" s="95" customFormat="1">
      <c r="A27" s="269"/>
      <c r="B27" s="2512" t="s">
        <v>57</v>
      </c>
      <c r="C27" s="2512"/>
      <c r="D27" s="2512"/>
      <c r="E27" s="2512"/>
      <c r="F27" s="2879" t="s">
        <v>58</v>
      </c>
      <c r="G27" s="2880"/>
      <c r="H27" s="2881"/>
      <c r="I27" s="162" t="s">
        <v>59</v>
      </c>
      <c r="J27" s="2882" t="str">
        <f>IF(F27="","",VLOOKUP(F27,'DCA Underwriting Assumptions'!$T$166:$U$795,2,FALSE))</f>
        <v>Cobb</v>
      </c>
      <c r="K27" s="2883"/>
      <c r="L27" s="2512"/>
      <c r="M27" s="2519" t="s">
        <v>60</v>
      </c>
      <c r="N27" s="2512"/>
      <c r="O27" s="2512"/>
      <c r="P27" s="1511" t="s">
        <v>56</v>
      </c>
      <c r="Q27" s="2848"/>
      <c r="R27" s="2849"/>
      <c r="S27" s="2850"/>
      <c r="T27" s="2512"/>
      <c r="U27" s="269"/>
      <c r="V27" s="2512"/>
      <c r="W27" s="2512"/>
      <c r="X27" s="2512"/>
      <c r="Y27" s="2512"/>
      <c r="Z27" s="1279">
        <v>27</v>
      </c>
      <c r="AA27" s="1380">
        <v>26</v>
      </c>
    </row>
    <row r="28" spans="1:27" s="95" customFormat="1" ht="13.5">
      <c r="A28" s="269"/>
      <c r="B28" s="2512" t="s">
        <v>61</v>
      </c>
      <c r="C28" s="157"/>
      <c r="D28" s="158"/>
      <c r="E28" s="158"/>
      <c r="F28" s="2879" t="s">
        <v>62</v>
      </c>
      <c r="G28" s="2884"/>
      <c r="H28" s="2885"/>
      <c r="I28" s="2518"/>
      <c r="J28" s="284" t="s">
        <v>63</v>
      </c>
      <c r="K28" s="2518"/>
      <c r="L28" s="2512"/>
      <c r="M28" s="2519" t="s">
        <v>64</v>
      </c>
      <c r="N28" s="2512"/>
      <c r="O28" s="2886">
        <v>5.8479999999999999</v>
      </c>
      <c r="P28" s="2887"/>
      <c r="Q28" s="2848"/>
      <c r="R28" s="2849"/>
      <c r="S28" s="2850"/>
      <c r="T28" s="2512"/>
      <c r="U28" s="2512"/>
      <c r="V28" s="2512"/>
      <c r="W28" s="2512"/>
      <c r="X28" s="2512"/>
      <c r="Y28" s="2512"/>
      <c r="Z28" s="1279">
        <v>28</v>
      </c>
      <c r="AA28" s="1380">
        <v>27</v>
      </c>
    </row>
    <row r="29" spans="1:27" s="95" customFormat="1">
      <c r="A29" s="269"/>
      <c r="B29" s="2512" t="s">
        <v>65</v>
      </c>
      <c r="C29" s="2512"/>
      <c r="D29" s="2512"/>
      <c r="E29" s="2512"/>
      <c r="F29" s="920" t="s">
        <v>56</v>
      </c>
      <c r="G29" s="2511"/>
      <c r="H29" s="2512"/>
      <c r="I29" s="1510"/>
      <c r="J29" s="2518" t="s">
        <v>66</v>
      </c>
      <c r="K29" s="1512" t="str">
        <f>IF(F29="Yes","Rural","Urban")</f>
        <v>Urban</v>
      </c>
      <c r="L29" s="2512"/>
      <c r="M29" s="2519" t="s">
        <v>67</v>
      </c>
      <c r="N29" s="1513" t="str">
        <f>VLOOKUP($J$27,'DCA Underwriting Assumptions'!$G$166:$J$325,4)</f>
        <v>MSA</v>
      </c>
      <c r="O29" s="2882" t="str">
        <f>IF($F$27="","",VLOOKUP($J$27,'DCA Underwriting Assumptions'!$G$166:$L$325,3,FALSE))</f>
        <v>Atlanta-Sandy Springs-Marietta</v>
      </c>
      <c r="P29" s="2883"/>
      <c r="Q29" s="2848"/>
      <c r="R29" s="2849"/>
      <c r="S29" s="2850"/>
      <c r="T29" s="2512"/>
      <c r="U29" s="2512"/>
      <c r="V29" s="2512"/>
      <c r="W29" s="2512"/>
      <c r="X29" s="2512"/>
      <c r="Y29" s="2512"/>
      <c r="Z29" s="1279">
        <v>29</v>
      </c>
      <c r="AA29" s="1380">
        <v>28</v>
      </c>
    </row>
    <row r="30" spans="1:27" s="95" customFormat="1">
      <c r="A30" s="269"/>
      <c r="B30" s="269"/>
      <c r="C30" s="157"/>
      <c r="D30" s="158"/>
      <c r="E30" s="158"/>
      <c r="F30" s="2518"/>
      <c r="G30" s="2518"/>
      <c r="H30" s="2518"/>
      <c r="I30" s="2518"/>
      <c r="J30" s="158"/>
      <c r="K30" s="2518"/>
      <c r="L30" s="2518"/>
      <c r="M30" s="2512"/>
      <c r="N30" s="2512"/>
      <c r="O30" s="2512"/>
      <c r="P30" s="2518"/>
      <c r="Q30" s="2848"/>
      <c r="R30" s="2849"/>
      <c r="S30" s="2850"/>
      <c r="T30" s="2512"/>
      <c r="U30" s="2512"/>
      <c r="V30" s="2512"/>
      <c r="W30" s="2512"/>
      <c r="X30" s="2512"/>
      <c r="Y30" s="2512"/>
      <c r="Z30" s="1279">
        <v>30</v>
      </c>
      <c r="AA30" s="1380">
        <v>29</v>
      </c>
    </row>
    <row r="31" spans="1:27" s="95" customFormat="1">
      <c r="A31" s="134" t="s">
        <v>68</v>
      </c>
      <c r="B31" s="134" t="s">
        <v>69</v>
      </c>
      <c r="C31" s="2512"/>
      <c r="D31" s="159"/>
      <c r="E31" s="159"/>
      <c r="F31" s="159"/>
      <c r="G31" s="2518"/>
      <c r="H31" s="2518"/>
      <c r="I31" s="2518"/>
      <c r="J31" s="158"/>
      <c r="K31" s="2518"/>
      <c r="L31" s="2518"/>
      <c r="M31" s="2512"/>
      <c r="N31" s="2512"/>
      <c r="O31" s="2512"/>
      <c r="P31" s="1494"/>
      <c r="Q31" s="2848"/>
      <c r="R31" s="2849"/>
      <c r="S31" s="2850"/>
      <c r="T31" s="2512"/>
      <c r="U31" s="2512"/>
      <c r="V31" s="2512"/>
      <c r="W31" s="2512"/>
      <c r="X31" s="2512"/>
      <c r="Y31" s="2512"/>
      <c r="Z31" s="1279">
        <v>31</v>
      </c>
      <c r="AA31" s="1380">
        <v>30</v>
      </c>
    </row>
    <row r="32" spans="1:27" s="95" customFormat="1" ht="2.25" customHeight="1">
      <c r="A32" s="269"/>
      <c r="B32" s="269"/>
      <c r="C32" s="2512"/>
      <c r="D32" s="2512"/>
      <c r="E32" s="2512"/>
      <c r="F32" s="2512"/>
      <c r="G32" s="2512"/>
      <c r="H32" s="2512"/>
      <c r="I32" s="2512"/>
      <c r="J32" s="2512"/>
      <c r="K32" s="2512"/>
      <c r="L32" s="2512"/>
      <c r="M32" s="2519"/>
      <c r="N32" s="2533"/>
      <c r="O32" s="2533"/>
      <c r="P32" s="1144"/>
      <c r="Q32" s="2848"/>
      <c r="R32" s="2849"/>
      <c r="S32" s="2850"/>
      <c r="T32" s="2512"/>
      <c r="U32" s="2512"/>
      <c r="V32" s="2512"/>
      <c r="W32" s="2512"/>
      <c r="X32" s="2512"/>
      <c r="Y32" s="2512"/>
      <c r="Z32" s="1279">
        <v>32</v>
      </c>
      <c r="AA32" s="1380">
        <v>31</v>
      </c>
    </row>
    <row r="33" spans="1:27" s="95" customFormat="1">
      <c r="A33" s="269"/>
      <c r="B33" s="134" t="s">
        <v>70</v>
      </c>
      <c r="C33" s="2512"/>
      <c r="D33" s="622"/>
      <c r="E33" s="622"/>
      <c r="F33" s="622"/>
      <c r="G33" s="622"/>
      <c r="H33" s="2518"/>
      <c r="I33" s="2512"/>
      <c r="J33" s="96"/>
      <c r="K33" s="158"/>
      <c r="L33" s="2512"/>
      <c r="M33" s="2512"/>
      <c r="N33" s="2512"/>
      <c r="O33" s="2512"/>
      <c r="P33" s="2518"/>
      <c r="Q33" s="2848"/>
      <c r="R33" s="2849"/>
      <c r="S33" s="2850"/>
      <c r="T33" s="2512"/>
      <c r="U33" s="2512"/>
      <c r="V33" s="2512"/>
      <c r="W33" s="2512"/>
      <c r="X33" s="2512"/>
      <c r="Y33" s="2512"/>
      <c r="Z33" s="1279">
        <v>33</v>
      </c>
      <c r="AA33" s="1380">
        <v>32</v>
      </c>
    </row>
    <row r="34" spans="1:27" s="95" customFormat="1" ht="1.5" customHeight="1">
      <c r="A34" s="269"/>
      <c r="B34" s="269"/>
      <c r="C34" s="134"/>
      <c r="D34" s="622"/>
      <c r="E34" s="622"/>
      <c r="F34" s="622"/>
      <c r="G34" s="622"/>
      <c r="H34" s="2518"/>
      <c r="I34" s="2512"/>
      <c r="J34" s="96"/>
      <c r="K34" s="158"/>
      <c r="L34" s="2512"/>
      <c r="M34" s="2512"/>
      <c r="N34" s="2512"/>
      <c r="O34" s="2512"/>
      <c r="P34" s="2518"/>
      <c r="Q34" s="2848"/>
      <c r="R34" s="2849"/>
      <c r="S34" s="2850"/>
      <c r="T34" s="2512"/>
      <c r="U34" s="2512"/>
      <c r="V34" s="2512"/>
      <c r="W34" s="2512"/>
      <c r="X34" s="2512"/>
      <c r="Y34" s="2512"/>
      <c r="Z34" s="1279">
        <v>34</v>
      </c>
      <c r="AA34" s="1380">
        <v>33</v>
      </c>
    </row>
    <row r="35" spans="1:27" s="95" customFormat="1" ht="13.5" hidden="1" customHeight="1">
      <c r="A35" s="269"/>
      <c r="B35" s="269"/>
      <c r="C35" s="2512" t="s">
        <v>71</v>
      </c>
      <c r="D35" s="163"/>
      <c r="E35" s="2512"/>
      <c r="F35" s="2512"/>
      <c r="G35" s="2512"/>
      <c r="H35" s="2512"/>
      <c r="I35" s="915"/>
      <c r="J35" s="2512"/>
      <c r="K35" s="151"/>
      <c r="L35" s="2512" t="s">
        <v>72</v>
      </c>
      <c r="M35" s="2512"/>
      <c r="N35" s="2512"/>
      <c r="O35" s="2512"/>
      <c r="P35" s="1452"/>
      <c r="Q35" s="2848"/>
      <c r="R35" s="2849"/>
      <c r="S35" s="2850"/>
      <c r="T35" s="2512"/>
      <c r="U35" s="2512"/>
      <c r="V35" s="2512"/>
      <c r="W35" s="2512"/>
      <c r="X35" s="2512"/>
      <c r="Y35" s="2512"/>
      <c r="Z35" s="1279">
        <v>35</v>
      </c>
      <c r="AA35" s="1380">
        <v>34</v>
      </c>
    </row>
    <row r="36" spans="1:27" s="95" customFormat="1" ht="12.75" hidden="1" customHeight="1">
      <c r="A36" s="269"/>
      <c r="B36" s="151"/>
      <c r="C36" s="2512" t="s">
        <v>73</v>
      </c>
      <c r="D36" s="2512"/>
      <c r="E36" s="2512"/>
      <c r="F36" s="2512"/>
      <c r="G36" s="2512"/>
      <c r="H36" s="2512"/>
      <c r="I36" s="1447"/>
      <c r="J36" s="162" t="s">
        <v>74</v>
      </c>
      <c r="K36" s="2512"/>
      <c r="L36" s="2512"/>
      <c r="M36" s="2512"/>
      <c r="N36" s="2512"/>
      <c r="O36" s="2888"/>
      <c r="P36" s="2889"/>
      <c r="Q36" s="2848"/>
      <c r="R36" s="2849"/>
      <c r="S36" s="2850"/>
      <c r="T36" s="2512"/>
      <c r="U36" s="2512"/>
      <c r="V36" s="2512"/>
      <c r="W36" s="2512"/>
      <c r="X36" s="2512"/>
      <c r="Y36" s="2512"/>
      <c r="Z36" s="1279">
        <v>36</v>
      </c>
      <c r="AA36" s="1380">
        <v>35</v>
      </c>
    </row>
    <row r="37" spans="1:27" s="95" customFormat="1" ht="12.75" customHeight="1">
      <c r="A37" s="269"/>
      <c r="B37" s="151"/>
      <c r="C37" s="2512" t="s">
        <v>75</v>
      </c>
      <c r="D37" s="2512"/>
      <c r="E37" s="2512"/>
      <c r="F37" s="2512"/>
      <c r="G37" s="2512"/>
      <c r="H37" s="2512"/>
      <c r="I37" s="915" t="s">
        <v>56</v>
      </c>
      <c r="J37" s="162" t="s">
        <v>74</v>
      </c>
      <c r="K37" s="2512"/>
      <c r="L37" s="2512"/>
      <c r="M37" s="2512"/>
      <c r="N37" s="2512"/>
      <c r="O37" s="2890"/>
      <c r="P37" s="2891"/>
      <c r="Q37" s="2848"/>
      <c r="R37" s="2849"/>
      <c r="S37" s="2850"/>
      <c r="T37" s="2512"/>
      <c r="U37" s="2512"/>
      <c r="V37" s="2512"/>
      <c r="W37" s="2512"/>
      <c r="X37" s="2512"/>
      <c r="Y37" s="2512"/>
      <c r="Z37" s="1279">
        <v>37</v>
      </c>
      <c r="AA37" s="1380">
        <v>36</v>
      </c>
    </row>
    <row r="38" spans="1:27" s="95" customFormat="1" ht="12.6" customHeight="1">
      <c r="A38" s="269"/>
      <c r="B38" s="269"/>
      <c r="C38" s="2512" t="s">
        <v>76</v>
      </c>
      <c r="D38" s="2512"/>
      <c r="E38" s="2512"/>
      <c r="F38" s="2512"/>
      <c r="G38" s="2512"/>
      <c r="H38" s="2512"/>
      <c r="I38" s="647" t="s">
        <v>56</v>
      </c>
      <c r="J38" s="162" t="s">
        <v>74</v>
      </c>
      <c r="K38" s="2512"/>
      <c r="L38" s="2512"/>
      <c r="M38" s="2512"/>
      <c r="N38" s="2512"/>
      <c r="O38" s="2892"/>
      <c r="P38" s="2893"/>
      <c r="Q38" s="2851"/>
      <c r="R38" s="2852"/>
      <c r="S38" s="2853"/>
      <c r="T38" s="2512"/>
      <c r="U38" s="2512"/>
      <c r="V38" s="2512"/>
      <c r="W38" s="2512"/>
      <c r="X38" s="2512"/>
      <c r="Y38" s="2512"/>
      <c r="Z38" s="1279">
        <v>38</v>
      </c>
      <c r="AA38" s="1380">
        <v>37</v>
      </c>
    </row>
    <row r="39" spans="1:27" s="95" customFormat="1" ht="3" customHeight="1">
      <c r="A39" s="269"/>
      <c r="B39" s="269"/>
      <c r="C39" s="2512"/>
      <c r="D39" s="2512"/>
      <c r="E39" s="2512"/>
      <c r="F39" s="2512"/>
      <c r="G39" s="2512"/>
      <c r="H39" s="2512"/>
      <c r="I39" s="2512"/>
      <c r="J39" s="2512"/>
      <c r="K39" s="2512"/>
      <c r="L39" s="2512"/>
      <c r="M39" s="2512"/>
      <c r="N39" s="2512"/>
      <c r="O39" s="2512"/>
      <c r="P39" s="96"/>
      <c r="Q39" s="2512"/>
      <c r="R39" s="2512"/>
      <c r="S39" s="2512"/>
      <c r="T39" s="2512"/>
      <c r="U39" s="2512"/>
      <c r="V39" s="2512"/>
      <c r="W39" s="2512"/>
      <c r="X39" s="2512"/>
      <c r="Y39" s="2512"/>
      <c r="Z39" s="1279">
        <v>39</v>
      </c>
      <c r="AA39" s="1380">
        <v>38</v>
      </c>
    </row>
    <row r="40" spans="1:27" s="95" customFormat="1" ht="8.25" customHeight="1">
      <c r="A40" s="2512"/>
      <c r="B40" s="151"/>
      <c r="C40" s="2512"/>
      <c r="D40" s="2512"/>
      <c r="E40" s="2512"/>
      <c r="F40" s="2512"/>
      <c r="G40" s="2512"/>
      <c r="H40" s="2512"/>
      <c r="I40" s="2512"/>
      <c r="J40" s="2512"/>
      <c r="K40" s="2512"/>
      <c r="L40" s="96"/>
      <c r="M40" s="96"/>
      <c r="N40" s="96"/>
      <c r="O40" s="96"/>
      <c r="P40" s="154"/>
      <c r="Q40" s="2512"/>
      <c r="R40" s="2512"/>
      <c r="S40" s="2512"/>
      <c r="T40" s="2512"/>
      <c r="U40" s="2512"/>
      <c r="V40" s="2512"/>
      <c r="W40" s="2512"/>
      <c r="X40" s="2512"/>
      <c r="Y40" s="2512"/>
      <c r="Z40" s="1279">
        <v>40</v>
      </c>
      <c r="AA40" s="1380">
        <v>39</v>
      </c>
    </row>
    <row r="41" spans="1:27" ht="12" customHeight="1">
      <c r="A41" s="134" t="s">
        <v>77</v>
      </c>
      <c r="C41" s="159" t="s">
        <v>78</v>
      </c>
      <c r="M41" s="134" t="s">
        <v>79</v>
      </c>
      <c r="N41" s="159" t="s">
        <v>80</v>
      </c>
      <c r="Z41" s="1279">
        <v>41</v>
      </c>
      <c r="AA41" s="1380">
        <v>40</v>
      </c>
    </row>
    <row r="42" spans="1:27" ht="12" customHeight="1">
      <c r="A42" s="134"/>
      <c r="C42" s="159"/>
      <c r="M42" s="134"/>
      <c r="N42" s="159"/>
      <c r="Z42" s="1279">
        <v>42</v>
      </c>
      <c r="AA42" s="1380">
        <v>41</v>
      </c>
    </row>
    <row r="43" spans="1:27" ht="409.5" customHeight="1">
      <c r="A43" s="2894" t="s">
        <v>81</v>
      </c>
      <c r="B43" s="2895"/>
      <c r="C43" s="2895"/>
      <c r="D43" s="2895"/>
      <c r="E43" s="2895"/>
      <c r="F43" s="2895"/>
      <c r="G43" s="2895"/>
      <c r="H43" s="2895"/>
      <c r="I43" s="2895"/>
      <c r="J43" s="2895"/>
      <c r="K43" s="2895"/>
      <c r="L43" s="2896"/>
      <c r="M43" s="2897"/>
      <c r="N43" s="2898"/>
      <c r="O43" s="2898"/>
      <c r="P43" s="2899"/>
      <c r="Q43" s="2877"/>
      <c r="R43" s="2843"/>
      <c r="S43" s="2843"/>
      <c r="T43" s="261"/>
      <c r="U43" s="261"/>
      <c r="Z43" s="1279">
        <v>43</v>
      </c>
      <c r="AA43" s="1380">
        <v>42</v>
      </c>
    </row>
    <row r="44" spans="1:27" ht="12" customHeight="1">
      <c r="Q44" s="261"/>
      <c r="R44" s="261"/>
      <c r="S44" s="261"/>
      <c r="T44" s="261"/>
      <c r="U44" s="261"/>
      <c r="Z44" s="1280"/>
      <c r="AA44" s="1380">
        <v>43</v>
      </c>
    </row>
    <row r="45" spans="1:27">
      <c r="Z45" s="1280"/>
      <c r="AA45" s="1380">
        <v>44</v>
      </c>
    </row>
    <row r="46" spans="1:27">
      <c r="AA46" s="1380">
        <v>45</v>
      </c>
    </row>
    <row r="47" spans="1:27">
      <c r="P47" s="642"/>
      <c r="Q47" s="642"/>
      <c r="R47" s="642"/>
      <c r="AA47" s="2512"/>
    </row>
    <row r="48" spans="1:27">
      <c r="P48" s="642"/>
      <c r="Q48" s="642"/>
      <c r="R48" s="642"/>
      <c r="AA48" s="2512"/>
    </row>
    <row r="49" spans="1:44">
      <c r="P49" s="642"/>
      <c r="Q49" s="642"/>
      <c r="R49" s="642"/>
      <c r="AA49" s="2512"/>
    </row>
    <row r="50" spans="1:44">
      <c r="P50" s="642"/>
      <c r="Q50" s="642"/>
      <c r="R50" s="642"/>
      <c r="AA50" s="2512"/>
    </row>
    <row r="51" spans="1:44" s="272" customFormat="1" ht="12" customHeight="1">
      <c r="A51" s="96"/>
      <c r="B51" s="159"/>
      <c r="C51" s="96"/>
      <c r="D51" s="96"/>
      <c r="E51" s="96"/>
      <c r="F51" s="96"/>
      <c r="G51" s="96"/>
      <c r="H51" s="96"/>
      <c r="I51" s="96"/>
      <c r="J51" s="96"/>
      <c r="K51" s="96"/>
      <c r="L51" s="96"/>
      <c r="M51" s="96"/>
      <c r="N51" s="96"/>
      <c r="O51" s="96"/>
      <c r="P51" s="642"/>
      <c r="Q51" s="642"/>
      <c r="R51" s="642"/>
      <c r="X51" s="96"/>
      <c r="Y51" s="96"/>
      <c r="Z51" s="1255"/>
      <c r="AA51" s="2512"/>
      <c r="AB51" s="96"/>
      <c r="AC51" s="96"/>
      <c r="AD51" s="96"/>
      <c r="AE51" s="96"/>
      <c r="AF51" s="96"/>
      <c r="AG51" s="96"/>
      <c r="AH51" s="96"/>
      <c r="AI51" s="96"/>
      <c r="AJ51" s="96"/>
      <c r="AK51" s="96"/>
      <c r="AL51" s="96"/>
      <c r="AM51" s="96"/>
      <c r="AN51" s="96"/>
      <c r="AO51" s="96"/>
      <c r="AP51" s="96"/>
      <c r="AQ51" s="96"/>
      <c r="AR51" s="96"/>
    </row>
    <row r="52" spans="1:44" s="272" customFormat="1" ht="23.1" customHeight="1">
      <c r="A52" s="96"/>
      <c r="B52" s="96"/>
      <c r="C52" s="96"/>
      <c r="D52" s="96"/>
      <c r="E52" s="96"/>
      <c r="F52" s="96"/>
      <c r="G52" s="96"/>
      <c r="H52" s="96"/>
      <c r="I52" s="96"/>
      <c r="J52" s="96"/>
      <c r="K52" s="96"/>
      <c r="L52" s="96"/>
      <c r="M52" s="96"/>
      <c r="N52" s="96"/>
      <c r="O52" s="96"/>
      <c r="P52" s="643"/>
      <c r="Q52" s="642"/>
      <c r="R52" s="642"/>
      <c r="T52" s="294"/>
      <c r="U52" s="293"/>
      <c r="X52" s="96"/>
      <c r="Y52" s="96"/>
      <c r="Z52" s="1255"/>
      <c r="AA52" s="2512"/>
      <c r="AB52" s="96"/>
      <c r="AC52" s="96"/>
      <c r="AD52" s="96"/>
      <c r="AE52" s="96"/>
      <c r="AF52" s="96"/>
      <c r="AG52" s="96"/>
      <c r="AH52" s="96"/>
      <c r="AI52" s="96"/>
      <c r="AJ52" s="96"/>
      <c r="AK52" s="96"/>
      <c r="AL52" s="96"/>
      <c r="AM52" s="96"/>
      <c r="AN52" s="96"/>
      <c r="AO52" s="96"/>
      <c r="AP52" s="96"/>
      <c r="AQ52" s="96"/>
      <c r="AR52" s="96"/>
    </row>
    <row r="53" spans="1:44" s="272" customFormat="1" ht="12" customHeight="1">
      <c r="A53" s="96"/>
      <c r="B53" s="96"/>
      <c r="C53" s="96"/>
      <c r="D53" s="96"/>
      <c r="E53" s="96"/>
      <c r="F53" s="96"/>
      <c r="G53" s="96"/>
      <c r="H53" s="96"/>
      <c r="I53" s="96"/>
      <c r="J53" s="96"/>
      <c r="K53" s="96"/>
      <c r="L53" s="96"/>
      <c r="M53" s="96"/>
      <c r="N53" s="96"/>
      <c r="O53" s="96"/>
      <c r="P53" s="643"/>
      <c r="Q53" s="642"/>
      <c r="R53" s="642"/>
      <c r="T53" s="273"/>
      <c r="U53" s="273"/>
      <c r="X53" s="96"/>
      <c r="Y53" s="96"/>
      <c r="Z53" s="1255"/>
      <c r="AA53" s="2512"/>
      <c r="AB53" s="96"/>
      <c r="AC53" s="96"/>
      <c r="AD53" s="96"/>
      <c r="AE53" s="96"/>
      <c r="AF53" s="96"/>
      <c r="AG53" s="96"/>
      <c r="AH53" s="96"/>
      <c r="AI53" s="96"/>
      <c r="AJ53" s="96"/>
      <c r="AK53" s="96"/>
      <c r="AL53" s="96"/>
      <c r="AM53" s="96"/>
      <c r="AN53" s="96"/>
      <c r="AO53" s="96"/>
      <c r="AP53" s="96"/>
      <c r="AQ53" s="96"/>
      <c r="AR53" s="96"/>
    </row>
    <row r="54" spans="1:44" s="272" customFormat="1" ht="12" customHeight="1">
      <c r="A54" s="96"/>
      <c r="B54" s="96"/>
      <c r="C54" s="96"/>
      <c r="D54" s="96"/>
      <c r="E54" s="96"/>
      <c r="F54" s="96"/>
      <c r="G54" s="96"/>
      <c r="H54" s="96"/>
      <c r="I54" s="96"/>
      <c r="J54" s="96"/>
      <c r="K54" s="96"/>
      <c r="L54" s="96"/>
      <c r="M54" s="96"/>
      <c r="N54" s="96"/>
      <c r="O54" s="96"/>
      <c r="P54" s="643"/>
      <c r="Q54" s="642"/>
      <c r="R54" s="642"/>
      <c r="T54" s="273"/>
      <c r="U54" s="273"/>
      <c r="X54" s="96"/>
      <c r="Y54" s="96"/>
      <c r="Z54" s="1255"/>
      <c r="AA54" s="2512"/>
      <c r="AB54" s="96"/>
      <c r="AC54" s="96"/>
      <c r="AD54" s="96"/>
      <c r="AE54" s="96"/>
      <c r="AF54" s="96"/>
      <c r="AG54" s="96"/>
      <c r="AH54" s="96"/>
      <c r="AI54" s="96"/>
      <c r="AJ54" s="96"/>
      <c r="AK54" s="96"/>
      <c r="AL54" s="96"/>
      <c r="AM54" s="96"/>
      <c r="AN54" s="96"/>
      <c r="AO54" s="96"/>
      <c r="AP54" s="96"/>
      <c r="AQ54" s="96"/>
      <c r="AR54" s="96"/>
    </row>
    <row r="55" spans="1:44" s="642" customFormat="1" ht="12" customHeight="1">
      <c r="P55" s="643"/>
      <c r="T55" s="646"/>
      <c r="U55" s="646"/>
      <c r="Z55" s="1255"/>
      <c r="AA55" s="2512"/>
    </row>
    <row r="56" spans="1:44" s="272" customFormat="1" ht="12" customHeight="1">
      <c r="A56" s="96"/>
      <c r="B56" s="96"/>
      <c r="C56" s="96"/>
      <c r="D56" s="96"/>
      <c r="E56" s="96"/>
      <c r="F56" s="96"/>
      <c r="G56" s="96"/>
      <c r="H56" s="96"/>
      <c r="I56" s="96"/>
      <c r="J56" s="96"/>
      <c r="K56" s="96"/>
      <c r="L56" s="96"/>
      <c r="M56" s="96"/>
      <c r="N56" s="96"/>
      <c r="O56" s="96"/>
      <c r="P56" s="643"/>
      <c r="Q56" s="642"/>
      <c r="R56" s="642"/>
      <c r="T56" s="273"/>
      <c r="U56" s="273"/>
      <c r="X56" s="96"/>
      <c r="Y56" s="96"/>
      <c r="Z56" s="1255"/>
      <c r="AA56" s="2512"/>
      <c r="AB56" s="96"/>
      <c r="AC56" s="96"/>
      <c r="AD56" s="96"/>
      <c r="AE56" s="96"/>
      <c r="AF56" s="96"/>
      <c r="AG56" s="96"/>
      <c r="AH56" s="96"/>
      <c r="AI56" s="96"/>
      <c r="AJ56" s="96"/>
      <c r="AK56" s="96"/>
      <c r="AL56" s="96"/>
      <c r="AM56" s="96"/>
      <c r="AN56" s="96"/>
      <c r="AO56" s="96"/>
      <c r="AP56" s="96"/>
      <c r="AQ56" s="96"/>
      <c r="AR56" s="96"/>
    </row>
    <row r="57" spans="1:44" s="272" customFormat="1" ht="12" customHeight="1">
      <c r="A57" s="96"/>
      <c r="B57" s="96"/>
      <c r="C57" s="96"/>
      <c r="D57" s="96"/>
      <c r="E57" s="96"/>
      <c r="F57" s="96"/>
      <c r="G57" s="96"/>
      <c r="H57" s="96"/>
      <c r="I57" s="96"/>
      <c r="J57" s="96"/>
      <c r="K57" s="96"/>
      <c r="L57" s="96"/>
      <c r="M57" s="96"/>
      <c r="N57" s="96"/>
      <c r="O57" s="96"/>
      <c r="P57" s="643"/>
      <c r="Q57" s="642"/>
      <c r="R57" s="642"/>
      <c r="T57" s="273"/>
      <c r="U57" s="273"/>
      <c r="X57" s="96"/>
      <c r="Y57" s="96"/>
      <c r="Z57" s="1255"/>
      <c r="AA57" s="2512"/>
      <c r="AB57" s="96"/>
      <c r="AC57" s="96"/>
      <c r="AD57" s="96"/>
      <c r="AE57" s="96"/>
      <c r="AF57" s="96"/>
      <c r="AG57" s="96"/>
      <c r="AH57" s="96"/>
      <c r="AI57" s="96"/>
      <c r="AJ57" s="96"/>
      <c r="AK57" s="96"/>
      <c r="AL57" s="96"/>
      <c r="AM57" s="96"/>
      <c r="AN57" s="96"/>
      <c r="AO57" s="96"/>
      <c r="AP57" s="96"/>
      <c r="AQ57" s="96"/>
      <c r="AR57" s="96"/>
    </row>
    <row r="58" spans="1:44" s="272" customFormat="1" ht="12" customHeight="1">
      <c r="A58" s="96"/>
      <c r="B58" s="96"/>
      <c r="C58" s="96"/>
      <c r="D58" s="96"/>
      <c r="E58" s="96"/>
      <c r="F58" s="96"/>
      <c r="G58" s="96"/>
      <c r="H58" s="96"/>
      <c r="I58" s="96"/>
      <c r="J58" s="96"/>
      <c r="K58" s="96"/>
      <c r="L58" s="96"/>
      <c r="M58" s="96"/>
      <c r="N58" s="96"/>
      <c r="O58" s="96"/>
      <c r="P58" s="643"/>
      <c r="Q58" s="642"/>
      <c r="R58" s="642"/>
      <c r="T58" s="273"/>
      <c r="U58" s="273"/>
      <c r="X58" s="96"/>
      <c r="Y58" s="96"/>
      <c r="Z58" s="1255"/>
      <c r="AA58" s="2512"/>
      <c r="AB58" s="96"/>
      <c r="AC58" s="96"/>
      <c r="AD58" s="96"/>
      <c r="AE58" s="96"/>
      <c r="AF58" s="96"/>
      <c r="AG58" s="96"/>
      <c r="AH58" s="96"/>
      <c r="AI58" s="96"/>
      <c r="AJ58" s="96"/>
      <c r="AK58" s="96"/>
      <c r="AL58" s="96"/>
      <c r="AM58" s="96"/>
      <c r="AN58" s="96"/>
      <c r="AO58" s="96"/>
      <c r="AP58" s="96"/>
      <c r="AQ58" s="96"/>
      <c r="AR58" s="96"/>
    </row>
    <row r="59" spans="1:44" s="272" customFormat="1" ht="12" customHeight="1">
      <c r="A59" s="96"/>
      <c r="B59" s="96"/>
      <c r="C59" s="96"/>
      <c r="D59" s="96"/>
      <c r="E59" s="96"/>
      <c r="F59" s="96"/>
      <c r="G59" s="96"/>
      <c r="H59" s="96"/>
      <c r="I59" s="96"/>
      <c r="J59" s="96"/>
      <c r="K59" s="96"/>
      <c r="L59" s="96"/>
      <c r="M59" s="96"/>
      <c r="N59" s="96"/>
      <c r="O59" s="96"/>
      <c r="P59" s="643"/>
      <c r="Q59" s="642"/>
      <c r="R59" s="642"/>
      <c r="T59" s="273"/>
      <c r="U59" s="273"/>
      <c r="X59" s="96"/>
      <c r="Y59" s="96"/>
      <c r="Z59" s="1255"/>
      <c r="AA59" s="2512"/>
      <c r="AB59" s="96"/>
      <c r="AC59" s="96"/>
      <c r="AD59" s="96"/>
      <c r="AE59" s="96"/>
      <c r="AF59" s="96"/>
      <c r="AG59" s="96"/>
      <c r="AH59" s="96"/>
      <c r="AI59" s="96"/>
      <c r="AJ59" s="96"/>
      <c r="AK59" s="96"/>
      <c r="AL59" s="96"/>
      <c r="AM59" s="96"/>
      <c r="AN59" s="96"/>
      <c r="AO59" s="96"/>
      <c r="AP59" s="96"/>
      <c r="AQ59" s="96"/>
      <c r="AR59" s="96"/>
    </row>
    <row r="60" spans="1:44" s="272" customFormat="1" ht="12" customHeight="1">
      <c r="A60" s="96"/>
      <c r="B60" s="96"/>
      <c r="C60" s="96"/>
      <c r="D60" s="96"/>
      <c r="E60" s="96"/>
      <c r="F60" s="96"/>
      <c r="G60" s="96"/>
      <c r="H60" s="96"/>
      <c r="I60" s="96"/>
      <c r="J60" s="96"/>
      <c r="K60" s="96"/>
      <c r="L60" s="96"/>
      <c r="M60" s="96"/>
      <c r="N60" s="96"/>
      <c r="O60" s="96"/>
      <c r="P60" s="643"/>
      <c r="Q60" s="644"/>
      <c r="R60" s="642"/>
      <c r="X60" s="96"/>
      <c r="Y60" s="96"/>
      <c r="Z60" s="1255"/>
      <c r="AA60" s="2512"/>
      <c r="AB60" s="96"/>
      <c r="AC60" s="96"/>
      <c r="AD60" s="96"/>
      <c r="AE60" s="96"/>
      <c r="AF60" s="96"/>
      <c r="AG60" s="96"/>
      <c r="AH60" s="96"/>
      <c r="AI60" s="96"/>
      <c r="AJ60" s="96"/>
      <c r="AK60" s="96"/>
      <c r="AL60" s="96"/>
      <c r="AM60" s="96"/>
      <c r="AN60" s="96"/>
      <c r="AO60" s="96"/>
      <c r="AP60" s="96"/>
      <c r="AQ60" s="96"/>
      <c r="AR60" s="96"/>
    </row>
    <row r="61" spans="1:44" s="272" customFormat="1" ht="12" customHeight="1">
      <c r="A61" s="96"/>
      <c r="B61" s="96"/>
      <c r="C61" s="96"/>
      <c r="D61" s="96"/>
      <c r="E61" s="96"/>
      <c r="F61" s="96"/>
      <c r="G61" s="96"/>
      <c r="H61" s="96"/>
      <c r="I61" s="96"/>
      <c r="J61" s="96"/>
      <c r="K61" s="96"/>
      <c r="L61" s="96"/>
      <c r="M61" s="96"/>
      <c r="N61" s="96"/>
      <c r="O61" s="96"/>
      <c r="P61" s="643"/>
      <c r="Q61" s="644"/>
      <c r="R61" s="642"/>
      <c r="X61" s="96"/>
      <c r="Y61" s="96"/>
      <c r="Z61" s="1255"/>
      <c r="AA61" s="2512"/>
      <c r="AB61" s="96"/>
      <c r="AC61" s="96"/>
      <c r="AD61" s="96"/>
      <c r="AE61" s="96"/>
      <c r="AF61" s="96"/>
      <c r="AG61" s="96"/>
      <c r="AH61" s="96"/>
      <c r="AI61" s="96"/>
      <c r="AJ61" s="96"/>
      <c r="AK61" s="96"/>
      <c r="AL61" s="96"/>
      <c r="AM61" s="96"/>
      <c r="AN61" s="96"/>
      <c r="AO61" s="96"/>
      <c r="AP61" s="96"/>
      <c r="AQ61" s="96"/>
      <c r="AR61" s="96"/>
    </row>
    <row r="62" spans="1:44" s="272" customFormat="1" ht="12" customHeight="1">
      <c r="A62" s="96"/>
      <c r="B62" s="96"/>
      <c r="C62" s="96"/>
      <c r="D62" s="96"/>
      <c r="E62" s="96"/>
      <c r="F62" s="96"/>
      <c r="G62" s="96"/>
      <c r="H62" s="96"/>
      <c r="I62" s="96"/>
      <c r="J62" s="96"/>
      <c r="K62" s="96"/>
      <c r="L62" s="96"/>
      <c r="M62" s="96"/>
      <c r="N62" s="96"/>
      <c r="O62" s="96"/>
      <c r="P62" s="643"/>
      <c r="Q62" s="644"/>
      <c r="R62" s="642"/>
      <c r="X62" s="96"/>
      <c r="Y62" s="96"/>
      <c r="Z62" s="1255"/>
      <c r="AA62" s="2512"/>
      <c r="AB62" s="96"/>
      <c r="AC62" s="96"/>
      <c r="AD62" s="96"/>
      <c r="AE62" s="96"/>
      <c r="AF62" s="96"/>
      <c r="AG62" s="96"/>
      <c r="AH62" s="96"/>
      <c r="AI62" s="96"/>
      <c r="AJ62" s="96"/>
      <c r="AK62" s="96"/>
      <c r="AL62" s="96"/>
      <c r="AM62" s="96"/>
      <c r="AN62" s="96"/>
      <c r="AO62" s="96"/>
      <c r="AP62" s="96"/>
      <c r="AQ62" s="96"/>
      <c r="AR62" s="96"/>
    </row>
    <row r="63" spans="1:44" s="272" customFormat="1" ht="12" customHeight="1">
      <c r="A63" s="96"/>
      <c r="B63" s="96"/>
      <c r="C63" s="96"/>
      <c r="D63" s="96"/>
      <c r="E63" s="96"/>
      <c r="F63" s="96"/>
      <c r="G63" s="96"/>
      <c r="H63" s="96"/>
      <c r="I63" s="96"/>
      <c r="J63" s="96"/>
      <c r="K63" s="96"/>
      <c r="L63" s="96"/>
      <c r="M63" s="96"/>
      <c r="N63" s="96"/>
      <c r="O63" s="96"/>
      <c r="P63" s="643"/>
      <c r="Q63" s="644"/>
      <c r="R63" s="642"/>
      <c r="X63" s="96"/>
      <c r="Y63" s="96"/>
      <c r="Z63" s="1255"/>
      <c r="AA63" s="2512"/>
      <c r="AB63" s="96"/>
      <c r="AC63" s="96"/>
      <c r="AD63" s="96"/>
      <c r="AE63" s="96"/>
      <c r="AF63" s="96"/>
      <c r="AG63" s="96"/>
      <c r="AH63" s="96"/>
      <c r="AI63" s="96"/>
      <c r="AJ63" s="96"/>
      <c r="AK63" s="96"/>
      <c r="AL63" s="96"/>
      <c r="AM63" s="96"/>
      <c r="AN63" s="96"/>
      <c r="AO63" s="96"/>
      <c r="AP63" s="96"/>
      <c r="AQ63" s="96"/>
      <c r="AR63" s="96"/>
    </row>
    <row r="64" spans="1:44" s="272" customFormat="1" ht="12" customHeight="1">
      <c r="A64" s="96"/>
      <c r="B64" s="96"/>
      <c r="C64" s="96"/>
      <c r="D64" s="146"/>
      <c r="E64" s="96"/>
      <c r="F64" s="96"/>
      <c r="G64" s="96"/>
      <c r="H64" s="96"/>
      <c r="I64" s="96"/>
      <c r="J64" s="612" t="s">
        <v>82</v>
      </c>
      <c r="K64" s="96"/>
      <c r="L64" s="96"/>
      <c r="M64" s="96"/>
      <c r="N64" s="96"/>
      <c r="O64" s="96"/>
      <c r="P64" s="643"/>
      <c r="Q64" s="644"/>
      <c r="R64" s="642"/>
      <c r="X64" s="96"/>
      <c r="Y64" s="96"/>
      <c r="Z64" s="1255"/>
      <c r="AA64" s="2512"/>
      <c r="AB64" s="96"/>
      <c r="AC64" s="96"/>
      <c r="AD64" s="96"/>
      <c r="AE64" s="96"/>
      <c r="AF64" s="96"/>
      <c r="AG64" s="96"/>
      <c r="AH64" s="96"/>
      <c r="AI64" s="96"/>
      <c r="AJ64" s="96"/>
      <c r="AK64" s="96"/>
      <c r="AL64" s="96"/>
      <c r="AM64" s="96"/>
      <c r="AN64" s="96"/>
      <c r="AO64" s="96"/>
      <c r="AP64" s="96"/>
      <c r="AQ64" s="96"/>
      <c r="AR64" s="96"/>
    </row>
    <row r="65" spans="1:44" s="272" customFormat="1" ht="12" customHeight="1">
      <c r="A65" s="96"/>
      <c r="B65" s="96"/>
      <c r="C65" s="96"/>
      <c r="D65" s="146"/>
      <c r="E65" s="96"/>
      <c r="F65" s="96"/>
      <c r="G65" s="96"/>
      <c r="H65" s="96"/>
      <c r="I65" s="96"/>
      <c r="J65" s="612" t="s">
        <v>83</v>
      </c>
      <c r="K65" s="96"/>
      <c r="L65" s="96"/>
      <c r="M65" s="96"/>
      <c r="N65" s="96"/>
      <c r="O65" s="96"/>
      <c r="P65" s="643"/>
      <c r="Q65" s="644"/>
      <c r="R65" s="642"/>
      <c r="X65" s="96"/>
      <c r="Y65" s="96"/>
      <c r="Z65" s="1255"/>
      <c r="AA65" s="2512"/>
      <c r="AB65" s="96"/>
      <c r="AC65" s="96"/>
      <c r="AD65" s="96"/>
      <c r="AE65" s="96"/>
      <c r="AF65" s="96"/>
      <c r="AG65" s="96"/>
      <c r="AH65" s="96"/>
      <c r="AI65" s="96"/>
      <c r="AJ65" s="96"/>
      <c r="AK65" s="96"/>
      <c r="AL65" s="96"/>
      <c r="AM65" s="96"/>
      <c r="AN65" s="96"/>
      <c r="AO65" s="96"/>
      <c r="AP65" s="96"/>
      <c r="AQ65" s="96"/>
      <c r="AR65" s="96"/>
    </row>
    <row r="66" spans="1:44" s="272" customFormat="1" ht="12" customHeight="1">
      <c r="A66" s="96"/>
      <c r="B66" s="96"/>
      <c r="C66" s="96"/>
      <c r="D66" s="146"/>
      <c r="E66" s="96"/>
      <c r="F66" s="96"/>
      <c r="G66" s="96"/>
      <c r="H66" s="96"/>
      <c r="I66" s="96"/>
      <c r="J66" s="612" t="s">
        <v>84</v>
      </c>
      <c r="K66" s="96"/>
      <c r="L66" s="96"/>
      <c r="M66" s="96"/>
      <c r="N66" s="96"/>
      <c r="O66" s="96"/>
      <c r="P66" s="643"/>
      <c r="Q66" s="644"/>
      <c r="R66" s="642"/>
      <c r="X66" s="96"/>
      <c r="Y66" s="96"/>
      <c r="Z66" s="1255"/>
      <c r="AA66" s="2512"/>
      <c r="AB66" s="96"/>
      <c r="AC66" s="96"/>
      <c r="AD66" s="96"/>
      <c r="AE66" s="96"/>
      <c r="AF66" s="96"/>
      <c r="AG66" s="96"/>
      <c r="AH66" s="96"/>
      <c r="AI66" s="96"/>
      <c r="AJ66" s="96"/>
      <c r="AK66" s="96"/>
      <c r="AL66" s="96"/>
      <c r="AM66" s="96"/>
      <c r="AN66" s="96"/>
      <c r="AO66" s="96"/>
      <c r="AP66" s="96"/>
      <c r="AQ66" s="96"/>
      <c r="AR66" s="96"/>
    </row>
    <row r="67" spans="1:44" s="272" customFormat="1" ht="12" customHeight="1">
      <c r="A67" s="96"/>
      <c r="B67" s="96"/>
      <c r="C67" s="96"/>
      <c r="D67" s="146"/>
      <c r="E67" s="96"/>
      <c r="F67" s="96"/>
      <c r="G67" s="96"/>
      <c r="H67" s="96"/>
      <c r="I67" s="96"/>
      <c r="J67" s="612" t="s">
        <v>85</v>
      </c>
      <c r="K67" s="96"/>
      <c r="L67" s="96"/>
      <c r="M67" s="96"/>
      <c r="N67" s="96"/>
      <c r="O67" s="96"/>
      <c r="P67" s="643"/>
      <c r="Q67" s="644"/>
      <c r="R67" s="642"/>
      <c r="X67" s="96"/>
      <c r="Y67" s="96"/>
      <c r="Z67" s="1255"/>
      <c r="AA67" s="2512"/>
      <c r="AB67" s="96"/>
      <c r="AC67" s="96"/>
      <c r="AD67" s="96"/>
      <c r="AE67" s="96"/>
      <c r="AF67" s="96"/>
      <c r="AG67" s="96"/>
      <c r="AH67" s="96"/>
      <c r="AI67" s="96"/>
      <c r="AJ67" s="96"/>
      <c r="AK67" s="96"/>
      <c r="AL67" s="96"/>
      <c r="AM67" s="96"/>
      <c r="AN67" s="96"/>
      <c r="AO67" s="96"/>
      <c r="AP67" s="96"/>
      <c r="AQ67" s="96"/>
      <c r="AR67" s="96"/>
    </row>
    <row r="68" spans="1:44" s="272" customFormat="1" ht="12" customHeight="1">
      <c r="A68" s="96"/>
      <c r="B68" s="96"/>
      <c r="C68" s="96"/>
      <c r="D68" s="146"/>
      <c r="E68" s="96"/>
      <c r="F68" s="96"/>
      <c r="G68" s="96"/>
      <c r="H68" s="96"/>
      <c r="I68" s="96"/>
      <c r="J68" s="612" t="s">
        <v>86</v>
      </c>
      <c r="K68" s="96"/>
      <c r="L68" s="96"/>
      <c r="M68" s="96"/>
      <c r="N68" s="96"/>
      <c r="O68" s="96"/>
      <c r="P68" s="643"/>
      <c r="Q68" s="644"/>
      <c r="R68" s="642"/>
      <c r="X68" s="96"/>
      <c r="Y68" s="96"/>
      <c r="Z68" s="1255"/>
      <c r="AA68" s="2512"/>
      <c r="AB68" s="96"/>
      <c r="AC68" s="96"/>
      <c r="AD68" s="96"/>
      <c r="AE68" s="96"/>
      <c r="AF68" s="96"/>
      <c r="AG68" s="96"/>
      <c r="AH68" s="96"/>
      <c r="AI68" s="96"/>
      <c r="AJ68" s="96"/>
      <c r="AK68" s="96"/>
      <c r="AL68" s="96"/>
      <c r="AM68" s="96"/>
      <c r="AN68" s="96"/>
      <c r="AO68" s="96"/>
      <c r="AP68" s="96"/>
      <c r="AQ68" s="96"/>
      <c r="AR68" s="96"/>
    </row>
    <row r="69" spans="1:44" s="272" customFormat="1" ht="12" customHeight="1">
      <c r="A69" s="96"/>
      <c r="B69" s="96"/>
      <c r="C69" s="96"/>
      <c r="D69" s="146"/>
      <c r="E69" s="96"/>
      <c r="F69" s="96"/>
      <c r="G69" s="96"/>
      <c r="H69" s="96"/>
      <c r="I69" s="96"/>
      <c r="J69" s="612" t="s">
        <v>87</v>
      </c>
      <c r="K69" s="96"/>
      <c r="L69" s="96"/>
      <c r="M69" s="96"/>
      <c r="N69" s="96"/>
      <c r="O69" s="96"/>
      <c r="P69" s="643"/>
      <c r="Q69" s="644"/>
      <c r="R69" s="642"/>
      <c r="X69" s="96"/>
      <c r="Y69" s="96"/>
      <c r="Z69" s="1255"/>
      <c r="AA69" s="2512"/>
      <c r="AB69" s="96"/>
      <c r="AC69" s="96"/>
      <c r="AD69" s="96"/>
      <c r="AE69" s="96"/>
      <c r="AF69" s="96"/>
      <c r="AG69" s="96"/>
      <c r="AH69" s="96"/>
      <c r="AI69" s="96"/>
      <c r="AJ69" s="96"/>
      <c r="AK69" s="96"/>
      <c r="AL69" s="96"/>
      <c r="AM69" s="96"/>
      <c r="AN69" s="96"/>
      <c r="AO69" s="96"/>
      <c r="AP69" s="96"/>
      <c r="AQ69" s="96"/>
      <c r="AR69" s="96"/>
    </row>
    <row r="70" spans="1:44" s="272" customFormat="1" ht="12" customHeight="1">
      <c r="A70" s="96"/>
      <c r="B70" s="96"/>
      <c r="C70" s="96"/>
      <c r="D70" s="146"/>
      <c r="E70" s="96"/>
      <c r="F70" s="96"/>
      <c r="G70" s="96"/>
      <c r="H70" s="96"/>
      <c r="I70" s="96"/>
      <c r="J70" s="612" t="s">
        <v>88</v>
      </c>
      <c r="K70" s="96"/>
      <c r="L70" s="96"/>
      <c r="M70" s="96"/>
      <c r="N70" s="96"/>
      <c r="O70" s="96"/>
      <c r="P70" s="643"/>
      <c r="Q70" s="644"/>
      <c r="R70" s="642"/>
      <c r="X70" s="96"/>
      <c r="Y70" s="96"/>
      <c r="Z70" s="1255"/>
      <c r="AA70" s="2512"/>
      <c r="AB70" s="96"/>
      <c r="AC70" s="96"/>
      <c r="AD70" s="96"/>
      <c r="AE70" s="96"/>
      <c r="AF70" s="96"/>
      <c r="AG70" s="96"/>
      <c r="AH70" s="96"/>
      <c r="AI70" s="96"/>
      <c r="AJ70" s="96"/>
      <c r="AK70" s="96"/>
      <c r="AL70" s="96"/>
      <c r="AM70" s="96"/>
      <c r="AN70" s="96"/>
      <c r="AO70" s="96"/>
      <c r="AP70" s="96"/>
      <c r="AQ70" s="96"/>
      <c r="AR70" s="96"/>
    </row>
    <row r="71" spans="1:44" s="272" customFormat="1" ht="12" customHeight="1">
      <c r="A71" s="96"/>
      <c r="B71" s="96"/>
      <c r="C71" s="96"/>
      <c r="D71" s="146"/>
      <c r="E71" s="96"/>
      <c r="F71" s="96"/>
      <c r="G71" s="96"/>
      <c r="H71" s="96"/>
      <c r="I71" s="96"/>
      <c r="J71" s="612" t="s">
        <v>89</v>
      </c>
      <c r="K71" s="96"/>
      <c r="L71" s="96"/>
      <c r="M71" s="96"/>
      <c r="N71" s="96"/>
      <c r="O71" s="96"/>
      <c r="P71" s="643"/>
      <c r="Q71" s="644"/>
      <c r="R71" s="642"/>
      <c r="X71" s="96"/>
      <c r="Y71" s="96"/>
      <c r="Z71" s="1255"/>
      <c r="AA71" s="2512"/>
      <c r="AB71" s="96"/>
      <c r="AC71" s="96"/>
      <c r="AD71" s="96"/>
      <c r="AE71" s="96"/>
      <c r="AF71" s="96"/>
      <c r="AG71" s="96"/>
      <c r="AH71" s="96"/>
      <c r="AI71" s="96"/>
      <c r="AJ71" s="96"/>
      <c r="AK71" s="96"/>
      <c r="AL71" s="96"/>
      <c r="AM71" s="96"/>
      <c r="AN71" s="96"/>
      <c r="AO71" s="96"/>
      <c r="AP71" s="96"/>
      <c r="AQ71" s="96"/>
      <c r="AR71" s="96"/>
    </row>
    <row r="72" spans="1:44" s="272" customFormat="1" ht="12" customHeight="1">
      <c r="A72" s="96"/>
      <c r="B72" s="96"/>
      <c r="C72" s="96"/>
      <c r="D72" s="146"/>
      <c r="E72" s="96"/>
      <c r="F72" s="96"/>
      <c r="G72" s="96"/>
      <c r="H72" s="96"/>
      <c r="I72" s="96"/>
      <c r="J72" s="612" t="s">
        <v>90</v>
      </c>
      <c r="K72" s="96"/>
      <c r="L72" s="96"/>
      <c r="M72" s="96"/>
      <c r="N72" s="96"/>
      <c r="O72" s="96"/>
      <c r="P72" s="643"/>
      <c r="Q72" s="644"/>
      <c r="R72" s="642"/>
      <c r="X72" s="96"/>
      <c r="Y72" s="96"/>
      <c r="Z72" s="1255"/>
      <c r="AA72" s="2512"/>
      <c r="AB72" s="96"/>
      <c r="AC72" s="96"/>
      <c r="AD72" s="96"/>
      <c r="AE72" s="96"/>
      <c r="AF72" s="96"/>
      <c r="AG72" s="96"/>
      <c r="AH72" s="96"/>
      <c r="AI72" s="96"/>
      <c r="AJ72" s="96"/>
      <c r="AK72" s="96"/>
      <c r="AL72" s="96"/>
      <c r="AM72" s="96"/>
      <c r="AN72" s="96"/>
      <c r="AO72" s="96"/>
      <c r="AP72" s="96"/>
      <c r="AQ72" s="96"/>
      <c r="AR72" s="96"/>
    </row>
    <row r="73" spans="1:44" s="272" customFormat="1" ht="12" customHeight="1">
      <c r="A73" s="96"/>
      <c r="B73" s="96"/>
      <c r="C73" s="96"/>
      <c r="D73" s="146"/>
      <c r="E73" s="96"/>
      <c r="F73" s="96"/>
      <c r="G73" s="96"/>
      <c r="H73" s="96"/>
      <c r="I73" s="96"/>
      <c r="J73" s="612" t="s">
        <v>91</v>
      </c>
      <c r="K73" s="96"/>
      <c r="L73" s="96"/>
      <c r="M73" s="96"/>
      <c r="N73" s="96"/>
      <c r="O73" s="96"/>
      <c r="P73" s="643"/>
      <c r="Q73" s="644"/>
      <c r="R73" s="642"/>
      <c r="X73" s="96"/>
      <c r="Y73" s="96"/>
      <c r="Z73" s="1255"/>
      <c r="AA73" s="2512"/>
      <c r="AB73" s="96"/>
      <c r="AC73" s="96"/>
      <c r="AD73" s="96"/>
      <c r="AE73" s="96"/>
      <c r="AF73" s="96"/>
      <c r="AG73" s="96"/>
      <c r="AH73" s="96"/>
      <c r="AI73" s="96"/>
      <c r="AJ73" s="96"/>
      <c r="AK73" s="96"/>
      <c r="AL73" s="96"/>
      <c r="AM73" s="96"/>
      <c r="AN73" s="96"/>
      <c r="AO73" s="96"/>
      <c r="AP73" s="96"/>
      <c r="AQ73" s="96"/>
      <c r="AR73" s="96"/>
    </row>
    <row r="74" spans="1:44" s="272" customFormat="1" ht="12" customHeight="1">
      <c r="A74" s="96"/>
      <c r="B74" s="96"/>
      <c r="C74" s="96"/>
      <c r="D74" s="146"/>
      <c r="E74" s="96"/>
      <c r="F74" s="96"/>
      <c r="G74" s="96"/>
      <c r="H74" s="96"/>
      <c r="I74" s="96"/>
      <c r="J74" s="96"/>
      <c r="K74" s="96"/>
      <c r="L74" s="96"/>
      <c r="M74" s="96"/>
      <c r="N74" s="96"/>
      <c r="O74" s="96"/>
      <c r="P74" s="643"/>
      <c r="Q74" s="644"/>
      <c r="R74" s="642"/>
      <c r="X74" s="96"/>
      <c r="Y74" s="96"/>
      <c r="Z74" s="1255"/>
      <c r="AA74" s="2512"/>
      <c r="AB74" s="96"/>
      <c r="AC74" s="96"/>
      <c r="AD74" s="96"/>
      <c r="AE74" s="96"/>
      <c r="AF74" s="96"/>
      <c r="AG74" s="96"/>
      <c r="AH74" s="96"/>
      <c r="AI74" s="96"/>
      <c r="AJ74" s="96"/>
      <c r="AK74" s="96"/>
      <c r="AL74" s="96"/>
      <c r="AM74" s="96"/>
      <c r="AN74" s="96"/>
      <c r="AO74" s="96"/>
      <c r="AP74" s="96"/>
      <c r="AQ74" s="96"/>
      <c r="AR74" s="96"/>
    </row>
    <row r="75" spans="1:44" s="272" customFormat="1" ht="12" customHeight="1">
      <c r="A75" s="96"/>
      <c r="B75" s="96"/>
      <c r="C75" s="96"/>
      <c r="D75" s="146"/>
      <c r="E75" s="96"/>
      <c r="F75" s="96"/>
      <c r="G75" s="96"/>
      <c r="H75" s="96"/>
      <c r="I75" s="96"/>
      <c r="J75" s="96"/>
      <c r="K75" s="96"/>
      <c r="L75" s="96"/>
      <c r="M75" s="96"/>
      <c r="N75" s="96"/>
      <c r="O75" s="96"/>
      <c r="P75" s="643"/>
      <c r="Q75" s="644"/>
      <c r="R75" s="642"/>
      <c r="X75" s="96"/>
      <c r="Y75" s="96"/>
      <c r="Z75" s="1255"/>
      <c r="AA75" s="2512"/>
      <c r="AB75" s="96"/>
      <c r="AC75" s="96"/>
      <c r="AD75" s="96"/>
      <c r="AE75" s="96"/>
      <c r="AF75" s="96"/>
      <c r="AG75" s="96"/>
      <c r="AH75" s="96"/>
      <c r="AI75" s="96"/>
      <c r="AJ75" s="96"/>
      <c r="AK75" s="96"/>
      <c r="AL75" s="96"/>
      <c r="AM75" s="96"/>
      <c r="AN75" s="96"/>
      <c r="AO75" s="96"/>
      <c r="AP75" s="96"/>
      <c r="AQ75" s="96"/>
      <c r="AR75" s="96"/>
    </row>
    <row r="76" spans="1:44" s="272" customFormat="1" ht="12" customHeight="1">
      <c r="A76" s="96"/>
      <c r="B76" s="96"/>
      <c r="C76" s="96"/>
      <c r="D76" s="146"/>
      <c r="E76" s="96"/>
      <c r="F76" s="96"/>
      <c r="G76" s="96"/>
      <c r="H76" s="96"/>
      <c r="I76" s="96"/>
      <c r="J76" s="96"/>
      <c r="K76" s="96"/>
      <c r="L76" s="96"/>
      <c r="M76" s="96"/>
      <c r="N76" s="96"/>
      <c r="O76" s="96"/>
      <c r="P76" s="643"/>
      <c r="Q76" s="644"/>
      <c r="R76" s="642"/>
      <c r="X76" s="96"/>
      <c r="Y76" s="96"/>
      <c r="Z76" s="1255"/>
      <c r="AA76" s="2512"/>
      <c r="AB76" s="96"/>
      <c r="AC76" s="96"/>
      <c r="AD76" s="96"/>
      <c r="AE76" s="96"/>
      <c r="AF76" s="96"/>
      <c r="AG76" s="96"/>
      <c r="AH76" s="96"/>
      <c r="AI76" s="96"/>
      <c r="AJ76" s="96"/>
      <c r="AK76" s="96"/>
      <c r="AL76" s="96"/>
      <c r="AM76" s="96"/>
      <c r="AN76" s="96"/>
      <c r="AO76" s="96"/>
      <c r="AP76" s="96"/>
      <c r="AQ76" s="96"/>
      <c r="AR76" s="96"/>
    </row>
    <row r="77" spans="1:44" s="272" customFormat="1" ht="12" customHeight="1">
      <c r="A77" s="96"/>
      <c r="B77" s="96"/>
      <c r="C77" s="96"/>
      <c r="D77" s="146"/>
      <c r="E77" s="96"/>
      <c r="F77" s="96"/>
      <c r="G77" s="96"/>
      <c r="H77" s="96"/>
      <c r="I77" s="96"/>
      <c r="J77" s="96"/>
      <c r="K77" s="96"/>
      <c r="L77" s="96"/>
      <c r="M77" s="96"/>
      <c r="N77" s="96"/>
      <c r="O77" s="96"/>
      <c r="P77" s="643"/>
      <c r="Q77" s="644"/>
      <c r="R77" s="642"/>
      <c r="X77" s="96"/>
      <c r="Y77" s="96"/>
      <c r="Z77" s="1255"/>
      <c r="AA77" s="2512"/>
      <c r="AB77" s="96"/>
      <c r="AC77" s="96"/>
      <c r="AD77" s="96"/>
      <c r="AE77" s="96"/>
      <c r="AF77" s="96"/>
      <c r="AG77" s="96"/>
      <c r="AH77" s="96"/>
      <c r="AI77" s="96"/>
      <c r="AJ77" s="96"/>
      <c r="AK77" s="96"/>
      <c r="AL77" s="96"/>
      <c r="AM77" s="96"/>
      <c r="AN77" s="96"/>
      <c r="AO77" s="96"/>
      <c r="AP77" s="96"/>
      <c r="AQ77" s="96"/>
      <c r="AR77" s="96"/>
    </row>
    <row r="78" spans="1:44" s="272" customFormat="1" ht="12" customHeight="1">
      <c r="A78" s="96"/>
      <c r="B78" s="96"/>
      <c r="C78" s="96"/>
      <c r="E78" s="96"/>
      <c r="F78" s="96"/>
      <c r="G78" s="96"/>
      <c r="H78" s="96"/>
      <c r="I78" s="96"/>
      <c r="J78" s="96"/>
      <c r="K78" s="96"/>
      <c r="L78" s="96"/>
      <c r="M78" s="96"/>
      <c r="N78" s="96"/>
      <c r="O78" s="96"/>
      <c r="P78" s="643"/>
      <c r="Q78" s="644"/>
      <c r="R78" s="642"/>
      <c r="X78" s="96"/>
      <c r="Y78" s="96"/>
      <c r="Z78" s="1255"/>
      <c r="AA78" s="2512"/>
      <c r="AB78" s="96"/>
      <c r="AC78" s="96"/>
      <c r="AD78" s="96"/>
      <c r="AE78" s="96"/>
      <c r="AF78" s="96"/>
      <c r="AG78" s="96"/>
      <c r="AH78" s="96"/>
      <c r="AI78" s="96"/>
      <c r="AJ78" s="96"/>
      <c r="AK78" s="96"/>
      <c r="AL78" s="96"/>
      <c r="AM78" s="96"/>
      <c r="AN78" s="96"/>
      <c r="AO78" s="96"/>
      <c r="AP78" s="96"/>
      <c r="AQ78" s="96"/>
      <c r="AR78" s="96"/>
    </row>
    <row r="79" spans="1:44" s="272" customFormat="1" ht="12" customHeight="1">
      <c r="A79" s="96"/>
      <c r="B79" s="96"/>
      <c r="C79" s="96"/>
      <c r="E79" s="96"/>
      <c r="F79" s="96"/>
      <c r="G79" s="96"/>
      <c r="H79" s="96"/>
      <c r="I79" s="96"/>
      <c r="J79" s="96"/>
      <c r="K79" s="96"/>
      <c r="L79" s="96"/>
      <c r="M79" s="96"/>
      <c r="N79" s="96"/>
      <c r="O79" s="96"/>
      <c r="P79" s="645"/>
      <c r="Q79" s="642"/>
      <c r="R79" s="642"/>
      <c r="X79" s="96"/>
      <c r="Y79" s="96"/>
      <c r="Z79" s="1255"/>
      <c r="AA79" s="2512"/>
      <c r="AB79" s="96"/>
      <c r="AC79" s="96"/>
      <c r="AD79" s="96"/>
      <c r="AE79" s="96"/>
      <c r="AF79" s="96"/>
      <c r="AG79" s="96"/>
      <c r="AH79" s="96"/>
      <c r="AI79" s="96"/>
      <c r="AJ79" s="96"/>
      <c r="AK79" s="96"/>
      <c r="AL79" s="96"/>
      <c r="AM79" s="96"/>
      <c r="AN79" s="96"/>
      <c r="AO79" s="96"/>
      <c r="AP79" s="96"/>
      <c r="AQ79" s="96"/>
      <c r="AR79" s="96"/>
    </row>
    <row r="80" spans="1:44" s="272" customFormat="1" ht="12" customHeight="1">
      <c r="A80" s="96"/>
      <c r="B80" s="96"/>
      <c r="C80" s="96"/>
      <c r="D80" s="146"/>
      <c r="E80" s="96"/>
      <c r="F80" s="96"/>
      <c r="G80" s="96"/>
      <c r="H80" s="96"/>
      <c r="I80" s="96"/>
      <c r="J80" s="96"/>
      <c r="K80" s="96"/>
      <c r="L80" s="96"/>
      <c r="M80" s="96"/>
      <c r="N80" s="96"/>
      <c r="O80" s="96"/>
      <c r="P80" s="643"/>
      <c r="Q80" s="644"/>
      <c r="R80" s="642"/>
      <c r="X80" s="96"/>
      <c r="Y80" s="96"/>
      <c r="Z80" s="1255"/>
      <c r="AA80" s="2512"/>
      <c r="AB80" s="96"/>
      <c r="AC80" s="96"/>
      <c r="AD80" s="96"/>
      <c r="AE80" s="96"/>
      <c r="AF80" s="96"/>
      <c r="AG80" s="96"/>
      <c r="AH80" s="96"/>
      <c r="AI80" s="96"/>
      <c r="AJ80" s="96"/>
      <c r="AK80" s="96"/>
      <c r="AL80" s="96"/>
      <c r="AM80" s="96"/>
      <c r="AN80" s="96"/>
      <c r="AO80" s="96"/>
      <c r="AP80" s="96"/>
      <c r="AQ80" s="96"/>
      <c r="AR80" s="96"/>
    </row>
    <row r="81" spans="1:44" s="272" customFormat="1" ht="12" customHeight="1">
      <c r="A81" s="96"/>
      <c r="B81" s="96"/>
      <c r="C81" s="96"/>
      <c r="E81" s="96"/>
      <c r="F81" s="96"/>
      <c r="G81" s="96"/>
      <c r="H81" s="96"/>
      <c r="I81" s="96"/>
      <c r="J81" s="96"/>
      <c r="K81" s="96"/>
      <c r="L81" s="96"/>
      <c r="M81" s="96"/>
      <c r="N81" s="96"/>
      <c r="O81" s="96"/>
      <c r="P81" s="643"/>
      <c r="Q81" s="644"/>
      <c r="R81" s="642"/>
      <c r="X81" s="96"/>
      <c r="Y81" s="96"/>
      <c r="Z81" s="1255"/>
      <c r="AA81" s="2512"/>
      <c r="AB81" s="96"/>
      <c r="AC81" s="96"/>
      <c r="AD81" s="96"/>
      <c r="AE81" s="96"/>
      <c r="AF81" s="96"/>
      <c r="AG81" s="96"/>
      <c r="AH81" s="96"/>
      <c r="AI81" s="96"/>
      <c r="AJ81" s="96"/>
      <c r="AK81" s="96"/>
      <c r="AL81" s="96"/>
      <c r="AM81" s="96"/>
      <c r="AN81" s="96"/>
      <c r="AO81" s="96"/>
      <c r="AP81" s="96"/>
      <c r="AQ81" s="96"/>
      <c r="AR81" s="96"/>
    </row>
    <row r="82" spans="1:44" s="272" customFormat="1" ht="12" customHeight="1">
      <c r="A82" s="96"/>
      <c r="B82" s="96"/>
      <c r="C82" s="96"/>
      <c r="D82" s="96"/>
      <c r="E82" s="96"/>
      <c r="F82" s="96"/>
      <c r="G82" s="96"/>
      <c r="H82" s="96"/>
      <c r="I82" s="96"/>
      <c r="J82" s="96"/>
      <c r="K82" s="96"/>
      <c r="L82" s="96"/>
      <c r="M82" s="96"/>
      <c r="N82" s="96"/>
      <c r="O82" s="96"/>
      <c r="P82" s="643"/>
      <c r="Q82" s="644"/>
      <c r="R82" s="642"/>
      <c r="X82" s="96"/>
      <c r="Y82" s="96"/>
      <c r="Z82" s="1255"/>
      <c r="AA82" s="2512"/>
      <c r="AB82" s="96"/>
      <c r="AC82" s="96"/>
      <c r="AD82" s="96"/>
      <c r="AE82" s="96"/>
      <c r="AF82" s="96"/>
      <c r="AG82" s="96"/>
      <c r="AH82" s="96"/>
      <c r="AI82" s="96"/>
      <c r="AJ82" s="96"/>
      <c r="AK82" s="96"/>
      <c r="AL82" s="96"/>
      <c r="AM82" s="96"/>
      <c r="AN82" s="96"/>
      <c r="AO82" s="96"/>
      <c r="AP82" s="96"/>
      <c r="AQ82" s="96"/>
      <c r="AR82" s="96"/>
    </row>
    <row r="83" spans="1:44" s="272" customFormat="1" ht="12" customHeight="1">
      <c r="A83" s="96"/>
      <c r="B83" s="96"/>
      <c r="C83" s="96"/>
      <c r="D83" s="96"/>
      <c r="E83" s="96"/>
      <c r="F83" s="96"/>
      <c r="G83" s="96"/>
      <c r="H83" s="96"/>
      <c r="I83" s="96"/>
      <c r="J83" s="96"/>
      <c r="K83" s="96"/>
      <c r="L83" s="96"/>
      <c r="M83" s="96"/>
      <c r="N83" s="96"/>
      <c r="O83" s="96"/>
      <c r="P83" s="645"/>
      <c r="Q83" s="642"/>
      <c r="R83" s="642"/>
      <c r="X83" s="96"/>
      <c r="Y83" s="96"/>
      <c r="Z83" s="1255"/>
      <c r="AA83" s="2512"/>
      <c r="AB83" s="96"/>
      <c r="AC83" s="96"/>
      <c r="AD83" s="96"/>
      <c r="AE83" s="96"/>
      <c r="AF83" s="96"/>
      <c r="AG83" s="96"/>
      <c r="AH83" s="96"/>
      <c r="AI83" s="96"/>
      <c r="AJ83" s="96"/>
      <c r="AK83" s="96"/>
      <c r="AL83" s="96"/>
      <c r="AM83" s="96"/>
      <c r="AN83" s="96"/>
      <c r="AO83" s="96"/>
      <c r="AP83" s="96"/>
      <c r="AQ83" s="96"/>
      <c r="AR83" s="96"/>
    </row>
    <row r="84" spans="1:44" s="272" customFormat="1" ht="12" customHeight="1">
      <c r="A84" s="96"/>
      <c r="B84" s="96"/>
      <c r="C84" s="96"/>
      <c r="D84" s="96"/>
      <c r="E84" s="96"/>
      <c r="F84" s="96"/>
      <c r="G84" s="96"/>
      <c r="H84" s="96"/>
      <c r="I84" s="96"/>
      <c r="J84" s="96"/>
      <c r="K84" s="96"/>
      <c r="L84" s="96"/>
      <c r="M84" s="96"/>
      <c r="N84" s="96"/>
      <c r="O84" s="96"/>
      <c r="P84" s="643"/>
      <c r="Q84" s="644"/>
      <c r="R84" s="642"/>
      <c r="X84" s="96"/>
      <c r="Y84" s="96"/>
      <c r="Z84" s="1255"/>
      <c r="AA84" s="2512"/>
      <c r="AB84" s="96"/>
      <c r="AC84" s="96"/>
      <c r="AD84" s="96"/>
      <c r="AE84" s="96"/>
      <c r="AF84" s="96"/>
      <c r="AG84" s="96"/>
      <c r="AH84" s="96"/>
      <c r="AI84" s="96"/>
      <c r="AJ84" s="96"/>
      <c r="AK84" s="96"/>
      <c r="AL84" s="96"/>
      <c r="AM84" s="96"/>
      <c r="AN84" s="96"/>
      <c r="AO84" s="96"/>
      <c r="AP84" s="96"/>
      <c r="AQ84" s="96"/>
      <c r="AR84" s="96"/>
    </row>
    <row r="85" spans="1:44" s="272" customFormat="1" ht="12" customHeight="1">
      <c r="A85" s="96"/>
      <c r="B85" s="96"/>
      <c r="C85" s="96"/>
      <c r="D85" s="96"/>
      <c r="E85" s="96"/>
      <c r="F85" s="96"/>
      <c r="G85" s="96"/>
      <c r="H85" s="96"/>
      <c r="I85" s="96"/>
      <c r="J85" s="96"/>
      <c r="K85" s="96"/>
      <c r="L85" s="96"/>
      <c r="M85" s="96"/>
      <c r="N85" s="96"/>
      <c r="O85" s="96"/>
      <c r="P85" s="643"/>
      <c r="Q85" s="644"/>
      <c r="R85" s="642"/>
      <c r="X85" s="96"/>
      <c r="Y85" s="96"/>
      <c r="Z85" s="1255"/>
      <c r="AA85" s="2512"/>
      <c r="AB85" s="96"/>
      <c r="AC85" s="96"/>
      <c r="AD85" s="96"/>
      <c r="AE85" s="96"/>
      <c r="AF85" s="96"/>
      <c r="AG85" s="96"/>
      <c r="AH85" s="96"/>
      <c r="AI85" s="96"/>
      <c r="AJ85" s="96"/>
      <c r="AK85" s="96"/>
      <c r="AL85" s="96"/>
      <c r="AM85" s="96"/>
      <c r="AN85" s="96"/>
      <c r="AO85" s="96"/>
      <c r="AP85" s="96"/>
      <c r="AQ85" s="96"/>
      <c r="AR85" s="96"/>
    </row>
    <row r="86" spans="1:44" s="272" customFormat="1" ht="12" customHeight="1">
      <c r="A86" s="96"/>
      <c r="B86" s="96"/>
      <c r="C86" s="96"/>
      <c r="D86" s="96"/>
      <c r="E86" s="96"/>
      <c r="F86" s="96"/>
      <c r="G86" s="96"/>
      <c r="H86" s="96"/>
      <c r="I86" s="96"/>
      <c r="J86" s="96"/>
      <c r="K86" s="96"/>
      <c r="L86" s="96"/>
      <c r="M86" s="96"/>
      <c r="N86" s="96"/>
      <c r="O86" s="96"/>
      <c r="P86" s="643"/>
      <c r="Q86" s="644"/>
      <c r="R86" s="642"/>
      <c r="X86" s="96"/>
      <c r="Y86" s="96"/>
      <c r="Z86" s="1255"/>
      <c r="AA86" s="2512"/>
      <c r="AB86" s="96"/>
      <c r="AC86" s="96"/>
      <c r="AD86" s="96"/>
      <c r="AE86" s="96"/>
      <c r="AF86" s="96"/>
      <c r="AG86" s="96"/>
      <c r="AH86" s="96"/>
      <c r="AI86" s="96"/>
      <c r="AJ86" s="96"/>
      <c r="AK86" s="96"/>
      <c r="AL86" s="96"/>
      <c r="AM86" s="96"/>
      <c r="AN86" s="96"/>
      <c r="AO86" s="96"/>
      <c r="AP86" s="96"/>
      <c r="AQ86" s="96"/>
      <c r="AR86" s="96"/>
    </row>
    <row r="87" spans="1:44" s="272" customFormat="1" ht="12" customHeight="1">
      <c r="A87" s="96"/>
      <c r="B87" s="96"/>
      <c r="C87" s="96"/>
      <c r="D87" s="96"/>
      <c r="E87" s="96"/>
      <c r="F87" s="96"/>
      <c r="G87" s="96"/>
      <c r="H87" s="96"/>
      <c r="I87" s="96"/>
      <c r="J87" s="96"/>
      <c r="K87" s="96"/>
      <c r="L87" s="96"/>
      <c r="M87" s="96"/>
      <c r="N87" s="96"/>
      <c r="O87" s="96"/>
      <c r="P87" s="643"/>
      <c r="Q87" s="644"/>
      <c r="R87" s="642"/>
      <c r="X87" s="96"/>
      <c r="Y87" s="96"/>
      <c r="Z87" s="1255"/>
      <c r="AA87" s="2512"/>
      <c r="AB87" s="96"/>
      <c r="AC87" s="96"/>
      <c r="AD87" s="96"/>
      <c r="AE87" s="96"/>
      <c r="AF87" s="96"/>
      <c r="AG87" s="96"/>
      <c r="AH87" s="96"/>
      <c r="AI87" s="96"/>
      <c r="AJ87" s="96"/>
      <c r="AK87" s="96"/>
      <c r="AL87" s="96"/>
      <c r="AM87" s="96"/>
      <c r="AN87" s="96"/>
      <c r="AO87" s="96"/>
      <c r="AP87" s="96"/>
      <c r="AQ87" s="96"/>
      <c r="AR87" s="96"/>
    </row>
    <row r="88" spans="1:44" s="272" customFormat="1" ht="12" customHeight="1">
      <c r="A88" s="96"/>
      <c r="B88" s="96"/>
      <c r="C88" s="96"/>
      <c r="D88" s="96"/>
      <c r="E88" s="96"/>
      <c r="F88" s="96"/>
      <c r="G88" s="96"/>
      <c r="H88" s="96"/>
      <c r="I88" s="96"/>
      <c r="J88" s="96"/>
      <c r="K88" s="96"/>
      <c r="L88" s="96"/>
      <c r="M88" s="96"/>
      <c r="N88" s="96"/>
      <c r="O88" s="96"/>
      <c r="P88" s="643"/>
      <c r="Q88" s="644"/>
      <c r="R88" s="642"/>
      <c r="X88" s="96"/>
      <c r="Y88" s="96"/>
      <c r="Z88" s="1255"/>
      <c r="AA88" s="2512"/>
      <c r="AB88" s="96"/>
      <c r="AC88" s="96"/>
      <c r="AD88" s="96"/>
      <c r="AE88" s="96"/>
      <c r="AF88" s="96"/>
      <c r="AG88" s="96"/>
      <c r="AH88" s="96"/>
      <c r="AI88" s="96"/>
      <c r="AJ88" s="96"/>
      <c r="AK88" s="96"/>
      <c r="AL88" s="96"/>
      <c r="AM88" s="96"/>
      <c r="AN88" s="96"/>
      <c r="AO88" s="96"/>
      <c r="AP88" s="96"/>
      <c r="AQ88" s="96"/>
      <c r="AR88" s="96"/>
    </row>
    <row r="89" spans="1:44" s="272" customFormat="1" ht="12" customHeight="1">
      <c r="A89" s="96"/>
      <c r="B89" s="96"/>
      <c r="C89" s="96"/>
      <c r="D89" s="96"/>
      <c r="E89" s="96"/>
      <c r="F89" s="96"/>
      <c r="G89" s="96"/>
      <c r="H89" s="96"/>
      <c r="I89" s="96"/>
      <c r="J89" s="96"/>
      <c r="K89" s="96"/>
      <c r="L89" s="96"/>
      <c r="M89" s="96"/>
      <c r="N89" s="96"/>
      <c r="O89" s="96"/>
      <c r="P89" s="643"/>
      <c r="Q89" s="644"/>
      <c r="R89" s="642"/>
      <c r="X89" s="96"/>
      <c r="Y89" s="96"/>
      <c r="Z89" s="1255"/>
      <c r="AA89" s="2512"/>
      <c r="AB89" s="96"/>
      <c r="AC89" s="96"/>
      <c r="AD89" s="96"/>
      <c r="AE89" s="96"/>
      <c r="AF89" s="96"/>
      <c r="AG89" s="96"/>
      <c r="AH89" s="96"/>
      <c r="AI89" s="96"/>
      <c r="AJ89" s="96"/>
      <c r="AK89" s="96"/>
      <c r="AL89" s="96"/>
      <c r="AM89" s="96"/>
      <c r="AN89" s="96"/>
      <c r="AO89" s="96"/>
      <c r="AP89" s="96"/>
      <c r="AQ89" s="96"/>
      <c r="AR89" s="96"/>
    </row>
    <row r="90" spans="1:44" s="272" customFormat="1" ht="12" customHeight="1">
      <c r="A90" s="96"/>
      <c r="B90" s="96"/>
      <c r="C90" s="96"/>
      <c r="D90" s="96"/>
      <c r="E90" s="96"/>
      <c r="F90" s="96"/>
      <c r="G90" s="96"/>
      <c r="H90" s="96"/>
      <c r="I90" s="96"/>
      <c r="J90" s="96"/>
      <c r="K90" s="96"/>
      <c r="L90" s="96"/>
      <c r="M90" s="96"/>
      <c r="N90" s="96"/>
      <c r="O90" s="96"/>
      <c r="P90" s="643"/>
      <c r="Q90" s="644"/>
      <c r="R90" s="642"/>
      <c r="X90" s="96"/>
      <c r="Y90" s="96"/>
      <c r="Z90" s="1255"/>
      <c r="AA90" s="2512"/>
      <c r="AB90" s="96"/>
      <c r="AC90" s="96"/>
      <c r="AD90" s="96"/>
      <c r="AE90" s="96"/>
      <c r="AF90" s="96"/>
      <c r="AG90" s="96"/>
      <c r="AH90" s="96"/>
      <c r="AI90" s="96"/>
      <c r="AJ90" s="96"/>
      <c r="AK90" s="96"/>
      <c r="AL90" s="96"/>
      <c r="AM90" s="96"/>
      <c r="AN90" s="96"/>
      <c r="AO90" s="96"/>
      <c r="AP90" s="96"/>
      <c r="AQ90" s="96"/>
      <c r="AR90" s="96"/>
    </row>
    <row r="91" spans="1:44" s="272" customFormat="1" ht="12" customHeight="1">
      <c r="A91" s="96"/>
      <c r="B91" s="96"/>
      <c r="C91" s="96"/>
      <c r="D91" s="96"/>
      <c r="E91" s="96"/>
      <c r="F91" s="96"/>
      <c r="G91" s="96"/>
      <c r="H91" s="96"/>
      <c r="I91" s="96"/>
      <c r="J91" s="96"/>
      <c r="K91" s="96"/>
      <c r="L91" s="96"/>
      <c r="M91" s="96"/>
      <c r="N91" s="96"/>
      <c r="O91" s="96"/>
      <c r="P91" s="643"/>
      <c r="Q91" s="644"/>
      <c r="R91" s="642"/>
      <c r="X91" s="96"/>
      <c r="Y91" s="96"/>
      <c r="Z91" s="1255"/>
      <c r="AA91" s="2512"/>
      <c r="AB91" s="96"/>
      <c r="AC91" s="96"/>
      <c r="AD91" s="96"/>
      <c r="AE91" s="96"/>
      <c r="AF91" s="96"/>
      <c r="AG91" s="96"/>
      <c r="AH91" s="96"/>
      <c r="AI91" s="96"/>
      <c r="AJ91" s="96"/>
      <c r="AK91" s="96"/>
      <c r="AL91" s="96"/>
      <c r="AM91" s="96"/>
      <c r="AN91" s="96"/>
      <c r="AO91" s="96"/>
      <c r="AP91" s="96"/>
      <c r="AQ91" s="96"/>
      <c r="AR91" s="96"/>
    </row>
    <row r="92" spans="1:44" s="272" customFormat="1" ht="12" customHeight="1">
      <c r="A92" s="96"/>
      <c r="B92" s="96"/>
      <c r="C92" s="96"/>
      <c r="D92" s="96"/>
      <c r="E92" s="96"/>
      <c r="F92" s="96"/>
      <c r="G92" s="96"/>
      <c r="H92" s="96"/>
      <c r="I92" s="96"/>
      <c r="J92" s="96"/>
      <c r="K92" s="96"/>
      <c r="L92" s="96"/>
      <c r="M92" s="96"/>
      <c r="N92" s="96"/>
      <c r="O92" s="96"/>
      <c r="P92" s="643"/>
      <c r="Q92" s="644"/>
      <c r="R92" s="642"/>
      <c r="X92" s="96"/>
      <c r="Y92" s="96"/>
      <c r="Z92" s="1255"/>
      <c r="AA92" s="2512"/>
      <c r="AB92" s="96"/>
      <c r="AC92" s="96"/>
      <c r="AD92" s="96"/>
      <c r="AE92" s="96"/>
      <c r="AF92" s="96"/>
      <c r="AG92" s="96"/>
      <c r="AH92" s="96"/>
      <c r="AI92" s="96"/>
      <c r="AJ92" s="96"/>
      <c r="AK92" s="96"/>
      <c r="AL92" s="96"/>
      <c r="AM92" s="96"/>
      <c r="AN92" s="96"/>
      <c r="AO92" s="96"/>
      <c r="AP92" s="96"/>
      <c r="AQ92" s="96"/>
      <c r="AR92" s="96"/>
    </row>
    <row r="93" spans="1:44" s="272" customFormat="1" ht="12" customHeight="1">
      <c r="A93" s="96"/>
      <c r="B93" s="96"/>
      <c r="C93" s="96"/>
      <c r="D93" s="96"/>
      <c r="E93" s="96"/>
      <c r="F93" s="96"/>
      <c r="G93" s="96"/>
      <c r="H93" s="96"/>
      <c r="I93" s="96"/>
      <c r="J93" s="96"/>
      <c r="K93" s="96"/>
      <c r="L93" s="96"/>
      <c r="M93" s="96"/>
      <c r="N93" s="96"/>
      <c r="O93" s="96"/>
      <c r="P93" s="643"/>
      <c r="Q93" s="644"/>
      <c r="R93" s="642"/>
      <c r="X93" s="96"/>
      <c r="Y93" s="96"/>
      <c r="Z93" s="1255"/>
      <c r="AA93" s="2512"/>
      <c r="AB93" s="96"/>
      <c r="AC93" s="96"/>
      <c r="AD93" s="96"/>
      <c r="AE93" s="96"/>
      <c r="AF93" s="96"/>
      <c r="AG93" s="96"/>
      <c r="AH93" s="96"/>
      <c r="AI93" s="96"/>
      <c r="AJ93" s="96"/>
      <c r="AK93" s="96"/>
      <c r="AL93" s="96"/>
      <c r="AM93" s="96"/>
      <c r="AN93" s="96"/>
      <c r="AO93" s="96"/>
      <c r="AP93" s="96"/>
      <c r="AQ93" s="96"/>
      <c r="AR93" s="96"/>
    </row>
    <row r="94" spans="1:44" s="272" customFormat="1" ht="12" customHeight="1">
      <c r="A94" s="96"/>
      <c r="B94" s="96"/>
      <c r="C94" s="96"/>
      <c r="D94" s="96"/>
      <c r="E94" s="96"/>
      <c r="F94" s="96"/>
      <c r="G94" s="96"/>
      <c r="H94" s="96"/>
      <c r="I94" s="96"/>
      <c r="J94" s="96"/>
      <c r="K94" s="96"/>
      <c r="L94" s="96"/>
      <c r="M94" s="96"/>
      <c r="N94" s="96"/>
      <c r="O94" s="96"/>
      <c r="P94" s="643"/>
      <c r="Q94" s="644"/>
      <c r="R94" s="642"/>
      <c r="X94" s="96"/>
      <c r="Y94" s="96"/>
      <c r="Z94" s="1255"/>
      <c r="AA94" s="2512"/>
      <c r="AB94" s="96"/>
      <c r="AC94" s="96"/>
      <c r="AD94" s="96"/>
      <c r="AE94" s="96"/>
      <c r="AF94" s="96"/>
      <c r="AG94" s="96"/>
      <c r="AH94" s="96"/>
      <c r="AI94" s="96"/>
      <c r="AJ94" s="96"/>
      <c r="AK94" s="96"/>
      <c r="AL94" s="96"/>
      <c r="AM94" s="96"/>
      <c r="AN94" s="96"/>
      <c r="AO94" s="96"/>
      <c r="AP94" s="96"/>
      <c r="AQ94" s="96"/>
      <c r="AR94" s="96"/>
    </row>
    <row r="95" spans="1:44" s="272" customFormat="1" ht="12" customHeight="1">
      <c r="A95" s="96"/>
      <c r="B95" s="96"/>
      <c r="C95" s="96"/>
      <c r="D95" s="96"/>
      <c r="E95" s="96"/>
      <c r="F95" s="96"/>
      <c r="G95" s="96"/>
      <c r="H95" s="96"/>
      <c r="I95" s="96"/>
      <c r="J95" s="96"/>
      <c r="K95" s="96"/>
      <c r="L95" s="96"/>
      <c r="M95" s="96"/>
      <c r="N95" s="96"/>
      <c r="O95" s="96"/>
      <c r="P95" s="643"/>
      <c r="Q95" s="644"/>
      <c r="R95" s="642"/>
      <c r="X95" s="96"/>
      <c r="Y95" s="96"/>
      <c r="Z95" s="1255"/>
      <c r="AA95" s="2512"/>
      <c r="AB95" s="96"/>
      <c r="AC95" s="96"/>
      <c r="AD95" s="96"/>
      <c r="AE95" s="96"/>
      <c r="AF95" s="96"/>
      <c r="AG95" s="96"/>
      <c r="AH95" s="96"/>
      <c r="AI95" s="96"/>
      <c r="AJ95" s="96"/>
      <c r="AK95" s="96"/>
      <c r="AL95" s="96"/>
      <c r="AM95" s="96"/>
      <c r="AN95" s="96"/>
      <c r="AO95" s="96"/>
      <c r="AP95" s="96"/>
      <c r="AQ95" s="96"/>
      <c r="AR95" s="96"/>
    </row>
    <row r="96" spans="1:44" s="272" customFormat="1" ht="12" customHeight="1">
      <c r="A96" s="96"/>
      <c r="B96" s="96"/>
      <c r="C96" s="96"/>
      <c r="D96" s="96"/>
      <c r="E96" s="96"/>
      <c r="F96" s="96"/>
      <c r="G96" s="96"/>
      <c r="H96" s="96"/>
      <c r="I96" s="96"/>
      <c r="J96" s="96"/>
      <c r="K96" s="96"/>
      <c r="L96" s="96"/>
      <c r="M96" s="96"/>
      <c r="N96" s="96"/>
      <c r="O96" s="96"/>
      <c r="P96" s="643"/>
      <c r="Q96" s="644"/>
      <c r="R96" s="642"/>
      <c r="X96" s="96"/>
      <c r="Y96" s="96"/>
      <c r="Z96" s="1255"/>
      <c r="AA96" s="2512"/>
      <c r="AB96" s="96"/>
      <c r="AC96" s="96"/>
      <c r="AD96" s="96"/>
      <c r="AE96" s="96"/>
      <c r="AF96" s="96"/>
      <c r="AG96" s="96"/>
      <c r="AH96" s="96"/>
      <c r="AI96" s="96"/>
      <c r="AJ96" s="96"/>
      <c r="AK96" s="96"/>
      <c r="AL96" s="96"/>
      <c r="AM96" s="96"/>
      <c r="AN96" s="96"/>
      <c r="AO96" s="96"/>
      <c r="AP96" s="96"/>
      <c r="AQ96" s="96"/>
      <c r="AR96" s="96"/>
    </row>
    <row r="97" spans="1:44" s="272" customFormat="1" ht="12" customHeight="1">
      <c r="A97" s="96"/>
      <c r="B97" s="96"/>
      <c r="C97" s="96"/>
      <c r="D97" s="96"/>
      <c r="E97" s="96"/>
      <c r="F97" s="96"/>
      <c r="G97" s="96"/>
      <c r="H97" s="96"/>
      <c r="I97" s="96"/>
      <c r="J97" s="96"/>
      <c r="K97" s="96"/>
      <c r="L97" s="96"/>
      <c r="M97" s="96"/>
      <c r="N97" s="96"/>
      <c r="O97" s="96"/>
      <c r="P97" s="645"/>
      <c r="Q97" s="644"/>
      <c r="R97" s="643"/>
      <c r="S97" s="295"/>
      <c r="X97" s="96"/>
      <c r="Y97" s="96"/>
      <c r="Z97" s="1255"/>
      <c r="AA97" s="2512"/>
      <c r="AB97" s="96"/>
      <c r="AC97" s="96"/>
      <c r="AD97" s="96"/>
      <c r="AE97" s="96"/>
      <c r="AF97" s="96"/>
      <c r="AG97" s="96"/>
      <c r="AH97" s="96"/>
      <c r="AI97" s="96"/>
      <c r="AJ97" s="96"/>
      <c r="AK97" s="96"/>
      <c r="AL97" s="96"/>
      <c r="AM97" s="96"/>
      <c r="AN97" s="96"/>
      <c r="AO97" s="96"/>
      <c r="AP97" s="96"/>
      <c r="AQ97" s="96"/>
      <c r="AR97" s="96"/>
    </row>
    <row r="98" spans="1:44" s="272" customFormat="1" ht="12" customHeight="1">
      <c r="A98" s="96"/>
      <c r="B98" s="96"/>
      <c r="C98" s="96"/>
      <c r="D98" s="96"/>
      <c r="E98" s="96"/>
      <c r="F98" s="96"/>
      <c r="G98" s="96"/>
      <c r="H98" s="96"/>
      <c r="I98" s="96"/>
      <c r="J98" s="96"/>
      <c r="K98" s="96"/>
      <c r="L98" s="96"/>
      <c r="M98" s="96"/>
      <c r="N98" s="96"/>
      <c r="O98" s="96"/>
      <c r="P98" s="643"/>
      <c r="Q98" s="644"/>
      <c r="R98" s="643"/>
      <c r="S98" s="295"/>
      <c r="X98" s="96"/>
      <c r="Y98" s="96"/>
      <c r="Z98" s="1255"/>
      <c r="AA98" s="2512"/>
      <c r="AB98" s="96"/>
      <c r="AC98" s="96"/>
      <c r="AD98" s="96"/>
      <c r="AE98" s="96"/>
      <c r="AF98" s="96"/>
      <c r="AG98" s="96"/>
      <c r="AH98" s="96"/>
      <c r="AI98" s="96"/>
      <c r="AJ98" s="96"/>
      <c r="AK98" s="96"/>
      <c r="AL98" s="96"/>
      <c r="AM98" s="96"/>
      <c r="AN98" s="96"/>
      <c r="AO98" s="96"/>
      <c r="AP98" s="96"/>
      <c r="AQ98" s="96"/>
      <c r="AR98" s="96"/>
    </row>
    <row r="99" spans="1:44" s="272" customFormat="1" ht="12" customHeight="1">
      <c r="A99" s="96"/>
      <c r="B99" s="96"/>
      <c r="C99" s="96"/>
      <c r="D99" s="96"/>
      <c r="E99" s="96"/>
      <c r="F99" s="96"/>
      <c r="G99" s="96"/>
      <c r="H99" s="96"/>
      <c r="I99" s="96"/>
      <c r="J99" s="96"/>
      <c r="K99" s="96"/>
      <c r="L99" s="96"/>
      <c r="M99" s="96"/>
      <c r="N99" s="96"/>
      <c r="O99" s="96"/>
      <c r="P99" s="643"/>
      <c r="Q99" s="644"/>
      <c r="R99" s="643"/>
      <c r="S99" s="295"/>
      <c r="X99" s="96"/>
      <c r="Y99" s="96"/>
      <c r="Z99" s="1255"/>
      <c r="AA99" s="2512"/>
      <c r="AB99" s="96"/>
      <c r="AC99" s="96"/>
      <c r="AD99" s="96"/>
      <c r="AE99" s="96"/>
      <c r="AF99" s="96"/>
      <c r="AG99" s="96"/>
      <c r="AH99" s="96"/>
      <c r="AI99" s="96"/>
      <c r="AJ99" s="96"/>
      <c r="AK99" s="96"/>
      <c r="AL99" s="96"/>
      <c r="AM99" s="96"/>
      <c r="AN99" s="96"/>
      <c r="AO99" s="96"/>
      <c r="AP99" s="96"/>
      <c r="AQ99" s="96"/>
      <c r="AR99" s="96"/>
    </row>
    <row r="100" spans="1:44" s="272" customFormat="1" ht="12" customHeight="1">
      <c r="A100" s="96"/>
      <c r="B100" s="96"/>
      <c r="C100" s="96"/>
      <c r="D100" s="96"/>
      <c r="E100" s="96"/>
      <c r="F100" s="96"/>
      <c r="G100" s="96"/>
      <c r="H100" s="96"/>
      <c r="I100" s="96"/>
      <c r="J100" s="96"/>
      <c r="K100" s="96"/>
      <c r="L100" s="96"/>
      <c r="M100" s="96"/>
      <c r="N100" s="96"/>
      <c r="O100" s="96"/>
      <c r="P100" s="643"/>
      <c r="Q100" s="644"/>
      <c r="R100" s="643"/>
      <c r="S100" s="295"/>
      <c r="X100" s="96"/>
      <c r="Y100" s="96"/>
      <c r="Z100" s="1255"/>
      <c r="AA100" s="2512"/>
      <c r="AB100" s="96"/>
      <c r="AC100" s="96"/>
      <c r="AD100" s="96"/>
      <c r="AE100" s="96"/>
      <c r="AF100" s="96"/>
      <c r="AG100" s="96"/>
      <c r="AH100" s="96"/>
      <c r="AI100" s="96"/>
      <c r="AJ100" s="96"/>
      <c r="AK100" s="96"/>
      <c r="AL100" s="96"/>
      <c r="AM100" s="96"/>
      <c r="AN100" s="96"/>
      <c r="AO100" s="96"/>
      <c r="AP100" s="96"/>
      <c r="AQ100" s="96"/>
      <c r="AR100" s="96"/>
    </row>
    <row r="101" spans="1:44" s="272" customFormat="1" ht="12" customHeight="1">
      <c r="A101" s="96"/>
      <c r="B101" s="96"/>
      <c r="C101" s="96"/>
      <c r="D101" s="96"/>
      <c r="E101" s="96"/>
      <c r="F101" s="96"/>
      <c r="G101" s="96"/>
      <c r="H101" s="96"/>
      <c r="I101" s="96"/>
      <c r="J101" s="96"/>
      <c r="K101" s="96"/>
      <c r="L101" s="96"/>
      <c r="M101" s="96"/>
      <c r="N101" s="96"/>
      <c r="O101" s="96"/>
      <c r="P101" s="643"/>
      <c r="Q101" s="642"/>
      <c r="R101" s="642"/>
      <c r="X101" s="96"/>
      <c r="Y101" s="96"/>
      <c r="Z101" s="1255"/>
      <c r="AA101" s="2512"/>
      <c r="AB101" s="96"/>
      <c r="AC101" s="96"/>
      <c r="AD101" s="96"/>
      <c r="AE101" s="96"/>
      <c r="AF101" s="96"/>
      <c r="AG101" s="96"/>
      <c r="AH101" s="96"/>
      <c r="AI101" s="96"/>
      <c r="AJ101" s="96"/>
      <c r="AK101" s="96"/>
      <c r="AL101" s="96"/>
      <c r="AM101" s="96"/>
      <c r="AN101" s="96"/>
      <c r="AO101" s="96"/>
      <c r="AP101" s="96"/>
      <c r="AQ101" s="96"/>
      <c r="AR101" s="96"/>
    </row>
    <row r="102" spans="1:44" s="272" customFormat="1" ht="12" customHeight="1">
      <c r="A102" s="96"/>
      <c r="B102" s="96"/>
      <c r="C102" s="96"/>
      <c r="D102" s="96"/>
      <c r="E102" s="96"/>
      <c r="F102" s="96"/>
      <c r="G102" s="96"/>
      <c r="H102" s="96"/>
      <c r="I102" s="96"/>
      <c r="J102" s="96"/>
      <c r="K102" s="96"/>
      <c r="L102" s="96"/>
      <c r="M102" s="96"/>
      <c r="N102" s="96"/>
      <c r="O102" s="96"/>
      <c r="P102" s="645"/>
      <c r="Q102" s="642"/>
      <c r="R102" s="642"/>
      <c r="X102" s="96"/>
      <c r="Y102" s="96"/>
      <c r="Z102" s="1255"/>
      <c r="AA102" s="2512"/>
      <c r="AB102" s="96"/>
      <c r="AC102" s="96"/>
      <c r="AD102" s="96"/>
      <c r="AE102" s="96"/>
      <c r="AF102" s="96"/>
      <c r="AG102" s="96"/>
      <c r="AH102" s="96"/>
      <c r="AI102" s="96"/>
      <c r="AJ102" s="96"/>
      <c r="AK102" s="96"/>
      <c r="AL102" s="96"/>
      <c r="AM102" s="96"/>
      <c r="AN102" s="96"/>
      <c r="AO102" s="96"/>
      <c r="AP102" s="96"/>
      <c r="AQ102" s="96"/>
      <c r="AR102" s="96"/>
    </row>
    <row r="103" spans="1:44" s="272" customFormat="1" ht="12" customHeight="1">
      <c r="A103" s="96"/>
      <c r="B103" s="96"/>
      <c r="C103" s="96"/>
      <c r="D103" s="96"/>
      <c r="E103" s="96"/>
      <c r="F103" s="96"/>
      <c r="G103" s="96"/>
      <c r="H103" s="96"/>
      <c r="I103" s="96"/>
      <c r="J103" s="96"/>
      <c r="K103" s="96"/>
      <c r="L103" s="96"/>
      <c r="M103" s="96"/>
      <c r="N103" s="96"/>
      <c r="O103" s="96"/>
      <c r="P103" s="643"/>
      <c r="Q103" s="644"/>
      <c r="R103" s="642"/>
      <c r="X103" s="96"/>
      <c r="Y103" s="96"/>
      <c r="Z103" s="1255"/>
      <c r="AA103" s="2512"/>
      <c r="AB103" s="96"/>
      <c r="AC103" s="96"/>
      <c r="AD103" s="96"/>
      <c r="AE103" s="96"/>
      <c r="AF103" s="96"/>
      <c r="AG103" s="96"/>
      <c r="AH103" s="96"/>
      <c r="AI103" s="96"/>
      <c r="AJ103" s="96"/>
      <c r="AK103" s="96"/>
      <c r="AL103" s="96"/>
      <c r="AM103" s="96"/>
      <c r="AN103" s="96"/>
      <c r="AO103" s="96"/>
      <c r="AP103" s="96"/>
      <c r="AQ103" s="96"/>
      <c r="AR103" s="96"/>
    </row>
    <row r="104" spans="1:44" s="272" customFormat="1" ht="12" customHeight="1">
      <c r="A104" s="96"/>
      <c r="B104" s="96"/>
      <c r="C104" s="96"/>
      <c r="D104" s="96"/>
      <c r="E104" s="96"/>
      <c r="F104" s="96"/>
      <c r="G104" s="96"/>
      <c r="H104" s="96"/>
      <c r="I104" s="96"/>
      <c r="J104" s="96"/>
      <c r="K104" s="96"/>
      <c r="L104" s="96"/>
      <c r="M104" s="96"/>
      <c r="N104" s="96"/>
      <c r="O104" s="96"/>
      <c r="P104" s="643"/>
      <c r="Q104" s="644"/>
      <c r="R104" s="642"/>
      <c r="X104" s="96"/>
      <c r="Y104" s="96"/>
      <c r="Z104" s="1255"/>
      <c r="AA104" s="2512"/>
      <c r="AB104" s="96"/>
      <c r="AC104" s="96"/>
      <c r="AD104" s="96"/>
      <c r="AE104" s="96"/>
      <c r="AF104" s="96"/>
      <c r="AG104" s="96"/>
      <c r="AH104" s="96"/>
      <c r="AI104" s="96"/>
      <c r="AJ104" s="96"/>
      <c r="AK104" s="96"/>
      <c r="AL104" s="96"/>
      <c r="AM104" s="96"/>
      <c r="AN104" s="96"/>
      <c r="AO104" s="96"/>
      <c r="AP104" s="96"/>
      <c r="AQ104" s="96"/>
      <c r="AR104" s="96"/>
    </row>
    <row r="105" spans="1:44" s="272" customFormat="1" ht="12" customHeight="1">
      <c r="A105" s="96"/>
      <c r="B105" s="96"/>
      <c r="C105" s="96"/>
      <c r="D105" s="96"/>
      <c r="E105" s="96"/>
      <c r="F105" s="96"/>
      <c r="G105" s="96"/>
      <c r="H105" s="96"/>
      <c r="I105" s="96"/>
      <c r="J105" s="96"/>
      <c r="K105" s="96"/>
      <c r="L105" s="96"/>
      <c r="M105" s="96"/>
      <c r="N105" s="96"/>
      <c r="O105" s="96"/>
      <c r="P105" s="645"/>
      <c r="Q105" s="644"/>
      <c r="R105" s="642"/>
      <c r="X105" s="96"/>
      <c r="Y105" s="96"/>
      <c r="Z105" s="1255"/>
      <c r="AA105" s="2512"/>
      <c r="AB105" s="96"/>
      <c r="AC105" s="96"/>
      <c r="AD105" s="96"/>
      <c r="AE105" s="96"/>
      <c r="AF105" s="96"/>
      <c r="AG105" s="96"/>
      <c r="AH105" s="96"/>
      <c r="AI105" s="96"/>
      <c r="AJ105" s="96"/>
      <c r="AK105" s="96"/>
      <c r="AL105" s="96"/>
      <c r="AM105" s="96"/>
      <c r="AN105" s="96"/>
      <c r="AO105" s="96"/>
      <c r="AP105" s="96"/>
      <c r="AQ105" s="96"/>
      <c r="AR105" s="96"/>
    </row>
    <row r="106" spans="1:44" s="272" customFormat="1" ht="12" customHeight="1">
      <c r="A106" s="96"/>
      <c r="B106" s="96"/>
      <c r="C106" s="96"/>
      <c r="D106" s="96"/>
      <c r="E106" s="96"/>
      <c r="F106" s="96"/>
      <c r="G106" s="96"/>
      <c r="H106" s="96"/>
      <c r="I106" s="96"/>
      <c r="J106" s="96"/>
      <c r="K106" s="96"/>
      <c r="L106" s="96"/>
      <c r="M106" s="96"/>
      <c r="N106" s="96"/>
      <c r="O106" s="96"/>
      <c r="P106" s="643"/>
      <c r="Q106" s="644"/>
      <c r="R106" s="642"/>
      <c r="X106" s="96"/>
      <c r="Y106" s="96"/>
      <c r="Z106" s="1255"/>
      <c r="AA106" s="2512"/>
      <c r="AB106" s="96"/>
      <c r="AC106" s="96"/>
      <c r="AD106" s="96"/>
      <c r="AE106" s="96"/>
      <c r="AF106" s="96"/>
      <c r="AG106" s="96"/>
      <c r="AH106" s="96"/>
      <c r="AI106" s="96"/>
      <c r="AJ106" s="96"/>
      <c r="AK106" s="96"/>
      <c r="AL106" s="96"/>
      <c r="AM106" s="96"/>
      <c r="AN106" s="96"/>
      <c r="AO106" s="96"/>
      <c r="AP106" s="96"/>
      <c r="AQ106" s="96"/>
      <c r="AR106" s="96"/>
    </row>
    <row r="107" spans="1:44" s="272" customFormat="1" ht="12" customHeight="1">
      <c r="A107" s="96"/>
      <c r="B107" s="96"/>
      <c r="C107" s="96"/>
      <c r="D107" s="96"/>
      <c r="E107" s="96"/>
      <c r="F107" s="96"/>
      <c r="G107" s="96"/>
      <c r="H107" s="96"/>
      <c r="I107" s="96"/>
      <c r="J107" s="96"/>
      <c r="K107" s="96"/>
      <c r="L107" s="96"/>
      <c r="M107" s="96"/>
      <c r="N107" s="96"/>
      <c r="O107" s="96"/>
      <c r="P107" s="643"/>
      <c r="Q107" s="644"/>
      <c r="R107" s="642"/>
      <c r="X107" s="96"/>
      <c r="Y107" s="96"/>
      <c r="Z107" s="1255"/>
      <c r="AA107" s="2512"/>
      <c r="AB107" s="96"/>
      <c r="AC107" s="96"/>
      <c r="AD107" s="96"/>
      <c r="AE107" s="96"/>
      <c r="AF107" s="96"/>
      <c r="AG107" s="96"/>
      <c r="AH107" s="96"/>
      <c r="AI107" s="96"/>
      <c r="AJ107" s="96"/>
      <c r="AK107" s="96"/>
      <c r="AL107" s="96"/>
      <c r="AM107" s="96"/>
      <c r="AN107" s="96"/>
      <c r="AO107" s="96"/>
      <c r="AP107" s="96"/>
      <c r="AQ107" s="96"/>
      <c r="AR107" s="96"/>
    </row>
    <row r="108" spans="1:44" s="272" customFormat="1" ht="12" customHeight="1">
      <c r="A108" s="96"/>
      <c r="B108" s="96"/>
      <c r="C108" s="96"/>
      <c r="D108" s="96"/>
      <c r="E108" s="96"/>
      <c r="F108" s="96"/>
      <c r="G108" s="96"/>
      <c r="H108" s="96"/>
      <c r="I108" s="96"/>
      <c r="J108" s="96"/>
      <c r="K108" s="96"/>
      <c r="L108" s="96"/>
      <c r="M108" s="96"/>
      <c r="N108" s="96"/>
      <c r="O108" s="96"/>
      <c r="P108" s="643"/>
      <c r="Q108" s="644"/>
      <c r="R108" s="642"/>
      <c r="X108" s="96"/>
      <c r="Y108" s="96"/>
      <c r="Z108" s="1255"/>
      <c r="AA108" s="2512"/>
      <c r="AB108" s="96"/>
      <c r="AC108" s="96"/>
      <c r="AD108" s="96"/>
      <c r="AE108" s="96"/>
      <c r="AF108" s="96"/>
      <c r="AG108" s="96"/>
      <c r="AH108" s="96"/>
      <c r="AI108" s="96"/>
      <c r="AJ108" s="96"/>
      <c r="AK108" s="96"/>
      <c r="AL108" s="96"/>
      <c r="AM108" s="96"/>
      <c r="AN108" s="96"/>
      <c r="AO108" s="96"/>
      <c r="AP108" s="96"/>
      <c r="AQ108" s="96"/>
      <c r="AR108" s="96"/>
    </row>
    <row r="109" spans="1:44" s="272" customFormat="1" ht="12" customHeight="1">
      <c r="A109" s="96"/>
      <c r="B109" s="96"/>
      <c r="C109" s="96"/>
      <c r="D109" s="96"/>
      <c r="E109" s="96"/>
      <c r="F109" s="96"/>
      <c r="G109" s="96"/>
      <c r="H109" s="96"/>
      <c r="I109" s="96"/>
      <c r="J109" s="96"/>
      <c r="K109" s="96"/>
      <c r="L109" s="96"/>
      <c r="M109" s="96"/>
      <c r="N109" s="96"/>
      <c r="O109" s="96"/>
      <c r="P109" s="643"/>
      <c r="Q109" s="644"/>
      <c r="R109" s="642"/>
      <c r="X109" s="96"/>
      <c r="Y109" s="96"/>
      <c r="Z109" s="1255"/>
      <c r="AA109" s="2512"/>
      <c r="AB109" s="96"/>
      <c r="AC109" s="96"/>
      <c r="AD109" s="96"/>
      <c r="AE109" s="96"/>
      <c r="AF109" s="96"/>
      <c r="AG109" s="96"/>
      <c r="AH109" s="96"/>
      <c r="AI109" s="96"/>
      <c r="AJ109" s="96"/>
      <c r="AK109" s="96"/>
      <c r="AL109" s="96"/>
      <c r="AM109" s="96"/>
      <c r="AN109" s="96"/>
      <c r="AO109" s="96"/>
      <c r="AP109" s="96"/>
      <c r="AQ109" s="96"/>
      <c r="AR109" s="96"/>
    </row>
    <row r="110" spans="1:44" s="272" customFormat="1" ht="12" customHeight="1">
      <c r="A110" s="96"/>
      <c r="B110" s="96"/>
      <c r="C110" s="96"/>
      <c r="D110" s="96"/>
      <c r="E110" s="96"/>
      <c r="F110" s="96"/>
      <c r="G110" s="96"/>
      <c r="H110" s="96"/>
      <c r="I110" s="96"/>
      <c r="J110" s="96"/>
      <c r="K110" s="96"/>
      <c r="L110" s="96"/>
      <c r="M110" s="96"/>
      <c r="N110" s="96"/>
      <c r="O110" s="96"/>
      <c r="P110" s="643"/>
      <c r="Q110" s="644"/>
      <c r="R110" s="642"/>
      <c r="X110" s="96"/>
      <c r="Y110" s="96"/>
      <c r="Z110" s="1255"/>
      <c r="AA110" s="2512"/>
      <c r="AB110" s="96"/>
      <c r="AC110" s="96"/>
      <c r="AD110" s="96"/>
      <c r="AE110" s="96"/>
      <c r="AF110" s="96"/>
      <c r="AG110" s="96"/>
      <c r="AH110" s="96"/>
      <c r="AI110" s="96"/>
      <c r="AJ110" s="96"/>
      <c r="AK110" s="96"/>
      <c r="AL110" s="96"/>
      <c r="AM110" s="96"/>
      <c r="AN110" s="96"/>
      <c r="AO110" s="96"/>
      <c r="AP110" s="96"/>
      <c r="AQ110" s="96"/>
      <c r="AR110" s="96"/>
    </row>
    <row r="111" spans="1:44" s="272" customFormat="1" ht="12" customHeight="1">
      <c r="A111" s="96"/>
      <c r="B111" s="96"/>
      <c r="C111" s="96"/>
      <c r="D111" s="96"/>
      <c r="E111" s="96"/>
      <c r="F111" s="96"/>
      <c r="G111" s="96"/>
      <c r="H111" s="96"/>
      <c r="I111" s="96"/>
      <c r="J111" s="96"/>
      <c r="K111" s="96"/>
      <c r="L111" s="96"/>
      <c r="M111" s="96"/>
      <c r="N111" s="96"/>
      <c r="O111" s="96"/>
      <c r="P111" s="643"/>
      <c r="Q111" s="644"/>
      <c r="R111" s="642"/>
      <c r="X111" s="96"/>
      <c r="Y111" s="96"/>
      <c r="Z111" s="1255"/>
      <c r="AA111" s="2512"/>
      <c r="AB111" s="96"/>
      <c r="AC111" s="96"/>
      <c r="AD111" s="96"/>
      <c r="AE111" s="96"/>
      <c r="AF111" s="96"/>
      <c r="AG111" s="96"/>
      <c r="AH111" s="96"/>
      <c r="AI111" s="96"/>
      <c r="AJ111" s="96"/>
      <c r="AK111" s="96"/>
      <c r="AL111" s="96"/>
      <c r="AM111" s="96"/>
      <c r="AN111" s="96"/>
      <c r="AO111" s="96"/>
      <c r="AP111" s="96"/>
      <c r="AQ111" s="96"/>
      <c r="AR111" s="96"/>
    </row>
    <row r="112" spans="1:44" s="272" customFormat="1" ht="12" customHeight="1">
      <c r="A112" s="96"/>
      <c r="B112" s="96"/>
      <c r="C112" s="96"/>
      <c r="D112" s="96"/>
      <c r="E112" s="96"/>
      <c r="F112" s="96"/>
      <c r="G112" s="96"/>
      <c r="H112" s="96"/>
      <c r="I112" s="96"/>
      <c r="J112" s="96"/>
      <c r="K112" s="96"/>
      <c r="L112" s="96"/>
      <c r="M112" s="96"/>
      <c r="N112" s="96"/>
      <c r="O112" s="96"/>
      <c r="P112" s="643"/>
      <c r="Q112" s="644"/>
      <c r="R112" s="642"/>
      <c r="X112" s="96"/>
      <c r="Y112" s="96"/>
      <c r="Z112" s="1255"/>
      <c r="AA112" s="2512"/>
      <c r="AB112" s="96"/>
      <c r="AC112" s="96"/>
      <c r="AD112" s="96"/>
      <c r="AE112" s="96"/>
      <c r="AF112" s="96"/>
      <c r="AG112" s="96"/>
      <c r="AH112" s="96"/>
      <c r="AI112" s="96"/>
      <c r="AJ112" s="96"/>
      <c r="AK112" s="96"/>
      <c r="AL112" s="96"/>
      <c r="AM112" s="96"/>
      <c r="AN112" s="96"/>
      <c r="AO112" s="96"/>
      <c r="AP112" s="96"/>
      <c r="AQ112" s="96"/>
      <c r="AR112" s="96"/>
    </row>
    <row r="113" spans="1:44" s="272" customFormat="1" ht="12" customHeight="1">
      <c r="A113" s="96"/>
      <c r="B113" s="96"/>
      <c r="C113" s="96"/>
      <c r="D113" s="96"/>
      <c r="E113" s="96"/>
      <c r="F113" s="96"/>
      <c r="G113" s="96"/>
      <c r="H113" s="96"/>
      <c r="I113" s="96"/>
      <c r="J113" s="96"/>
      <c r="K113" s="96"/>
      <c r="L113" s="96"/>
      <c r="M113" s="96"/>
      <c r="N113" s="96"/>
      <c r="O113" s="96"/>
      <c r="P113" s="645"/>
      <c r="Q113" s="644"/>
      <c r="R113" s="642"/>
      <c r="X113" s="96"/>
      <c r="Y113" s="96"/>
      <c r="Z113" s="1255"/>
      <c r="AA113" s="2512"/>
      <c r="AB113" s="96"/>
      <c r="AC113" s="96"/>
      <c r="AD113" s="96"/>
      <c r="AE113" s="96"/>
      <c r="AF113" s="96"/>
      <c r="AG113" s="96"/>
      <c r="AH113" s="96"/>
      <c r="AI113" s="96"/>
      <c r="AJ113" s="96"/>
      <c r="AK113" s="96"/>
      <c r="AL113" s="96"/>
      <c r="AM113" s="96"/>
      <c r="AN113" s="96"/>
      <c r="AO113" s="96"/>
      <c r="AP113" s="96"/>
      <c r="AQ113" s="96"/>
      <c r="AR113" s="96"/>
    </row>
    <row r="114" spans="1:44" s="272" customFormat="1" ht="12" customHeight="1">
      <c r="A114" s="96"/>
      <c r="B114" s="96"/>
      <c r="C114" s="96"/>
      <c r="D114" s="96"/>
      <c r="E114" s="96"/>
      <c r="F114" s="96"/>
      <c r="G114" s="96"/>
      <c r="H114" s="96"/>
      <c r="I114" s="96"/>
      <c r="J114" s="96"/>
      <c r="K114" s="96"/>
      <c r="L114" s="96"/>
      <c r="M114" s="96"/>
      <c r="N114" s="96"/>
      <c r="O114" s="96"/>
      <c r="P114" s="643"/>
      <c r="Q114" s="644"/>
      <c r="R114" s="642"/>
      <c r="X114" s="96"/>
      <c r="Y114" s="96"/>
      <c r="Z114" s="1255"/>
      <c r="AA114" s="2512"/>
      <c r="AB114" s="96"/>
      <c r="AC114" s="96"/>
      <c r="AD114" s="96"/>
      <c r="AE114" s="96"/>
      <c r="AF114" s="96"/>
      <c r="AG114" s="96"/>
      <c r="AH114" s="96"/>
      <c r="AI114" s="96"/>
      <c r="AJ114" s="96"/>
      <c r="AK114" s="96"/>
      <c r="AL114" s="96"/>
      <c r="AM114" s="96"/>
      <c r="AN114" s="96"/>
      <c r="AO114" s="96"/>
      <c r="AP114" s="96"/>
      <c r="AQ114" s="96"/>
      <c r="AR114" s="96"/>
    </row>
    <row r="115" spans="1:44" s="272" customFormat="1" ht="12" customHeight="1">
      <c r="A115" s="96"/>
      <c r="B115" s="96"/>
      <c r="C115" s="96"/>
      <c r="D115" s="96"/>
      <c r="E115" s="96"/>
      <c r="F115" s="96"/>
      <c r="G115" s="96"/>
      <c r="H115" s="96"/>
      <c r="I115" s="96"/>
      <c r="J115" s="96"/>
      <c r="K115" s="96"/>
      <c r="L115" s="96"/>
      <c r="M115" s="96"/>
      <c r="N115" s="96"/>
      <c r="O115" s="96"/>
      <c r="P115" s="643"/>
      <c r="Q115" s="644"/>
      <c r="R115" s="642"/>
      <c r="X115" s="96"/>
      <c r="Y115" s="96"/>
      <c r="Z115" s="1255"/>
      <c r="AA115" s="2512"/>
      <c r="AB115" s="96"/>
      <c r="AC115" s="96"/>
      <c r="AD115" s="96"/>
      <c r="AE115" s="96"/>
      <c r="AF115" s="96"/>
      <c r="AG115" s="96"/>
      <c r="AH115" s="96"/>
      <c r="AI115" s="96"/>
      <c r="AJ115" s="96"/>
      <c r="AK115" s="96"/>
      <c r="AL115" s="96"/>
      <c r="AM115" s="96"/>
      <c r="AN115" s="96"/>
      <c r="AO115" s="96"/>
      <c r="AP115" s="96"/>
      <c r="AQ115" s="96"/>
      <c r="AR115" s="96"/>
    </row>
    <row r="116" spans="1:44" s="272" customFormat="1" ht="12" customHeight="1">
      <c r="A116" s="96"/>
      <c r="B116" s="96"/>
      <c r="C116" s="96"/>
      <c r="D116" s="96"/>
      <c r="E116" s="96"/>
      <c r="F116" s="96"/>
      <c r="G116" s="96"/>
      <c r="H116" s="96"/>
      <c r="I116" s="96"/>
      <c r="J116" s="96"/>
      <c r="K116" s="96"/>
      <c r="L116" s="96"/>
      <c r="M116" s="96"/>
      <c r="N116" s="96"/>
      <c r="O116" s="96"/>
      <c r="P116" s="643"/>
      <c r="Q116" s="644"/>
      <c r="R116" s="642"/>
      <c r="X116" s="96"/>
      <c r="Y116" s="96"/>
      <c r="Z116" s="1255"/>
      <c r="AA116" s="2512"/>
      <c r="AB116" s="96"/>
      <c r="AC116" s="96"/>
      <c r="AD116" s="96"/>
      <c r="AE116" s="96"/>
      <c r="AF116" s="96"/>
      <c r="AG116" s="96"/>
      <c r="AH116" s="96"/>
      <c r="AI116" s="96"/>
      <c r="AJ116" s="96"/>
      <c r="AK116" s="96"/>
      <c r="AL116" s="96"/>
      <c r="AM116" s="96"/>
      <c r="AN116" s="96"/>
      <c r="AO116" s="96"/>
      <c r="AP116" s="96"/>
      <c r="AQ116" s="96"/>
      <c r="AR116" s="96"/>
    </row>
    <row r="117" spans="1:44" s="272" customFormat="1" ht="12" customHeight="1">
      <c r="A117" s="96"/>
      <c r="B117" s="96"/>
      <c r="C117" s="96"/>
      <c r="D117" s="96"/>
      <c r="E117" s="96"/>
      <c r="F117" s="96"/>
      <c r="G117" s="96"/>
      <c r="H117" s="96"/>
      <c r="I117" s="96"/>
      <c r="J117" s="96"/>
      <c r="K117" s="96"/>
      <c r="L117" s="96"/>
      <c r="M117" s="96"/>
      <c r="N117" s="96"/>
      <c r="O117" s="96"/>
      <c r="P117" s="643"/>
      <c r="Q117" s="644"/>
      <c r="R117" s="642"/>
      <c r="X117" s="96"/>
      <c r="Y117" s="96"/>
      <c r="Z117" s="1255"/>
      <c r="AA117" s="2512"/>
      <c r="AB117" s="96"/>
      <c r="AC117" s="96"/>
      <c r="AD117" s="96"/>
      <c r="AE117" s="96"/>
      <c r="AF117" s="96"/>
      <c r="AG117" s="96"/>
      <c r="AH117" s="96"/>
      <c r="AI117" s="96"/>
      <c r="AJ117" s="96"/>
      <c r="AK117" s="96"/>
      <c r="AL117" s="96"/>
      <c r="AM117" s="96"/>
      <c r="AN117" s="96"/>
      <c r="AO117" s="96"/>
      <c r="AP117" s="96"/>
      <c r="AQ117" s="96"/>
      <c r="AR117" s="96"/>
    </row>
    <row r="118" spans="1:44" s="272" customFormat="1" ht="12" customHeight="1">
      <c r="A118" s="96"/>
      <c r="B118" s="96"/>
      <c r="C118" s="96"/>
      <c r="D118" s="96"/>
      <c r="E118" s="96"/>
      <c r="F118" s="96"/>
      <c r="G118" s="96"/>
      <c r="H118" s="96"/>
      <c r="I118" s="96"/>
      <c r="J118" s="96"/>
      <c r="K118" s="96"/>
      <c r="L118" s="96"/>
      <c r="M118" s="96"/>
      <c r="N118" s="96"/>
      <c r="O118" s="96"/>
      <c r="P118" s="643"/>
      <c r="Q118" s="644"/>
      <c r="R118" s="642"/>
      <c r="X118" s="96"/>
      <c r="Y118" s="96"/>
      <c r="Z118" s="1255"/>
      <c r="AA118" s="2512"/>
      <c r="AB118" s="96"/>
      <c r="AC118" s="96"/>
      <c r="AD118" s="96"/>
      <c r="AE118" s="96"/>
      <c r="AF118" s="96"/>
      <c r="AG118" s="96"/>
      <c r="AH118" s="96"/>
      <c r="AI118" s="96"/>
      <c r="AJ118" s="96"/>
      <c r="AK118" s="96"/>
      <c r="AL118" s="96"/>
      <c r="AM118" s="96"/>
      <c r="AN118" s="96"/>
      <c r="AO118" s="96"/>
      <c r="AP118" s="96"/>
      <c r="AQ118" s="96"/>
      <c r="AR118" s="96"/>
    </row>
    <row r="119" spans="1:44" s="272" customFormat="1" ht="12" customHeight="1">
      <c r="A119" s="96"/>
      <c r="B119" s="96"/>
      <c r="C119" s="96"/>
      <c r="D119" s="96"/>
      <c r="E119" s="96"/>
      <c r="F119" s="96"/>
      <c r="G119" s="96"/>
      <c r="H119" s="96"/>
      <c r="I119" s="96"/>
      <c r="J119" s="96"/>
      <c r="K119" s="96"/>
      <c r="L119" s="96"/>
      <c r="M119" s="96"/>
      <c r="N119" s="96"/>
      <c r="O119" s="96"/>
      <c r="P119" s="643"/>
      <c r="Q119" s="644"/>
      <c r="R119" s="642"/>
      <c r="X119" s="96"/>
      <c r="Y119" s="96"/>
      <c r="Z119" s="1255"/>
      <c r="AA119" s="2512"/>
      <c r="AB119" s="96"/>
      <c r="AC119" s="96"/>
      <c r="AD119" s="96"/>
      <c r="AE119" s="96"/>
      <c r="AF119" s="96"/>
      <c r="AG119" s="96"/>
      <c r="AH119" s="96"/>
      <c r="AI119" s="96"/>
      <c r="AJ119" s="96"/>
      <c r="AK119" s="96"/>
      <c r="AL119" s="96"/>
      <c r="AM119" s="96"/>
      <c r="AN119" s="96"/>
      <c r="AO119" s="96"/>
      <c r="AP119" s="96"/>
      <c r="AQ119" s="96"/>
      <c r="AR119" s="96"/>
    </row>
    <row r="120" spans="1:44" s="272" customFormat="1" ht="12" customHeight="1">
      <c r="A120" s="96"/>
      <c r="B120" s="96"/>
      <c r="C120" s="96"/>
      <c r="D120" s="96"/>
      <c r="E120" s="96"/>
      <c r="F120" s="96"/>
      <c r="G120" s="96"/>
      <c r="H120" s="96"/>
      <c r="I120" s="96"/>
      <c r="J120" s="96"/>
      <c r="K120" s="96"/>
      <c r="L120" s="96"/>
      <c r="M120" s="96"/>
      <c r="N120" s="96"/>
      <c r="O120" s="96"/>
      <c r="P120" s="643"/>
      <c r="Q120" s="644"/>
      <c r="R120" s="642"/>
      <c r="X120" s="96"/>
      <c r="Y120" s="96"/>
      <c r="Z120" s="1255"/>
      <c r="AA120" s="2512"/>
      <c r="AB120" s="96"/>
      <c r="AC120" s="96"/>
      <c r="AD120" s="96"/>
      <c r="AE120" s="96"/>
      <c r="AF120" s="96"/>
      <c r="AG120" s="96"/>
      <c r="AH120" s="96"/>
      <c r="AI120" s="96"/>
      <c r="AJ120" s="96"/>
      <c r="AK120" s="96"/>
      <c r="AL120" s="96"/>
      <c r="AM120" s="96"/>
      <c r="AN120" s="96"/>
      <c r="AO120" s="96"/>
      <c r="AP120" s="96"/>
      <c r="AQ120" s="96"/>
      <c r="AR120" s="96"/>
    </row>
    <row r="121" spans="1:44" s="272" customFormat="1" ht="12" customHeight="1">
      <c r="A121" s="96"/>
      <c r="B121" s="96"/>
      <c r="C121" s="96"/>
      <c r="D121" s="96"/>
      <c r="E121" s="96"/>
      <c r="F121" s="96"/>
      <c r="G121" s="96"/>
      <c r="H121" s="96"/>
      <c r="I121" s="96"/>
      <c r="J121" s="96"/>
      <c r="K121" s="96"/>
      <c r="L121" s="96"/>
      <c r="M121" s="96"/>
      <c r="N121" s="96"/>
      <c r="O121" s="96"/>
      <c r="P121" s="643"/>
      <c r="Q121" s="644"/>
      <c r="R121" s="642"/>
      <c r="X121" s="96"/>
      <c r="Y121" s="96"/>
      <c r="Z121" s="1255"/>
      <c r="AA121" s="2512"/>
      <c r="AB121" s="96"/>
      <c r="AC121" s="96"/>
      <c r="AD121" s="96"/>
      <c r="AE121" s="96"/>
      <c r="AF121" s="96"/>
      <c r="AG121" s="96"/>
      <c r="AH121" s="96"/>
      <c r="AI121" s="96"/>
      <c r="AJ121" s="96"/>
      <c r="AK121" s="96"/>
      <c r="AL121" s="96"/>
      <c r="AM121" s="96"/>
      <c r="AN121" s="96"/>
      <c r="AO121" s="96"/>
      <c r="AP121" s="96"/>
      <c r="AQ121" s="96"/>
      <c r="AR121" s="96"/>
    </row>
    <row r="122" spans="1:44" s="272" customFormat="1" ht="12" customHeight="1">
      <c r="A122" s="96"/>
      <c r="B122" s="96"/>
      <c r="C122" s="96"/>
      <c r="D122" s="96"/>
      <c r="E122" s="96"/>
      <c r="F122" s="96"/>
      <c r="G122" s="96"/>
      <c r="H122" s="96"/>
      <c r="I122" s="96"/>
      <c r="J122" s="96"/>
      <c r="K122" s="96"/>
      <c r="L122" s="96"/>
      <c r="M122" s="96"/>
      <c r="N122" s="96"/>
      <c r="O122" s="96"/>
      <c r="P122" s="643"/>
      <c r="Q122" s="644"/>
      <c r="R122" s="642"/>
      <c r="X122" s="96"/>
      <c r="Y122" s="96"/>
      <c r="Z122" s="1255"/>
      <c r="AA122" s="2512"/>
      <c r="AB122" s="96"/>
      <c r="AC122" s="96"/>
      <c r="AD122" s="96"/>
      <c r="AE122" s="96"/>
      <c r="AF122" s="96"/>
      <c r="AG122" s="96"/>
      <c r="AH122" s="96"/>
      <c r="AI122" s="96"/>
      <c r="AJ122" s="96"/>
      <c r="AK122" s="96"/>
      <c r="AL122" s="96"/>
      <c r="AM122" s="96"/>
      <c r="AN122" s="96"/>
      <c r="AO122" s="96"/>
      <c r="AP122" s="96"/>
      <c r="AQ122" s="96"/>
      <c r="AR122" s="96"/>
    </row>
    <row r="123" spans="1:44" s="272" customFormat="1" ht="12" customHeight="1">
      <c r="A123" s="96"/>
      <c r="B123" s="96"/>
      <c r="C123" s="96"/>
      <c r="D123" s="96"/>
      <c r="E123" s="96"/>
      <c r="F123" s="96"/>
      <c r="G123" s="96"/>
      <c r="H123" s="96"/>
      <c r="I123" s="96"/>
      <c r="J123" s="96"/>
      <c r="K123" s="96"/>
      <c r="L123" s="96"/>
      <c r="M123" s="96"/>
      <c r="N123" s="96"/>
      <c r="O123" s="96"/>
      <c r="P123" s="643"/>
      <c r="Q123" s="644"/>
      <c r="R123" s="642"/>
      <c r="X123" s="96"/>
      <c r="Y123" s="96"/>
      <c r="Z123" s="1255"/>
      <c r="AA123" s="2512"/>
      <c r="AB123" s="96"/>
      <c r="AC123" s="96"/>
      <c r="AD123" s="96"/>
      <c r="AE123" s="96"/>
      <c r="AF123" s="96"/>
      <c r="AG123" s="96"/>
      <c r="AH123" s="96"/>
      <c r="AI123" s="96"/>
      <c r="AJ123" s="96"/>
      <c r="AK123" s="96"/>
      <c r="AL123" s="96"/>
      <c r="AM123" s="96"/>
      <c r="AN123" s="96"/>
      <c r="AO123" s="96"/>
      <c r="AP123" s="96"/>
      <c r="AQ123" s="96"/>
      <c r="AR123" s="96"/>
    </row>
    <row r="124" spans="1:44" s="272" customFormat="1" ht="12" customHeight="1">
      <c r="A124" s="96"/>
      <c r="B124" s="96"/>
      <c r="C124" s="96"/>
      <c r="D124" s="96"/>
      <c r="E124" s="96"/>
      <c r="F124" s="96"/>
      <c r="G124" s="96"/>
      <c r="H124" s="96"/>
      <c r="I124" s="96"/>
      <c r="J124" s="96"/>
      <c r="K124" s="96"/>
      <c r="L124" s="96"/>
      <c r="M124" s="96"/>
      <c r="N124" s="96"/>
      <c r="O124" s="96"/>
      <c r="P124" s="643"/>
      <c r="Q124" s="644"/>
      <c r="R124" s="642"/>
      <c r="X124" s="96"/>
      <c r="Y124" s="96"/>
      <c r="Z124" s="1255"/>
      <c r="AA124" s="2512"/>
      <c r="AB124" s="96"/>
      <c r="AC124" s="96"/>
      <c r="AD124" s="96"/>
      <c r="AE124" s="96"/>
      <c r="AF124" s="96"/>
      <c r="AG124" s="96"/>
      <c r="AH124" s="96"/>
      <c r="AI124" s="96"/>
      <c r="AJ124" s="96"/>
      <c r="AK124" s="96"/>
      <c r="AL124" s="96"/>
      <c r="AM124" s="96"/>
      <c r="AN124" s="96"/>
      <c r="AO124" s="96"/>
      <c r="AP124" s="96"/>
      <c r="AQ124" s="96"/>
      <c r="AR124" s="96"/>
    </row>
    <row r="125" spans="1:44" s="272" customFormat="1" ht="12" customHeight="1">
      <c r="A125" s="96"/>
      <c r="B125" s="96"/>
      <c r="C125" s="96"/>
      <c r="D125" s="96"/>
      <c r="E125" s="96"/>
      <c r="F125" s="96"/>
      <c r="G125" s="96"/>
      <c r="H125" s="96"/>
      <c r="I125" s="96"/>
      <c r="J125" s="96"/>
      <c r="K125" s="96"/>
      <c r="L125" s="96"/>
      <c r="M125" s="96"/>
      <c r="N125" s="96"/>
      <c r="O125" s="96"/>
      <c r="P125" s="643"/>
      <c r="Q125" s="644"/>
      <c r="R125" s="642"/>
      <c r="X125" s="96"/>
      <c r="Y125" s="96"/>
      <c r="Z125" s="1255"/>
      <c r="AA125" s="2512"/>
      <c r="AB125" s="96"/>
      <c r="AC125" s="96"/>
      <c r="AD125" s="96"/>
      <c r="AE125" s="96"/>
      <c r="AF125" s="96"/>
      <c r="AG125" s="96"/>
      <c r="AH125" s="96"/>
      <c r="AI125" s="96"/>
      <c r="AJ125" s="96"/>
      <c r="AK125" s="96"/>
      <c r="AL125" s="96"/>
      <c r="AM125" s="96"/>
      <c r="AN125" s="96"/>
      <c r="AO125" s="96"/>
      <c r="AP125" s="96"/>
      <c r="AQ125" s="96"/>
      <c r="AR125" s="96"/>
    </row>
    <row r="126" spans="1:44" s="272" customFormat="1" ht="12" customHeight="1">
      <c r="A126" s="96"/>
      <c r="B126" s="96"/>
      <c r="C126" s="96"/>
      <c r="D126" s="96"/>
      <c r="E126" s="96"/>
      <c r="F126" s="96"/>
      <c r="G126" s="96"/>
      <c r="H126" s="96"/>
      <c r="I126" s="96"/>
      <c r="J126" s="96"/>
      <c r="K126" s="96"/>
      <c r="L126" s="96"/>
      <c r="M126" s="96"/>
      <c r="N126" s="96"/>
      <c r="O126" s="96"/>
      <c r="P126" s="643"/>
      <c r="Q126" s="644"/>
      <c r="R126" s="642"/>
      <c r="X126" s="96"/>
      <c r="Y126" s="96"/>
      <c r="Z126" s="1255"/>
      <c r="AA126" s="2512"/>
      <c r="AB126" s="96"/>
      <c r="AC126" s="96"/>
      <c r="AD126" s="96"/>
      <c r="AE126" s="96"/>
      <c r="AF126" s="96"/>
      <c r="AG126" s="96"/>
      <c r="AH126" s="96"/>
      <c r="AI126" s="96"/>
      <c r="AJ126" s="96"/>
      <c r="AK126" s="96"/>
      <c r="AL126" s="96"/>
      <c r="AM126" s="96"/>
      <c r="AN126" s="96"/>
      <c r="AO126" s="96"/>
      <c r="AP126" s="96"/>
      <c r="AQ126" s="96"/>
      <c r="AR126" s="96"/>
    </row>
    <row r="127" spans="1:44" s="272" customFormat="1" ht="12" customHeight="1">
      <c r="A127" s="96"/>
      <c r="B127" s="96"/>
      <c r="C127" s="96"/>
      <c r="D127" s="96"/>
      <c r="E127" s="96"/>
      <c r="F127" s="96"/>
      <c r="G127" s="96"/>
      <c r="H127" s="96"/>
      <c r="I127" s="96"/>
      <c r="J127" s="96"/>
      <c r="K127" s="96"/>
      <c r="L127" s="96"/>
      <c r="M127" s="96"/>
      <c r="N127" s="96"/>
      <c r="O127" s="96"/>
      <c r="P127" s="643"/>
      <c r="Q127" s="644"/>
      <c r="R127" s="642"/>
      <c r="X127" s="96"/>
      <c r="Y127" s="96"/>
      <c r="Z127" s="1255"/>
      <c r="AA127" s="2512"/>
      <c r="AB127" s="96"/>
      <c r="AC127" s="96"/>
      <c r="AD127" s="96"/>
      <c r="AE127" s="96"/>
      <c r="AF127" s="96"/>
      <c r="AG127" s="96"/>
      <c r="AH127" s="96"/>
      <c r="AI127" s="96"/>
      <c r="AJ127" s="96"/>
      <c r="AK127" s="96"/>
      <c r="AL127" s="96"/>
      <c r="AM127" s="96"/>
      <c r="AN127" s="96"/>
      <c r="AO127" s="96"/>
      <c r="AP127" s="96"/>
      <c r="AQ127" s="96"/>
      <c r="AR127" s="96"/>
    </row>
    <row r="128" spans="1:44" s="272" customFormat="1" ht="12" customHeight="1">
      <c r="A128" s="96"/>
      <c r="B128" s="96"/>
      <c r="C128" s="96"/>
      <c r="D128" s="96"/>
      <c r="E128" s="96"/>
      <c r="F128" s="96"/>
      <c r="G128" s="96"/>
      <c r="H128" s="96"/>
      <c r="I128" s="96"/>
      <c r="J128" s="96"/>
      <c r="K128" s="96"/>
      <c r="L128" s="96"/>
      <c r="M128" s="96"/>
      <c r="N128" s="96"/>
      <c r="O128" s="96"/>
      <c r="P128" s="646"/>
      <c r="Q128" s="644"/>
      <c r="R128" s="642"/>
      <c r="X128" s="96"/>
      <c r="Y128" s="96"/>
      <c r="Z128" s="1255"/>
      <c r="AA128" s="2512"/>
      <c r="AB128" s="96"/>
      <c r="AC128" s="96"/>
      <c r="AD128" s="96"/>
      <c r="AE128" s="96"/>
      <c r="AF128" s="96"/>
      <c r="AG128" s="96"/>
      <c r="AH128" s="96"/>
      <c r="AI128" s="96"/>
      <c r="AJ128" s="96"/>
      <c r="AK128" s="96"/>
      <c r="AL128" s="96"/>
      <c r="AM128" s="96"/>
      <c r="AN128" s="96"/>
      <c r="AO128" s="96"/>
      <c r="AP128" s="96"/>
      <c r="AQ128" s="96"/>
      <c r="AR128" s="96"/>
    </row>
    <row r="129" spans="1:44" s="272" customFormat="1" ht="12" customHeight="1">
      <c r="A129" s="96"/>
      <c r="B129" s="96"/>
      <c r="C129" s="96"/>
      <c r="D129" s="96"/>
      <c r="E129" s="96"/>
      <c r="F129" s="96"/>
      <c r="G129" s="96"/>
      <c r="H129" s="96"/>
      <c r="I129" s="96"/>
      <c r="J129" s="96"/>
      <c r="K129" s="96"/>
      <c r="L129" s="96"/>
      <c r="M129" s="96"/>
      <c r="N129" s="96"/>
      <c r="O129" s="96"/>
      <c r="P129" s="643"/>
      <c r="Q129" s="644"/>
      <c r="R129" s="642"/>
      <c r="X129" s="96"/>
      <c r="Y129" s="96"/>
      <c r="Z129" s="1255"/>
      <c r="AA129" s="2512"/>
      <c r="AB129" s="96"/>
      <c r="AC129" s="96"/>
      <c r="AD129" s="96"/>
      <c r="AE129" s="96"/>
      <c r="AF129" s="96"/>
      <c r="AG129" s="96"/>
      <c r="AH129" s="96"/>
      <c r="AI129" s="96"/>
      <c r="AJ129" s="96"/>
      <c r="AK129" s="96"/>
      <c r="AL129" s="96"/>
      <c r="AM129" s="96"/>
      <c r="AN129" s="96"/>
      <c r="AO129" s="96"/>
      <c r="AP129" s="96"/>
      <c r="AQ129" s="96"/>
      <c r="AR129" s="96"/>
    </row>
    <row r="130" spans="1:44" s="272" customFormat="1" ht="12" customHeight="1">
      <c r="A130" s="96"/>
      <c r="B130" s="96"/>
      <c r="C130" s="96"/>
      <c r="D130" s="96"/>
      <c r="E130" s="96"/>
      <c r="F130" s="96"/>
      <c r="G130" s="96"/>
      <c r="H130" s="96"/>
      <c r="I130" s="96"/>
      <c r="J130" s="96"/>
      <c r="K130" s="96"/>
      <c r="L130" s="96"/>
      <c r="M130" s="96"/>
      <c r="N130" s="96"/>
      <c r="O130" s="96"/>
      <c r="P130" s="643"/>
      <c r="Q130" s="644"/>
      <c r="R130" s="642"/>
      <c r="X130" s="96"/>
      <c r="Y130" s="96"/>
      <c r="Z130" s="1255"/>
      <c r="AA130" s="2512"/>
      <c r="AB130" s="96"/>
      <c r="AC130" s="96"/>
      <c r="AD130" s="96"/>
      <c r="AE130" s="96"/>
      <c r="AF130" s="96"/>
      <c r="AG130" s="96"/>
      <c r="AH130" s="96"/>
      <c r="AI130" s="96"/>
      <c r="AJ130" s="96"/>
      <c r="AK130" s="96"/>
      <c r="AL130" s="96"/>
      <c r="AM130" s="96"/>
      <c r="AN130" s="96"/>
      <c r="AO130" s="96"/>
      <c r="AP130" s="96"/>
      <c r="AQ130" s="96"/>
      <c r="AR130" s="96"/>
    </row>
    <row r="131" spans="1:44" s="272" customFormat="1" ht="12" customHeight="1">
      <c r="A131" s="96"/>
      <c r="B131" s="96"/>
      <c r="C131" s="96"/>
      <c r="D131" s="96"/>
      <c r="E131" s="96"/>
      <c r="F131" s="96"/>
      <c r="G131" s="96"/>
      <c r="H131" s="96"/>
      <c r="I131" s="96"/>
      <c r="J131" s="96"/>
      <c r="K131" s="96"/>
      <c r="L131" s="96"/>
      <c r="M131" s="96"/>
      <c r="N131" s="96"/>
      <c r="O131" s="96"/>
      <c r="P131" s="643"/>
      <c r="Q131" s="644"/>
      <c r="R131" s="642"/>
      <c r="X131" s="96"/>
      <c r="Y131" s="96"/>
      <c r="Z131" s="1255"/>
      <c r="AA131" s="2512"/>
      <c r="AB131" s="96"/>
      <c r="AC131" s="96"/>
      <c r="AD131" s="96"/>
      <c r="AE131" s="96"/>
      <c r="AF131" s="96"/>
      <c r="AG131" s="96"/>
      <c r="AH131" s="96"/>
      <c r="AI131" s="96"/>
      <c r="AJ131" s="96"/>
      <c r="AK131" s="96"/>
      <c r="AL131" s="96"/>
      <c r="AM131" s="96"/>
      <c r="AN131" s="96"/>
      <c r="AO131" s="96"/>
      <c r="AP131" s="96"/>
      <c r="AQ131" s="96"/>
      <c r="AR131" s="96"/>
    </row>
    <row r="132" spans="1:44" s="272" customFormat="1" ht="12" customHeight="1">
      <c r="A132" s="96"/>
      <c r="B132" s="96"/>
      <c r="C132" s="96"/>
      <c r="D132" s="96"/>
      <c r="E132" s="96"/>
      <c r="F132" s="96"/>
      <c r="G132" s="96"/>
      <c r="H132" s="96"/>
      <c r="I132" s="96"/>
      <c r="J132" s="96"/>
      <c r="K132" s="96"/>
      <c r="L132" s="96"/>
      <c r="M132" s="96"/>
      <c r="N132" s="96"/>
      <c r="O132" s="96"/>
      <c r="P132" s="643"/>
      <c r="Q132" s="644"/>
      <c r="R132" s="642"/>
      <c r="X132" s="96"/>
      <c r="Y132" s="96"/>
      <c r="Z132" s="1255"/>
      <c r="AA132" s="2512"/>
      <c r="AB132" s="96"/>
      <c r="AC132" s="96"/>
      <c r="AD132" s="96"/>
      <c r="AE132" s="96"/>
      <c r="AF132" s="96"/>
      <c r="AG132" s="96"/>
      <c r="AH132" s="96"/>
      <c r="AI132" s="96"/>
      <c r="AJ132" s="96"/>
      <c r="AK132" s="96"/>
      <c r="AL132" s="96"/>
      <c r="AM132" s="96"/>
      <c r="AN132" s="96"/>
      <c r="AO132" s="96"/>
      <c r="AP132" s="96"/>
      <c r="AQ132" s="96"/>
      <c r="AR132" s="96"/>
    </row>
    <row r="133" spans="1:44" s="272" customFormat="1" ht="12" customHeight="1">
      <c r="A133" s="96"/>
      <c r="B133" s="96"/>
      <c r="C133" s="96"/>
      <c r="D133" s="96"/>
      <c r="E133" s="96"/>
      <c r="F133" s="96"/>
      <c r="G133" s="96"/>
      <c r="H133" s="96"/>
      <c r="I133" s="96"/>
      <c r="J133" s="96"/>
      <c r="K133" s="96"/>
      <c r="L133" s="96"/>
      <c r="M133" s="96"/>
      <c r="N133" s="96"/>
      <c r="O133" s="96"/>
      <c r="P133" s="643"/>
      <c r="Q133" s="644"/>
      <c r="R133" s="642"/>
      <c r="X133" s="96"/>
      <c r="Y133" s="96"/>
      <c r="Z133" s="1255"/>
      <c r="AA133" s="2512"/>
      <c r="AB133" s="96"/>
      <c r="AC133" s="96"/>
      <c r="AD133" s="96"/>
      <c r="AE133" s="96"/>
      <c r="AF133" s="96"/>
      <c r="AG133" s="96"/>
      <c r="AH133" s="96"/>
      <c r="AI133" s="96"/>
      <c r="AJ133" s="96"/>
      <c r="AK133" s="96"/>
      <c r="AL133" s="96"/>
      <c r="AM133" s="96"/>
      <c r="AN133" s="96"/>
      <c r="AO133" s="96"/>
      <c r="AP133" s="96"/>
      <c r="AQ133" s="96"/>
      <c r="AR133" s="96"/>
    </row>
    <row r="134" spans="1:44" s="272" customFormat="1" ht="12" customHeight="1">
      <c r="A134" s="96"/>
      <c r="B134" s="96"/>
      <c r="C134" s="96"/>
      <c r="D134" s="96"/>
      <c r="E134" s="96"/>
      <c r="F134" s="96"/>
      <c r="G134" s="96"/>
      <c r="H134" s="96"/>
      <c r="I134" s="96"/>
      <c r="J134" s="96"/>
      <c r="K134" s="96"/>
      <c r="L134" s="96"/>
      <c r="M134" s="96"/>
      <c r="N134" s="96"/>
      <c r="O134" s="96"/>
      <c r="P134" s="643"/>
      <c r="Q134" s="644"/>
      <c r="R134" s="642"/>
      <c r="X134" s="96"/>
      <c r="Y134" s="96"/>
      <c r="Z134" s="1255"/>
      <c r="AA134" s="2512"/>
      <c r="AB134" s="96"/>
      <c r="AC134" s="96"/>
      <c r="AD134" s="96"/>
      <c r="AE134" s="96"/>
      <c r="AF134" s="96"/>
      <c r="AG134" s="96"/>
      <c r="AH134" s="96"/>
      <c r="AI134" s="96"/>
      <c r="AJ134" s="96"/>
      <c r="AK134" s="96"/>
      <c r="AL134" s="96"/>
      <c r="AM134" s="96"/>
      <c r="AN134" s="96"/>
      <c r="AO134" s="96"/>
      <c r="AP134" s="96"/>
      <c r="AQ134" s="96"/>
      <c r="AR134" s="96"/>
    </row>
    <row r="135" spans="1:44" s="272" customFormat="1" ht="12" customHeight="1">
      <c r="A135" s="96"/>
      <c r="B135" s="96"/>
      <c r="C135" s="96"/>
      <c r="D135" s="96"/>
      <c r="E135" s="96"/>
      <c r="F135" s="96"/>
      <c r="G135" s="96"/>
      <c r="H135" s="96"/>
      <c r="I135" s="96"/>
      <c r="J135" s="96"/>
      <c r="K135" s="96"/>
      <c r="L135" s="96"/>
      <c r="M135" s="96"/>
      <c r="N135" s="96"/>
      <c r="O135" s="96"/>
      <c r="P135" s="643"/>
      <c r="Q135" s="644"/>
      <c r="R135" s="642"/>
      <c r="X135" s="96"/>
      <c r="Y135" s="96"/>
      <c r="Z135" s="1255"/>
      <c r="AA135" s="2512"/>
      <c r="AB135" s="96"/>
      <c r="AC135" s="96"/>
      <c r="AD135" s="96"/>
      <c r="AE135" s="96"/>
      <c r="AF135" s="96"/>
      <c r="AG135" s="96"/>
      <c r="AH135" s="96"/>
      <c r="AI135" s="96"/>
      <c r="AJ135" s="96"/>
      <c r="AK135" s="96"/>
      <c r="AL135" s="96"/>
      <c r="AM135" s="96"/>
      <c r="AN135" s="96"/>
      <c r="AO135" s="96"/>
      <c r="AP135" s="96"/>
      <c r="AQ135" s="96"/>
      <c r="AR135" s="96"/>
    </row>
    <row r="136" spans="1:44" s="272" customFormat="1" ht="12" customHeight="1">
      <c r="A136" s="96"/>
      <c r="B136" s="96"/>
      <c r="C136" s="96"/>
      <c r="D136" s="96"/>
      <c r="E136" s="96"/>
      <c r="F136" s="96"/>
      <c r="G136" s="96"/>
      <c r="H136" s="96"/>
      <c r="I136" s="96"/>
      <c r="J136" s="96"/>
      <c r="K136" s="96"/>
      <c r="L136" s="96"/>
      <c r="M136" s="96"/>
      <c r="N136" s="96"/>
      <c r="O136" s="96"/>
      <c r="P136" s="643"/>
      <c r="Q136" s="644"/>
      <c r="R136" s="642"/>
      <c r="X136" s="96"/>
      <c r="Y136" s="96"/>
      <c r="Z136" s="1255"/>
      <c r="AA136" s="2512"/>
      <c r="AB136" s="96"/>
      <c r="AC136" s="96"/>
      <c r="AD136" s="96"/>
      <c r="AE136" s="96"/>
      <c r="AF136" s="96"/>
      <c r="AG136" s="96"/>
      <c r="AH136" s="96"/>
      <c r="AI136" s="96"/>
      <c r="AJ136" s="96"/>
      <c r="AK136" s="96"/>
      <c r="AL136" s="96"/>
      <c r="AM136" s="96"/>
      <c r="AN136" s="96"/>
      <c r="AO136" s="96"/>
      <c r="AP136" s="96"/>
      <c r="AQ136" s="96"/>
      <c r="AR136" s="96"/>
    </row>
    <row r="137" spans="1:44" s="272" customFormat="1" ht="12" customHeight="1">
      <c r="A137" s="96"/>
      <c r="B137" s="96"/>
      <c r="C137" s="96"/>
      <c r="D137" s="96"/>
      <c r="E137" s="96"/>
      <c r="F137" s="96"/>
      <c r="G137" s="96"/>
      <c r="H137" s="96"/>
      <c r="I137" s="96"/>
      <c r="J137" s="96"/>
      <c r="K137" s="96"/>
      <c r="L137" s="96"/>
      <c r="M137" s="96"/>
      <c r="N137" s="96"/>
      <c r="O137" s="96"/>
      <c r="P137" s="643"/>
      <c r="Q137" s="644"/>
      <c r="R137" s="642"/>
      <c r="X137" s="96"/>
      <c r="Y137" s="96"/>
      <c r="Z137" s="1255"/>
      <c r="AA137" s="2512"/>
      <c r="AB137" s="96"/>
      <c r="AC137" s="96"/>
      <c r="AD137" s="96"/>
      <c r="AE137" s="96"/>
      <c r="AF137" s="96"/>
      <c r="AG137" s="96"/>
      <c r="AH137" s="96"/>
      <c r="AI137" s="96"/>
      <c r="AJ137" s="96"/>
      <c r="AK137" s="96"/>
      <c r="AL137" s="96"/>
      <c r="AM137" s="96"/>
      <c r="AN137" s="96"/>
      <c r="AO137" s="96"/>
      <c r="AP137" s="96"/>
      <c r="AQ137" s="96"/>
      <c r="AR137" s="96"/>
    </row>
    <row r="138" spans="1:44" s="272" customFormat="1" ht="12" customHeight="1">
      <c r="A138" s="96"/>
      <c r="B138" s="96"/>
      <c r="C138" s="96"/>
      <c r="D138" s="96"/>
      <c r="E138" s="96"/>
      <c r="F138" s="96"/>
      <c r="G138" s="96"/>
      <c r="H138" s="96"/>
      <c r="I138" s="96"/>
      <c r="J138" s="96"/>
      <c r="K138" s="96"/>
      <c r="L138" s="96"/>
      <c r="M138" s="96"/>
      <c r="N138" s="96"/>
      <c r="O138" s="96"/>
      <c r="P138" s="643"/>
      <c r="Q138" s="644"/>
      <c r="R138" s="642"/>
      <c r="X138" s="96"/>
      <c r="Y138" s="96"/>
      <c r="Z138" s="1255"/>
      <c r="AA138" s="2512"/>
      <c r="AB138" s="96"/>
      <c r="AC138" s="96"/>
      <c r="AD138" s="96"/>
      <c r="AE138" s="96"/>
      <c r="AF138" s="96"/>
      <c r="AG138" s="96"/>
      <c r="AH138" s="96"/>
      <c r="AI138" s="96"/>
      <c r="AJ138" s="96"/>
      <c r="AK138" s="96"/>
      <c r="AL138" s="96"/>
      <c r="AM138" s="96"/>
      <c r="AN138" s="96"/>
      <c r="AO138" s="96"/>
      <c r="AP138" s="96"/>
      <c r="AQ138" s="96"/>
      <c r="AR138" s="96"/>
    </row>
    <row r="139" spans="1:44" s="272" customFormat="1" ht="12" customHeight="1">
      <c r="A139" s="96"/>
      <c r="B139" s="96"/>
      <c r="C139" s="96"/>
      <c r="D139" s="96"/>
      <c r="E139" s="96"/>
      <c r="F139" s="96"/>
      <c r="G139" s="96"/>
      <c r="H139" s="96"/>
      <c r="I139" s="96"/>
      <c r="J139" s="96"/>
      <c r="K139" s="96"/>
      <c r="L139" s="96"/>
      <c r="M139" s="96"/>
      <c r="N139" s="96"/>
      <c r="O139" s="96"/>
      <c r="P139" s="643"/>
      <c r="Q139" s="644"/>
      <c r="R139" s="642"/>
      <c r="X139" s="96"/>
      <c r="Y139" s="96"/>
      <c r="Z139" s="1255"/>
      <c r="AA139" s="2512"/>
      <c r="AB139" s="96"/>
      <c r="AC139" s="96"/>
      <c r="AD139" s="96"/>
      <c r="AE139" s="96"/>
      <c r="AF139" s="96"/>
      <c r="AG139" s="96"/>
      <c r="AH139" s="96"/>
      <c r="AI139" s="96"/>
      <c r="AJ139" s="96"/>
      <c r="AK139" s="96"/>
      <c r="AL139" s="96"/>
      <c r="AM139" s="96"/>
      <c r="AN139" s="96"/>
      <c r="AO139" s="96"/>
      <c r="AP139" s="96"/>
      <c r="AQ139" s="96"/>
      <c r="AR139" s="96"/>
    </row>
    <row r="140" spans="1:44" s="272" customFormat="1" ht="12" customHeight="1">
      <c r="A140" s="96"/>
      <c r="B140" s="96"/>
      <c r="C140" s="96"/>
      <c r="D140" s="96"/>
      <c r="E140" s="96"/>
      <c r="F140" s="96"/>
      <c r="G140" s="96"/>
      <c r="H140" s="96"/>
      <c r="I140" s="96"/>
      <c r="J140" s="96"/>
      <c r="K140" s="96"/>
      <c r="L140" s="96"/>
      <c r="M140" s="96"/>
      <c r="N140" s="96"/>
      <c r="O140" s="96"/>
      <c r="P140" s="643"/>
      <c r="Q140" s="644"/>
      <c r="R140" s="642"/>
      <c r="X140" s="96"/>
      <c r="Y140" s="96"/>
      <c r="Z140" s="1255"/>
      <c r="AA140" s="2512"/>
      <c r="AB140" s="96"/>
      <c r="AC140" s="96"/>
      <c r="AD140" s="96"/>
      <c r="AE140" s="96"/>
      <c r="AF140" s="96"/>
      <c r="AG140" s="96"/>
      <c r="AH140" s="96"/>
      <c r="AI140" s="96"/>
      <c r="AJ140" s="96"/>
      <c r="AK140" s="96"/>
      <c r="AL140" s="96"/>
      <c r="AM140" s="96"/>
      <c r="AN140" s="96"/>
      <c r="AO140" s="96"/>
      <c r="AP140" s="96"/>
      <c r="AQ140" s="96"/>
      <c r="AR140" s="96"/>
    </row>
    <row r="141" spans="1:44" s="272" customFormat="1" ht="12" customHeight="1">
      <c r="A141" s="96"/>
      <c r="B141" s="96"/>
      <c r="C141" s="96"/>
      <c r="D141" s="96"/>
      <c r="E141" s="96"/>
      <c r="F141" s="96"/>
      <c r="G141" s="96"/>
      <c r="H141" s="96"/>
      <c r="I141" s="96"/>
      <c r="J141" s="96"/>
      <c r="K141" s="96"/>
      <c r="L141" s="96"/>
      <c r="M141" s="96"/>
      <c r="N141" s="96"/>
      <c r="O141" s="96"/>
      <c r="P141" s="643"/>
      <c r="Q141" s="644"/>
      <c r="R141" s="642"/>
      <c r="X141" s="96"/>
      <c r="Y141" s="96"/>
      <c r="Z141" s="1255"/>
      <c r="AA141" s="2512"/>
      <c r="AB141" s="96"/>
      <c r="AC141" s="96"/>
      <c r="AD141" s="96"/>
      <c r="AE141" s="96"/>
      <c r="AF141" s="96"/>
      <c r="AG141" s="96"/>
      <c r="AH141" s="96"/>
      <c r="AI141" s="96"/>
      <c r="AJ141" s="96"/>
      <c r="AK141" s="96"/>
      <c r="AL141" s="96"/>
      <c r="AM141" s="96"/>
      <c r="AN141" s="96"/>
      <c r="AO141" s="96"/>
      <c r="AP141" s="96"/>
      <c r="AQ141" s="96"/>
      <c r="AR141" s="96"/>
    </row>
    <row r="142" spans="1:44" s="272" customFormat="1" ht="12" customHeight="1">
      <c r="A142" s="96"/>
      <c r="B142" s="96"/>
      <c r="C142" s="96"/>
      <c r="D142" s="96"/>
      <c r="E142" s="96"/>
      <c r="F142" s="96"/>
      <c r="G142" s="96"/>
      <c r="H142" s="96"/>
      <c r="I142" s="96"/>
      <c r="J142" s="96"/>
      <c r="K142" s="96"/>
      <c r="L142" s="96"/>
      <c r="M142" s="96"/>
      <c r="N142" s="96"/>
      <c r="O142" s="96"/>
      <c r="P142" s="643"/>
      <c r="Q142" s="644"/>
      <c r="R142" s="642"/>
      <c r="X142" s="96"/>
      <c r="Y142" s="96"/>
      <c r="Z142" s="1255"/>
      <c r="AA142" s="2512"/>
      <c r="AB142" s="96"/>
      <c r="AC142" s="96"/>
      <c r="AD142" s="96"/>
      <c r="AE142" s="96"/>
      <c r="AF142" s="96"/>
      <c r="AG142" s="96"/>
      <c r="AH142" s="96"/>
      <c r="AI142" s="96"/>
      <c r="AJ142" s="96"/>
      <c r="AK142" s="96"/>
      <c r="AL142" s="96"/>
      <c r="AM142" s="96"/>
      <c r="AN142" s="96"/>
      <c r="AO142" s="96"/>
      <c r="AP142" s="96"/>
      <c r="AQ142" s="96"/>
      <c r="AR142" s="96"/>
    </row>
    <row r="143" spans="1:44" s="272" customFormat="1" ht="12" customHeight="1">
      <c r="A143" s="96"/>
      <c r="B143" s="96"/>
      <c r="C143" s="96"/>
      <c r="D143" s="96"/>
      <c r="E143" s="96"/>
      <c r="F143" s="96"/>
      <c r="G143" s="96"/>
      <c r="H143" s="96"/>
      <c r="I143" s="96"/>
      <c r="J143" s="96"/>
      <c r="K143" s="96"/>
      <c r="L143" s="96"/>
      <c r="M143" s="96"/>
      <c r="N143" s="96"/>
      <c r="O143" s="96"/>
      <c r="P143" s="643"/>
      <c r="Q143" s="644"/>
      <c r="R143" s="642"/>
      <c r="X143" s="96"/>
      <c r="Y143" s="96"/>
      <c r="Z143" s="1255"/>
      <c r="AA143" s="2512"/>
      <c r="AB143" s="96"/>
      <c r="AC143" s="96"/>
      <c r="AD143" s="96"/>
      <c r="AE143" s="96"/>
      <c r="AF143" s="96"/>
      <c r="AG143" s="96"/>
      <c r="AH143" s="96"/>
      <c r="AI143" s="96"/>
      <c r="AJ143" s="96"/>
      <c r="AK143" s="96"/>
      <c r="AL143" s="96"/>
      <c r="AM143" s="96"/>
      <c r="AN143" s="96"/>
      <c r="AO143" s="96"/>
      <c r="AP143" s="96"/>
      <c r="AQ143" s="96"/>
      <c r="AR143" s="96"/>
    </row>
    <row r="144" spans="1:44" s="272" customFormat="1" ht="12" customHeight="1">
      <c r="A144" s="96"/>
      <c r="B144" s="96"/>
      <c r="C144" s="96"/>
      <c r="D144" s="96"/>
      <c r="E144" s="96"/>
      <c r="F144" s="96"/>
      <c r="G144" s="96"/>
      <c r="H144" s="96"/>
      <c r="I144" s="96"/>
      <c r="J144" s="96"/>
      <c r="K144" s="96"/>
      <c r="L144" s="96"/>
      <c r="M144" s="96"/>
      <c r="N144" s="96"/>
      <c r="O144" s="96"/>
      <c r="P144" s="643"/>
      <c r="Q144" s="644"/>
      <c r="R144" s="642"/>
      <c r="X144" s="96"/>
      <c r="Y144" s="96"/>
      <c r="Z144" s="1255"/>
      <c r="AA144" s="2512"/>
      <c r="AB144" s="96"/>
      <c r="AC144" s="96"/>
      <c r="AD144" s="96"/>
      <c r="AE144" s="96"/>
      <c r="AF144" s="96"/>
      <c r="AG144" s="96"/>
      <c r="AH144" s="96"/>
      <c r="AI144" s="96"/>
      <c r="AJ144" s="96"/>
      <c r="AK144" s="96"/>
      <c r="AL144" s="96"/>
      <c r="AM144" s="96"/>
      <c r="AN144" s="96"/>
      <c r="AO144" s="96"/>
      <c r="AP144" s="96"/>
      <c r="AQ144" s="96"/>
      <c r="AR144" s="96"/>
    </row>
    <row r="145" spans="1:44" s="272" customFormat="1" ht="12" customHeight="1">
      <c r="A145" s="96"/>
      <c r="B145" s="96"/>
      <c r="C145" s="96"/>
      <c r="D145" s="96"/>
      <c r="E145" s="96"/>
      <c r="F145" s="96"/>
      <c r="G145" s="96"/>
      <c r="H145" s="96"/>
      <c r="I145" s="96"/>
      <c r="J145" s="96"/>
      <c r="K145" s="96"/>
      <c r="L145" s="96"/>
      <c r="M145" s="96"/>
      <c r="N145" s="96"/>
      <c r="O145" s="96"/>
      <c r="P145" s="643"/>
      <c r="Q145" s="644"/>
      <c r="R145" s="642"/>
      <c r="X145" s="96"/>
      <c r="Y145" s="96"/>
      <c r="Z145" s="1255"/>
      <c r="AA145" s="2512"/>
      <c r="AB145" s="96"/>
      <c r="AC145" s="96"/>
      <c r="AD145" s="96"/>
      <c r="AE145" s="96"/>
      <c r="AF145" s="96"/>
      <c r="AG145" s="96"/>
      <c r="AH145" s="96"/>
      <c r="AI145" s="96"/>
      <c r="AJ145" s="96"/>
      <c r="AK145" s="96"/>
      <c r="AL145" s="96"/>
      <c r="AM145" s="96"/>
      <c r="AN145" s="96"/>
      <c r="AO145" s="96"/>
      <c r="AP145" s="96"/>
      <c r="AQ145" s="96"/>
      <c r="AR145" s="96"/>
    </row>
    <row r="146" spans="1:44" s="272" customFormat="1" ht="12" customHeight="1">
      <c r="A146" s="96"/>
      <c r="B146" s="96"/>
      <c r="C146" s="96"/>
      <c r="D146" s="96"/>
      <c r="E146" s="96"/>
      <c r="F146" s="96"/>
      <c r="G146" s="96"/>
      <c r="H146" s="96"/>
      <c r="I146" s="96"/>
      <c r="J146" s="96"/>
      <c r="K146" s="96"/>
      <c r="L146" s="96"/>
      <c r="M146" s="96"/>
      <c r="N146" s="96"/>
      <c r="O146" s="96"/>
      <c r="P146" s="643"/>
      <c r="Q146" s="644"/>
      <c r="R146" s="642"/>
      <c r="X146" s="96"/>
      <c r="Y146" s="96"/>
      <c r="Z146" s="1255"/>
      <c r="AA146" s="2512"/>
      <c r="AB146" s="96"/>
      <c r="AC146" s="96"/>
      <c r="AD146" s="96"/>
      <c r="AE146" s="96"/>
      <c r="AF146" s="96"/>
      <c r="AG146" s="96"/>
      <c r="AH146" s="96"/>
      <c r="AI146" s="96"/>
      <c r="AJ146" s="96"/>
      <c r="AK146" s="96"/>
      <c r="AL146" s="96"/>
      <c r="AM146" s="96"/>
      <c r="AN146" s="96"/>
      <c r="AO146" s="96"/>
      <c r="AP146" s="96"/>
      <c r="AQ146" s="96"/>
      <c r="AR146" s="96"/>
    </row>
    <row r="147" spans="1:44" s="272" customFormat="1" ht="12" customHeight="1">
      <c r="A147" s="96"/>
      <c r="B147" s="96"/>
      <c r="C147" s="96"/>
      <c r="D147" s="96"/>
      <c r="E147" s="96"/>
      <c r="F147" s="96"/>
      <c r="G147" s="96"/>
      <c r="H147" s="96"/>
      <c r="I147" s="96"/>
      <c r="J147" s="96"/>
      <c r="K147" s="96"/>
      <c r="L147" s="96"/>
      <c r="M147" s="96"/>
      <c r="N147" s="96"/>
      <c r="O147" s="96"/>
      <c r="P147" s="643"/>
      <c r="Q147" s="644"/>
      <c r="R147" s="642"/>
      <c r="X147" s="96"/>
      <c r="Y147" s="96"/>
      <c r="Z147" s="1255"/>
      <c r="AA147" s="2512"/>
      <c r="AB147" s="96"/>
      <c r="AC147" s="96"/>
      <c r="AD147" s="96"/>
      <c r="AE147" s="96"/>
      <c r="AF147" s="96"/>
      <c r="AG147" s="96"/>
      <c r="AH147" s="96"/>
      <c r="AI147" s="96"/>
      <c r="AJ147" s="96"/>
      <c r="AK147" s="96"/>
      <c r="AL147" s="96"/>
      <c r="AM147" s="96"/>
      <c r="AN147" s="96"/>
      <c r="AO147" s="96"/>
      <c r="AP147" s="96"/>
      <c r="AQ147" s="96"/>
      <c r="AR147" s="96"/>
    </row>
    <row r="148" spans="1:44" s="272" customFormat="1" ht="12" customHeight="1">
      <c r="A148" s="96"/>
      <c r="B148" s="96"/>
      <c r="C148" s="96"/>
      <c r="D148" s="96"/>
      <c r="E148" s="96"/>
      <c r="F148" s="96"/>
      <c r="G148" s="96"/>
      <c r="H148" s="96"/>
      <c r="I148" s="96"/>
      <c r="J148" s="96"/>
      <c r="K148" s="96"/>
      <c r="L148" s="96"/>
      <c r="M148" s="96"/>
      <c r="N148" s="96"/>
      <c r="O148" s="96"/>
      <c r="P148" s="643"/>
      <c r="Q148" s="644"/>
      <c r="R148" s="642"/>
      <c r="X148" s="96"/>
      <c r="Y148" s="96"/>
      <c r="Z148" s="1255"/>
      <c r="AA148" s="2512"/>
      <c r="AB148" s="96"/>
      <c r="AC148" s="96"/>
      <c r="AD148" s="96"/>
      <c r="AE148" s="96"/>
      <c r="AF148" s="96"/>
      <c r="AG148" s="96"/>
      <c r="AH148" s="96"/>
      <c r="AI148" s="96"/>
      <c r="AJ148" s="96"/>
      <c r="AK148" s="96"/>
      <c r="AL148" s="96"/>
      <c r="AM148" s="96"/>
      <c r="AN148" s="96"/>
      <c r="AO148" s="96"/>
      <c r="AP148" s="96"/>
      <c r="AQ148" s="96"/>
      <c r="AR148" s="96"/>
    </row>
    <row r="149" spans="1:44" s="272" customFormat="1" ht="12" customHeight="1">
      <c r="A149" s="96"/>
      <c r="B149" s="96"/>
      <c r="C149" s="96"/>
      <c r="D149" s="96"/>
      <c r="E149" s="96"/>
      <c r="F149" s="96"/>
      <c r="G149" s="96"/>
      <c r="H149" s="96"/>
      <c r="I149" s="96"/>
      <c r="J149" s="96"/>
      <c r="K149" s="96"/>
      <c r="L149" s="96"/>
      <c r="M149" s="96"/>
      <c r="N149" s="96"/>
      <c r="O149" s="96"/>
      <c r="P149" s="643"/>
      <c r="Q149" s="644"/>
      <c r="R149" s="642"/>
      <c r="X149" s="96"/>
      <c r="Y149" s="96"/>
      <c r="Z149" s="1255"/>
      <c r="AA149" s="2512"/>
      <c r="AB149" s="96"/>
      <c r="AC149" s="96"/>
      <c r="AD149" s="96"/>
      <c r="AE149" s="96"/>
      <c r="AF149" s="96"/>
      <c r="AG149" s="96"/>
      <c r="AH149" s="96"/>
      <c r="AI149" s="96"/>
      <c r="AJ149" s="96"/>
      <c r="AK149" s="96"/>
      <c r="AL149" s="96"/>
      <c r="AM149" s="96"/>
      <c r="AN149" s="96"/>
      <c r="AO149" s="96"/>
      <c r="AP149" s="96"/>
      <c r="AQ149" s="96"/>
      <c r="AR149" s="96"/>
    </row>
    <row r="150" spans="1:44" s="272" customFormat="1" ht="12" customHeight="1">
      <c r="A150" s="96"/>
      <c r="B150" s="96"/>
      <c r="C150" s="96"/>
      <c r="D150" s="96"/>
      <c r="E150" s="96"/>
      <c r="F150" s="96"/>
      <c r="G150" s="96"/>
      <c r="H150" s="96"/>
      <c r="I150" s="96"/>
      <c r="J150" s="96"/>
      <c r="K150" s="96"/>
      <c r="L150" s="96"/>
      <c r="M150" s="96"/>
      <c r="N150" s="96"/>
      <c r="O150" s="96"/>
      <c r="P150" s="643"/>
      <c r="Q150" s="644"/>
      <c r="R150" s="642"/>
      <c r="X150" s="96"/>
      <c r="Y150" s="96"/>
      <c r="Z150" s="1255"/>
      <c r="AA150" s="2512"/>
      <c r="AB150" s="96"/>
      <c r="AC150" s="96"/>
      <c r="AD150" s="96"/>
      <c r="AE150" s="96"/>
      <c r="AF150" s="96"/>
      <c r="AG150" s="96"/>
      <c r="AH150" s="96"/>
      <c r="AI150" s="96"/>
      <c r="AJ150" s="96"/>
      <c r="AK150" s="96"/>
      <c r="AL150" s="96"/>
      <c r="AM150" s="96"/>
      <c r="AN150" s="96"/>
      <c r="AO150" s="96"/>
      <c r="AP150" s="96"/>
      <c r="AQ150" s="96"/>
      <c r="AR150" s="96"/>
    </row>
    <row r="151" spans="1:44" s="272" customFormat="1" ht="12" customHeight="1">
      <c r="A151" s="96"/>
      <c r="B151" s="96"/>
      <c r="C151" s="96"/>
      <c r="D151" s="96"/>
      <c r="E151" s="96"/>
      <c r="F151" s="96"/>
      <c r="G151" s="96"/>
      <c r="H151" s="96"/>
      <c r="I151" s="96"/>
      <c r="J151" s="96"/>
      <c r="K151" s="96"/>
      <c r="L151" s="96"/>
      <c r="M151" s="96"/>
      <c r="N151" s="96"/>
      <c r="O151" s="96"/>
      <c r="P151" s="643"/>
      <c r="Q151" s="644"/>
      <c r="R151" s="642"/>
      <c r="X151" s="96"/>
      <c r="Y151" s="96"/>
      <c r="Z151" s="1255"/>
      <c r="AA151" s="2512"/>
      <c r="AB151" s="96"/>
      <c r="AC151" s="96"/>
      <c r="AD151" s="96"/>
      <c r="AE151" s="96"/>
      <c r="AF151" s="96"/>
      <c r="AG151" s="96"/>
      <c r="AH151" s="96"/>
      <c r="AI151" s="96"/>
      <c r="AJ151" s="96"/>
      <c r="AK151" s="96"/>
      <c r="AL151" s="96"/>
      <c r="AM151" s="96"/>
      <c r="AN151" s="96"/>
      <c r="AO151" s="96"/>
      <c r="AP151" s="96"/>
      <c r="AQ151" s="96"/>
      <c r="AR151" s="96"/>
    </row>
    <row r="152" spans="1:44" s="272" customFormat="1" ht="12" customHeight="1">
      <c r="A152" s="96"/>
      <c r="B152" s="96"/>
      <c r="C152" s="96"/>
      <c r="D152" s="96"/>
      <c r="E152" s="96"/>
      <c r="F152" s="96"/>
      <c r="G152" s="96"/>
      <c r="H152" s="96"/>
      <c r="I152" s="96"/>
      <c r="J152" s="96"/>
      <c r="K152" s="96"/>
      <c r="L152" s="96"/>
      <c r="M152" s="96"/>
      <c r="N152" s="96"/>
      <c r="O152" s="96"/>
      <c r="P152" s="643"/>
      <c r="Q152" s="644"/>
      <c r="R152" s="642"/>
      <c r="X152" s="96"/>
      <c r="Y152" s="96"/>
      <c r="Z152" s="1255"/>
      <c r="AA152" s="2512"/>
      <c r="AB152" s="96"/>
      <c r="AC152" s="96"/>
      <c r="AD152" s="96"/>
      <c r="AE152" s="96"/>
      <c r="AF152" s="96"/>
      <c r="AG152" s="96"/>
      <c r="AH152" s="96"/>
      <c r="AI152" s="96"/>
      <c r="AJ152" s="96"/>
      <c r="AK152" s="96"/>
      <c r="AL152" s="96"/>
      <c r="AM152" s="96"/>
      <c r="AN152" s="96"/>
      <c r="AO152" s="96"/>
      <c r="AP152" s="96"/>
      <c r="AQ152" s="96"/>
      <c r="AR152" s="96"/>
    </row>
    <row r="153" spans="1:44" s="272" customFormat="1" ht="12" customHeight="1">
      <c r="A153" s="96"/>
      <c r="B153" s="96"/>
      <c r="C153" s="96"/>
      <c r="D153" s="96"/>
      <c r="E153" s="96"/>
      <c r="F153" s="96"/>
      <c r="G153" s="96"/>
      <c r="H153" s="96"/>
      <c r="I153" s="96"/>
      <c r="J153" s="96"/>
      <c r="K153" s="96"/>
      <c r="L153" s="96"/>
      <c r="M153" s="96"/>
      <c r="N153" s="96"/>
      <c r="O153" s="96"/>
      <c r="P153" s="643"/>
      <c r="Q153" s="644"/>
      <c r="R153" s="642"/>
      <c r="X153" s="96"/>
      <c r="Y153" s="96"/>
      <c r="Z153" s="1255"/>
      <c r="AA153" s="2512"/>
      <c r="AB153" s="96"/>
      <c r="AC153" s="96"/>
      <c r="AD153" s="96"/>
      <c r="AE153" s="96"/>
      <c r="AF153" s="96"/>
      <c r="AG153" s="96"/>
      <c r="AH153" s="96"/>
      <c r="AI153" s="96"/>
      <c r="AJ153" s="96"/>
      <c r="AK153" s="96"/>
      <c r="AL153" s="96"/>
      <c r="AM153" s="96"/>
      <c r="AN153" s="96"/>
      <c r="AO153" s="96"/>
      <c r="AP153" s="96"/>
      <c r="AQ153" s="96"/>
      <c r="AR153" s="96"/>
    </row>
    <row r="154" spans="1:44" s="272" customFormat="1" ht="12" customHeight="1">
      <c r="A154" s="96"/>
      <c r="B154" s="96"/>
      <c r="C154" s="96"/>
      <c r="D154" s="96"/>
      <c r="E154" s="96"/>
      <c r="F154" s="96"/>
      <c r="G154" s="96"/>
      <c r="H154" s="96"/>
      <c r="I154" s="96"/>
      <c r="J154" s="96"/>
      <c r="K154" s="96"/>
      <c r="L154" s="96"/>
      <c r="M154" s="96"/>
      <c r="N154" s="96"/>
      <c r="O154" s="96"/>
      <c r="P154" s="643"/>
      <c r="Q154" s="644"/>
      <c r="R154" s="642"/>
      <c r="X154" s="96"/>
      <c r="Y154" s="96"/>
      <c r="Z154" s="1255"/>
      <c r="AA154" s="2512"/>
      <c r="AB154" s="96"/>
      <c r="AC154" s="96"/>
      <c r="AD154" s="96"/>
      <c r="AE154" s="96"/>
      <c r="AF154" s="96"/>
      <c r="AG154" s="96"/>
      <c r="AH154" s="96"/>
      <c r="AI154" s="96"/>
      <c r="AJ154" s="96"/>
      <c r="AK154" s="96"/>
      <c r="AL154" s="96"/>
      <c r="AM154" s="96"/>
      <c r="AN154" s="96"/>
      <c r="AO154" s="96"/>
      <c r="AP154" s="96"/>
      <c r="AQ154" s="96"/>
      <c r="AR154" s="96"/>
    </row>
    <row r="155" spans="1:44" s="272" customFormat="1" ht="12" customHeight="1">
      <c r="A155" s="96"/>
      <c r="B155" s="96"/>
      <c r="C155" s="96"/>
      <c r="D155" s="96"/>
      <c r="E155" s="96"/>
      <c r="F155" s="96"/>
      <c r="G155" s="96"/>
      <c r="H155" s="96"/>
      <c r="I155" s="96"/>
      <c r="J155" s="96"/>
      <c r="K155" s="96"/>
      <c r="L155" s="96"/>
      <c r="M155" s="96"/>
      <c r="N155" s="96"/>
      <c r="O155" s="96"/>
      <c r="P155" s="645"/>
      <c r="Q155" s="644"/>
      <c r="R155" s="642"/>
      <c r="X155" s="96"/>
      <c r="Y155" s="96"/>
      <c r="Z155" s="1255"/>
      <c r="AA155" s="2512"/>
      <c r="AB155" s="96"/>
      <c r="AC155" s="96"/>
      <c r="AD155" s="96"/>
      <c r="AE155" s="96"/>
      <c r="AF155" s="96"/>
      <c r="AG155" s="96"/>
      <c r="AH155" s="96"/>
      <c r="AI155" s="96"/>
      <c r="AJ155" s="96"/>
      <c r="AK155" s="96"/>
      <c r="AL155" s="96"/>
      <c r="AM155" s="96"/>
      <c r="AN155" s="96"/>
      <c r="AO155" s="96"/>
      <c r="AP155" s="96"/>
      <c r="AQ155" s="96"/>
      <c r="AR155" s="96"/>
    </row>
    <row r="156" spans="1:44" s="272" customFormat="1" ht="12" customHeight="1">
      <c r="A156" s="96"/>
      <c r="B156" s="96"/>
      <c r="C156" s="96"/>
      <c r="D156" s="96"/>
      <c r="E156" s="96"/>
      <c r="F156" s="96"/>
      <c r="G156" s="96"/>
      <c r="H156" s="96"/>
      <c r="I156" s="96"/>
      <c r="J156" s="96"/>
      <c r="K156" s="96"/>
      <c r="L156" s="96"/>
      <c r="M156" s="96"/>
      <c r="N156" s="96"/>
      <c r="O156" s="96"/>
      <c r="P156" s="643"/>
      <c r="Q156" s="644"/>
      <c r="R156" s="642"/>
      <c r="X156" s="96"/>
      <c r="Y156" s="96"/>
      <c r="Z156" s="1255"/>
      <c r="AA156" s="2512"/>
      <c r="AB156" s="96"/>
      <c r="AC156" s="96"/>
      <c r="AD156" s="96"/>
      <c r="AE156" s="96"/>
      <c r="AF156" s="96"/>
      <c r="AG156" s="96"/>
      <c r="AH156" s="96"/>
      <c r="AI156" s="96"/>
      <c r="AJ156" s="96"/>
      <c r="AK156" s="96"/>
      <c r="AL156" s="96"/>
      <c r="AM156" s="96"/>
      <c r="AN156" s="96"/>
      <c r="AO156" s="96"/>
      <c r="AP156" s="96"/>
      <c r="AQ156" s="96"/>
      <c r="AR156" s="96"/>
    </row>
    <row r="157" spans="1:44" s="272" customFormat="1" ht="12" customHeight="1">
      <c r="A157" s="96"/>
      <c r="B157" s="96"/>
      <c r="C157" s="96"/>
      <c r="D157" s="96"/>
      <c r="E157" s="96"/>
      <c r="F157" s="96"/>
      <c r="G157" s="96"/>
      <c r="H157" s="96"/>
      <c r="I157" s="96"/>
      <c r="J157" s="96"/>
      <c r="K157" s="96"/>
      <c r="L157" s="96"/>
      <c r="M157" s="96"/>
      <c r="N157" s="96"/>
      <c r="O157" s="96"/>
      <c r="P157" s="643"/>
      <c r="Q157" s="644"/>
      <c r="R157" s="642"/>
      <c r="X157" s="96"/>
      <c r="Y157" s="96"/>
      <c r="Z157" s="1255"/>
      <c r="AA157" s="2512"/>
      <c r="AB157" s="96"/>
      <c r="AC157" s="96"/>
      <c r="AD157" s="96"/>
      <c r="AE157" s="96"/>
      <c r="AF157" s="96"/>
      <c r="AG157" s="96"/>
      <c r="AH157" s="96"/>
      <c r="AI157" s="96"/>
      <c r="AJ157" s="96"/>
      <c r="AK157" s="96"/>
      <c r="AL157" s="96"/>
      <c r="AM157" s="96"/>
      <c r="AN157" s="96"/>
      <c r="AO157" s="96"/>
      <c r="AP157" s="96"/>
      <c r="AQ157" s="96"/>
      <c r="AR157" s="96"/>
    </row>
    <row r="158" spans="1:44" s="272" customFormat="1" ht="12" customHeight="1">
      <c r="A158" s="96"/>
      <c r="B158" s="96"/>
      <c r="C158" s="96"/>
      <c r="D158" s="96"/>
      <c r="E158" s="96"/>
      <c r="F158" s="96"/>
      <c r="G158" s="96"/>
      <c r="H158" s="96"/>
      <c r="I158" s="96"/>
      <c r="J158" s="96"/>
      <c r="K158" s="96"/>
      <c r="L158" s="96"/>
      <c r="M158" s="96"/>
      <c r="N158" s="96"/>
      <c r="O158" s="96"/>
      <c r="P158" s="643"/>
      <c r="Q158" s="644"/>
      <c r="R158" s="642"/>
      <c r="X158" s="96"/>
      <c r="Y158" s="96"/>
      <c r="Z158" s="1255"/>
      <c r="AA158" s="2512"/>
      <c r="AB158" s="96"/>
      <c r="AC158" s="96"/>
      <c r="AD158" s="96"/>
      <c r="AE158" s="96"/>
      <c r="AF158" s="96"/>
      <c r="AG158" s="96"/>
      <c r="AH158" s="96"/>
      <c r="AI158" s="96"/>
      <c r="AJ158" s="96"/>
      <c r="AK158" s="96"/>
      <c r="AL158" s="96"/>
      <c r="AM158" s="96"/>
      <c r="AN158" s="96"/>
      <c r="AO158" s="96"/>
      <c r="AP158" s="96"/>
      <c r="AQ158" s="96"/>
      <c r="AR158" s="96"/>
    </row>
    <row r="159" spans="1:44" s="272" customFormat="1" ht="12" customHeight="1">
      <c r="A159" s="96"/>
      <c r="B159" s="96"/>
      <c r="C159" s="96"/>
      <c r="D159" s="96"/>
      <c r="E159" s="96"/>
      <c r="F159" s="96"/>
      <c r="G159" s="96"/>
      <c r="H159" s="96"/>
      <c r="I159" s="96"/>
      <c r="J159" s="96"/>
      <c r="K159" s="96"/>
      <c r="L159" s="96"/>
      <c r="M159" s="96"/>
      <c r="N159" s="96"/>
      <c r="O159" s="96"/>
      <c r="P159" s="643"/>
      <c r="Q159" s="644"/>
      <c r="R159" s="642"/>
      <c r="X159" s="96"/>
      <c r="Y159" s="96"/>
      <c r="Z159" s="1255"/>
      <c r="AA159" s="2512"/>
      <c r="AB159" s="96"/>
      <c r="AC159" s="96"/>
      <c r="AD159" s="96"/>
      <c r="AE159" s="96"/>
      <c r="AF159" s="96"/>
      <c r="AG159" s="96"/>
      <c r="AH159" s="96"/>
      <c r="AI159" s="96"/>
      <c r="AJ159" s="96"/>
      <c r="AK159" s="96"/>
      <c r="AL159" s="96"/>
      <c r="AM159" s="96"/>
      <c r="AN159" s="96"/>
      <c r="AO159" s="96"/>
      <c r="AP159" s="96"/>
      <c r="AQ159" s="96"/>
      <c r="AR159" s="96"/>
    </row>
    <row r="160" spans="1:44" s="272" customFormat="1" ht="12" customHeight="1">
      <c r="A160" s="96"/>
      <c r="B160" s="96"/>
      <c r="C160" s="96"/>
      <c r="D160" s="96"/>
      <c r="E160" s="96"/>
      <c r="F160" s="96"/>
      <c r="G160" s="96"/>
      <c r="H160" s="96"/>
      <c r="I160" s="96"/>
      <c r="J160" s="96"/>
      <c r="K160" s="96"/>
      <c r="L160" s="96"/>
      <c r="M160" s="96"/>
      <c r="N160" s="96"/>
      <c r="O160" s="96"/>
      <c r="P160" s="643"/>
      <c r="Q160" s="644"/>
      <c r="R160" s="642"/>
      <c r="X160" s="96"/>
      <c r="Y160" s="96"/>
      <c r="Z160" s="1255"/>
      <c r="AA160" s="2512"/>
      <c r="AB160" s="96"/>
      <c r="AC160" s="96"/>
      <c r="AD160" s="96"/>
      <c r="AE160" s="96"/>
      <c r="AF160" s="96"/>
      <c r="AG160" s="96"/>
      <c r="AH160" s="96"/>
      <c r="AI160" s="96"/>
      <c r="AJ160" s="96"/>
      <c r="AK160" s="96"/>
      <c r="AL160" s="96"/>
      <c r="AM160" s="96"/>
      <c r="AN160" s="96"/>
      <c r="AO160" s="96"/>
      <c r="AP160" s="96"/>
      <c r="AQ160" s="96"/>
      <c r="AR160" s="96"/>
    </row>
    <row r="161" spans="1:44" s="272" customFormat="1" ht="12" customHeight="1">
      <c r="A161" s="96"/>
      <c r="B161" s="96"/>
      <c r="C161" s="96"/>
      <c r="D161" s="96"/>
      <c r="E161" s="96"/>
      <c r="F161" s="96"/>
      <c r="G161" s="96"/>
      <c r="H161" s="96"/>
      <c r="I161" s="96"/>
      <c r="J161" s="96"/>
      <c r="K161" s="96"/>
      <c r="L161" s="96"/>
      <c r="M161" s="96"/>
      <c r="N161" s="96"/>
      <c r="O161" s="96"/>
      <c r="P161" s="643"/>
      <c r="Q161" s="644"/>
      <c r="R161" s="642"/>
      <c r="X161" s="96"/>
      <c r="Y161" s="96"/>
      <c r="Z161" s="1255"/>
      <c r="AA161" s="2512"/>
      <c r="AB161" s="96"/>
      <c r="AC161" s="96"/>
      <c r="AD161" s="96"/>
      <c r="AE161" s="96"/>
      <c r="AF161" s="96"/>
      <c r="AG161" s="96"/>
      <c r="AH161" s="96"/>
      <c r="AI161" s="96"/>
      <c r="AJ161" s="96"/>
      <c r="AK161" s="96"/>
      <c r="AL161" s="96"/>
      <c r="AM161" s="96"/>
      <c r="AN161" s="96"/>
      <c r="AO161" s="96"/>
      <c r="AP161" s="96"/>
      <c r="AQ161" s="96"/>
      <c r="AR161" s="96"/>
    </row>
    <row r="162" spans="1:44" s="272" customFormat="1" ht="12" customHeight="1">
      <c r="A162" s="96"/>
      <c r="B162" s="96"/>
      <c r="C162" s="96"/>
      <c r="D162" s="96"/>
      <c r="E162" s="96"/>
      <c r="F162" s="96"/>
      <c r="G162" s="96"/>
      <c r="H162" s="96"/>
      <c r="I162" s="96"/>
      <c r="J162" s="96"/>
      <c r="K162" s="96"/>
      <c r="L162" s="96"/>
      <c r="M162" s="96"/>
      <c r="N162" s="96"/>
      <c r="O162" s="96"/>
      <c r="P162" s="643"/>
      <c r="Q162" s="644"/>
      <c r="R162" s="642"/>
      <c r="X162" s="96"/>
      <c r="Y162" s="96"/>
      <c r="Z162" s="1255"/>
      <c r="AA162" s="2512"/>
      <c r="AB162" s="96"/>
      <c r="AC162" s="96"/>
      <c r="AD162" s="96"/>
      <c r="AE162" s="96"/>
      <c r="AF162" s="96"/>
      <c r="AG162" s="96"/>
      <c r="AH162" s="96"/>
      <c r="AI162" s="96"/>
      <c r="AJ162" s="96"/>
      <c r="AK162" s="96"/>
      <c r="AL162" s="96"/>
      <c r="AM162" s="96"/>
      <c r="AN162" s="96"/>
      <c r="AO162" s="96"/>
      <c r="AP162" s="96"/>
      <c r="AQ162" s="96"/>
      <c r="AR162" s="96"/>
    </row>
    <row r="163" spans="1:44" s="272" customFormat="1" ht="12" customHeight="1">
      <c r="A163" s="96"/>
      <c r="B163" s="96"/>
      <c r="C163" s="96"/>
      <c r="D163" s="96"/>
      <c r="E163" s="96"/>
      <c r="F163" s="96"/>
      <c r="G163" s="96"/>
      <c r="H163" s="96"/>
      <c r="I163" s="96"/>
      <c r="J163" s="96"/>
      <c r="K163" s="96"/>
      <c r="L163" s="96"/>
      <c r="M163" s="96"/>
      <c r="N163" s="96"/>
      <c r="O163" s="96"/>
      <c r="P163" s="643"/>
      <c r="Q163" s="644"/>
      <c r="R163" s="642"/>
      <c r="X163" s="96"/>
      <c r="Y163" s="96"/>
      <c r="Z163" s="1255"/>
      <c r="AA163" s="2512"/>
      <c r="AB163" s="96"/>
      <c r="AC163" s="96"/>
      <c r="AD163" s="96"/>
      <c r="AE163" s="96"/>
      <c r="AF163" s="96"/>
      <c r="AG163" s="96"/>
      <c r="AH163" s="96"/>
      <c r="AI163" s="96"/>
      <c r="AJ163" s="96"/>
      <c r="AK163" s="96"/>
      <c r="AL163" s="96"/>
      <c r="AM163" s="96"/>
      <c r="AN163" s="96"/>
      <c r="AO163" s="96"/>
      <c r="AP163" s="96"/>
      <c r="AQ163" s="96"/>
      <c r="AR163" s="96"/>
    </row>
    <row r="164" spans="1:44" s="272" customFormat="1" ht="12" customHeight="1">
      <c r="A164" s="96"/>
      <c r="B164" s="96"/>
      <c r="C164" s="96"/>
      <c r="D164" s="96"/>
      <c r="E164" s="96"/>
      <c r="F164" s="96"/>
      <c r="G164" s="96"/>
      <c r="H164" s="96"/>
      <c r="I164" s="96"/>
      <c r="J164" s="96"/>
      <c r="K164" s="96"/>
      <c r="L164" s="96"/>
      <c r="M164" s="96"/>
      <c r="N164" s="96"/>
      <c r="O164" s="96"/>
      <c r="P164" s="643"/>
      <c r="Q164" s="644"/>
      <c r="R164" s="642"/>
      <c r="X164" s="96"/>
      <c r="Y164" s="96"/>
      <c r="Z164" s="1255"/>
      <c r="AA164" s="2512"/>
      <c r="AB164" s="96"/>
      <c r="AC164" s="96"/>
      <c r="AD164" s="96"/>
      <c r="AE164" s="96"/>
      <c r="AF164" s="96"/>
      <c r="AG164" s="96"/>
      <c r="AH164" s="96"/>
      <c r="AI164" s="96"/>
      <c r="AJ164" s="96"/>
      <c r="AK164" s="96"/>
      <c r="AL164" s="96"/>
      <c r="AM164" s="96"/>
      <c r="AN164" s="96"/>
      <c r="AO164" s="96"/>
      <c r="AP164" s="96"/>
      <c r="AQ164" s="96"/>
      <c r="AR164" s="96"/>
    </row>
    <row r="165" spans="1:44" s="272" customFormat="1" ht="12" customHeight="1">
      <c r="A165" s="96"/>
      <c r="B165" s="96"/>
      <c r="C165" s="96"/>
      <c r="D165" s="96"/>
      <c r="E165" s="96"/>
      <c r="F165" s="96"/>
      <c r="G165" s="96"/>
      <c r="H165" s="96"/>
      <c r="I165" s="96"/>
      <c r="J165" s="96"/>
      <c r="K165" s="96"/>
      <c r="L165" s="96"/>
      <c r="M165" s="96"/>
      <c r="N165" s="96"/>
      <c r="O165" s="96"/>
      <c r="P165" s="643"/>
      <c r="Q165" s="644"/>
      <c r="R165" s="642"/>
      <c r="X165" s="96"/>
      <c r="Y165" s="96"/>
      <c r="Z165" s="1255"/>
      <c r="AA165" s="2512"/>
      <c r="AB165" s="96"/>
      <c r="AC165" s="96"/>
      <c r="AD165" s="96"/>
      <c r="AE165" s="96"/>
      <c r="AF165" s="96"/>
      <c r="AG165" s="96"/>
      <c r="AH165" s="96"/>
      <c r="AI165" s="96"/>
      <c r="AJ165" s="96"/>
      <c r="AK165" s="96"/>
      <c r="AL165" s="96"/>
      <c r="AM165" s="96"/>
      <c r="AN165" s="96"/>
      <c r="AO165" s="96"/>
      <c r="AP165" s="96"/>
      <c r="AQ165" s="96"/>
      <c r="AR165" s="96"/>
    </row>
    <row r="166" spans="1:44" s="272" customFormat="1" ht="12" customHeight="1">
      <c r="A166" s="96"/>
      <c r="B166" s="96"/>
      <c r="C166" s="96"/>
      <c r="D166" s="96"/>
      <c r="E166" s="96"/>
      <c r="F166" s="96"/>
      <c r="G166" s="96"/>
      <c r="H166" s="96"/>
      <c r="I166" s="96"/>
      <c r="J166" s="96"/>
      <c r="K166" s="96"/>
      <c r="L166" s="96"/>
      <c r="M166" s="96"/>
      <c r="N166" s="96"/>
      <c r="O166" s="96"/>
      <c r="P166" s="643"/>
      <c r="Q166" s="642"/>
      <c r="R166" s="642"/>
      <c r="X166" s="96"/>
      <c r="Y166" s="96"/>
      <c r="Z166" s="1255"/>
      <c r="AA166" s="2512"/>
      <c r="AB166" s="96"/>
      <c r="AC166" s="96"/>
      <c r="AD166" s="96"/>
      <c r="AE166" s="96"/>
      <c r="AF166" s="96"/>
      <c r="AG166" s="96"/>
      <c r="AH166" s="96"/>
      <c r="AI166" s="96"/>
      <c r="AJ166" s="96"/>
      <c r="AK166" s="96"/>
      <c r="AL166" s="96"/>
      <c r="AM166" s="96"/>
      <c r="AN166" s="96"/>
      <c r="AO166" s="96"/>
      <c r="AP166" s="96"/>
      <c r="AQ166" s="96"/>
      <c r="AR166" s="96"/>
    </row>
    <row r="167" spans="1:44" s="272" customFormat="1" ht="12" customHeight="1">
      <c r="A167" s="96"/>
      <c r="B167" s="96"/>
      <c r="C167" s="96"/>
      <c r="D167" s="96"/>
      <c r="E167" s="96"/>
      <c r="F167" s="96"/>
      <c r="G167" s="96"/>
      <c r="H167" s="96"/>
      <c r="I167" s="96"/>
      <c r="J167" s="96"/>
      <c r="K167" s="96"/>
      <c r="L167" s="96"/>
      <c r="M167" s="96"/>
      <c r="N167" s="96"/>
      <c r="O167" s="96"/>
      <c r="P167" s="643"/>
      <c r="Q167" s="644"/>
      <c r="R167" s="642"/>
      <c r="X167" s="96"/>
      <c r="Y167" s="96"/>
      <c r="Z167" s="1255"/>
      <c r="AA167" s="2512"/>
      <c r="AB167" s="96"/>
      <c r="AC167" s="96"/>
      <c r="AD167" s="96"/>
      <c r="AE167" s="96"/>
      <c r="AF167" s="96"/>
      <c r="AG167" s="96"/>
      <c r="AH167" s="96"/>
      <c r="AI167" s="96"/>
      <c r="AJ167" s="96"/>
      <c r="AK167" s="96"/>
      <c r="AL167" s="96"/>
      <c r="AM167" s="96"/>
      <c r="AN167" s="96"/>
      <c r="AO167" s="96"/>
      <c r="AP167" s="96"/>
      <c r="AQ167" s="96"/>
      <c r="AR167" s="96"/>
    </row>
    <row r="168" spans="1:44" s="272" customFormat="1" ht="12" customHeight="1">
      <c r="A168" s="96"/>
      <c r="B168" s="96"/>
      <c r="C168" s="96"/>
      <c r="D168" s="96"/>
      <c r="E168" s="96"/>
      <c r="F168" s="96"/>
      <c r="G168" s="96"/>
      <c r="H168" s="96"/>
      <c r="I168" s="96"/>
      <c r="J168" s="96"/>
      <c r="K168" s="96"/>
      <c r="L168" s="96"/>
      <c r="M168" s="96"/>
      <c r="N168" s="96"/>
      <c r="O168" s="96"/>
      <c r="P168" s="643"/>
      <c r="Q168" s="644"/>
      <c r="R168" s="642"/>
      <c r="X168" s="96"/>
      <c r="Y168" s="96"/>
      <c r="Z168" s="1255"/>
      <c r="AA168" s="2512"/>
      <c r="AB168" s="96"/>
      <c r="AC168" s="96"/>
      <c r="AD168" s="96"/>
      <c r="AE168" s="96"/>
      <c r="AF168" s="96"/>
      <c r="AG168" s="96"/>
      <c r="AH168" s="96"/>
      <c r="AI168" s="96"/>
      <c r="AJ168" s="96"/>
      <c r="AK168" s="96"/>
      <c r="AL168" s="96"/>
      <c r="AM168" s="96"/>
      <c r="AN168" s="96"/>
      <c r="AO168" s="96"/>
      <c r="AP168" s="96"/>
      <c r="AQ168" s="96"/>
      <c r="AR168" s="96"/>
    </row>
    <row r="169" spans="1:44" s="272" customFormat="1" ht="12" customHeight="1">
      <c r="A169" s="96"/>
      <c r="B169" s="96"/>
      <c r="C169" s="96"/>
      <c r="D169" s="96"/>
      <c r="E169" s="96"/>
      <c r="F169" s="96"/>
      <c r="G169" s="96"/>
      <c r="H169" s="96"/>
      <c r="I169" s="96"/>
      <c r="J169" s="96"/>
      <c r="K169" s="96"/>
      <c r="L169" s="96"/>
      <c r="M169" s="96"/>
      <c r="N169" s="96"/>
      <c r="O169" s="96"/>
      <c r="P169" s="643"/>
      <c r="Q169" s="644"/>
      <c r="R169" s="642"/>
      <c r="X169" s="96"/>
      <c r="Y169" s="96"/>
      <c r="Z169" s="1255"/>
      <c r="AA169" s="2512"/>
      <c r="AB169" s="96"/>
      <c r="AC169" s="96"/>
      <c r="AD169" s="96"/>
      <c r="AE169" s="96"/>
      <c r="AF169" s="96"/>
      <c r="AG169" s="96"/>
      <c r="AH169" s="96"/>
      <c r="AI169" s="96"/>
      <c r="AJ169" s="96"/>
      <c r="AK169" s="96"/>
      <c r="AL169" s="96"/>
      <c r="AM169" s="96"/>
      <c r="AN169" s="96"/>
      <c r="AO169" s="96"/>
      <c r="AP169" s="96"/>
      <c r="AQ169" s="96"/>
      <c r="AR169" s="96"/>
    </row>
    <row r="170" spans="1:44" s="272" customFormat="1" ht="12" customHeight="1">
      <c r="A170" s="96"/>
      <c r="B170" s="96"/>
      <c r="C170" s="96"/>
      <c r="D170" s="96"/>
      <c r="E170" s="96"/>
      <c r="F170" s="96"/>
      <c r="G170" s="96"/>
      <c r="H170" s="96"/>
      <c r="I170" s="96"/>
      <c r="J170" s="96"/>
      <c r="K170" s="96"/>
      <c r="L170" s="96"/>
      <c r="M170" s="96"/>
      <c r="N170" s="96"/>
      <c r="O170" s="96"/>
      <c r="P170" s="645"/>
      <c r="Q170" s="642"/>
      <c r="R170" s="642"/>
      <c r="X170" s="96"/>
      <c r="Y170" s="96"/>
      <c r="Z170" s="1255"/>
      <c r="AA170" s="2512"/>
      <c r="AB170" s="96"/>
      <c r="AC170" s="96"/>
      <c r="AD170" s="96"/>
      <c r="AE170" s="96"/>
      <c r="AF170" s="96"/>
      <c r="AG170" s="96"/>
      <c r="AH170" s="96"/>
      <c r="AI170" s="96"/>
      <c r="AJ170" s="96"/>
      <c r="AK170" s="96"/>
      <c r="AL170" s="96"/>
      <c r="AM170" s="96"/>
      <c r="AN170" s="96"/>
      <c r="AO170" s="96"/>
      <c r="AP170" s="96"/>
      <c r="AQ170" s="96"/>
      <c r="AR170" s="96"/>
    </row>
    <row r="171" spans="1:44" s="272" customFormat="1" ht="12" customHeight="1">
      <c r="A171" s="96"/>
      <c r="B171" s="96"/>
      <c r="C171" s="96"/>
      <c r="D171" s="96"/>
      <c r="E171" s="96"/>
      <c r="F171" s="96"/>
      <c r="G171" s="96"/>
      <c r="H171" s="96"/>
      <c r="I171" s="96"/>
      <c r="J171" s="96"/>
      <c r="K171" s="96"/>
      <c r="L171" s="96"/>
      <c r="M171" s="96"/>
      <c r="N171" s="96"/>
      <c r="O171" s="96"/>
      <c r="P171" s="643"/>
      <c r="Q171" s="644"/>
      <c r="R171" s="642"/>
      <c r="X171" s="96"/>
      <c r="Y171" s="96"/>
      <c r="Z171" s="1255"/>
      <c r="AA171" s="96"/>
      <c r="AB171" s="96"/>
      <c r="AC171" s="96"/>
      <c r="AD171" s="96"/>
      <c r="AE171" s="96"/>
      <c r="AF171" s="96"/>
      <c r="AG171" s="96"/>
      <c r="AH171" s="96"/>
      <c r="AI171" s="96"/>
      <c r="AJ171" s="96"/>
      <c r="AK171" s="96"/>
      <c r="AL171" s="96"/>
      <c r="AM171" s="96"/>
      <c r="AN171" s="96"/>
      <c r="AO171" s="96"/>
      <c r="AP171" s="96"/>
      <c r="AQ171" s="96"/>
      <c r="AR171" s="96"/>
    </row>
    <row r="172" spans="1:44" s="272" customFormat="1" ht="12" customHeight="1">
      <c r="A172" s="96"/>
      <c r="B172" s="96"/>
      <c r="C172" s="96"/>
      <c r="D172" s="96"/>
      <c r="E172" s="96"/>
      <c r="F172" s="96"/>
      <c r="G172" s="96"/>
      <c r="H172" s="96"/>
      <c r="I172" s="96"/>
      <c r="J172" s="96"/>
      <c r="K172" s="96"/>
      <c r="L172" s="96"/>
      <c r="M172" s="96"/>
      <c r="N172" s="96"/>
      <c r="O172" s="96"/>
      <c r="P172" s="643"/>
      <c r="Q172" s="644"/>
      <c r="R172" s="642"/>
      <c r="X172" s="96"/>
      <c r="Y172" s="96"/>
      <c r="Z172" s="1255"/>
      <c r="AA172" s="96"/>
      <c r="AB172" s="96"/>
      <c r="AC172" s="96"/>
      <c r="AD172" s="96"/>
      <c r="AE172" s="96"/>
      <c r="AF172" s="96"/>
      <c r="AG172" s="96"/>
      <c r="AH172" s="96"/>
      <c r="AI172" s="96"/>
      <c r="AJ172" s="96"/>
      <c r="AK172" s="96"/>
      <c r="AL172" s="96"/>
      <c r="AM172" s="96"/>
      <c r="AN172" s="96"/>
      <c r="AO172" s="96"/>
      <c r="AP172" s="96"/>
      <c r="AQ172" s="96"/>
      <c r="AR172" s="96"/>
    </row>
    <row r="173" spans="1:44" s="272" customFormat="1" ht="12" customHeight="1">
      <c r="A173" s="96"/>
      <c r="B173" s="96"/>
      <c r="C173" s="96"/>
      <c r="D173" s="96"/>
      <c r="E173" s="96"/>
      <c r="F173" s="96"/>
      <c r="G173" s="96"/>
      <c r="H173" s="96"/>
      <c r="I173" s="96"/>
      <c r="J173" s="96"/>
      <c r="K173" s="96"/>
      <c r="L173" s="96"/>
      <c r="M173" s="96"/>
      <c r="N173" s="96"/>
      <c r="O173" s="96"/>
      <c r="P173" s="643"/>
      <c r="Q173" s="644"/>
      <c r="R173" s="642"/>
      <c r="X173" s="96"/>
      <c r="Y173" s="96"/>
      <c r="Z173" s="1255"/>
      <c r="AA173" s="96"/>
      <c r="AB173" s="96"/>
      <c r="AC173" s="96"/>
      <c r="AD173" s="96"/>
      <c r="AE173" s="96"/>
      <c r="AF173" s="96"/>
      <c r="AG173" s="96"/>
      <c r="AH173" s="96"/>
      <c r="AI173" s="96"/>
      <c r="AJ173" s="96"/>
      <c r="AK173" s="96"/>
      <c r="AL173" s="96"/>
      <c r="AM173" s="96"/>
      <c r="AN173" s="96"/>
      <c r="AO173" s="96"/>
      <c r="AP173" s="96"/>
      <c r="AQ173" s="96"/>
      <c r="AR173" s="96"/>
    </row>
    <row r="174" spans="1:44" s="272" customFormat="1" ht="12" customHeight="1">
      <c r="A174" s="96"/>
      <c r="B174" s="96"/>
      <c r="C174" s="96"/>
      <c r="D174" s="96"/>
      <c r="E174" s="96"/>
      <c r="F174" s="96"/>
      <c r="G174" s="96"/>
      <c r="H174" s="96"/>
      <c r="I174" s="96"/>
      <c r="J174" s="96"/>
      <c r="K174" s="96"/>
      <c r="L174" s="96"/>
      <c r="M174" s="96"/>
      <c r="N174" s="96"/>
      <c r="O174" s="96"/>
      <c r="P174" s="645"/>
      <c r="Q174" s="642"/>
      <c r="R174" s="642"/>
      <c r="X174" s="96"/>
      <c r="Y174" s="96"/>
      <c r="Z174" s="1255"/>
      <c r="AA174" s="96"/>
      <c r="AB174" s="96"/>
      <c r="AC174" s="96"/>
      <c r="AD174" s="96"/>
      <c r="AE174" s="96"/>
      <c r="AF174" s="96"/>
      <c r="AG174" s="96"/>
      <c r="AH174" s="96"/>
      <c r="AI174" s="96"/>
      <c r="AJ174" s="96"/>
      <c r="AK174" s="96"/>
      <c r="AL174" s="96"/>
      <c r="AM174" s="96"/>
      <c r="AN174" s="96"/>
      <c r="AO174" s="96"/>
      <c r="AP174" s="96"/>
      <c r="AQ174" s="96"/>
      <c r="AR174" s="96"/>
    </row>
    <row r="175" spans="1:44" s="272" customFormat="1" ht="12" customHeight="1">
      <c r="A175" s="96"/>
      <c r="B175" s="96"/>
      <c r="C175" s="96"/>
      <c r="D175" s="96"/>
      <c r="E175" s="96"/>
      <c r="F175" s="96"/>
      <c r="G175" s="96"/>
      <c r="H175" s="96"/>
      <c r="I175" s="96"/>
      <c r="J175" s="96"/>
      <c r="K175" s="96"/>
      <c r="L175" s="96"/>
      <c r="M175" s="96"/>
      <c r="N175" s="96"/>
      <c r="O175" s="96"/>
      <c r="P175" s="643"/>
      <c r="Q175" s="644"/>
      <c r="R175" s="642"/>
      <c r="X175" s="96"/>
      <c r="Y175" s="96"/>
      <c r="Z175" s="1255"/>
      <c r="AA175" s="96"/>
      <c r="AB175" s="96"/>
      <c r="AC175" s="96"/>
      <c r="AD175" s="96"/>
      <c r="AE175" s="96"/>
      <c r="AF175" s="96"/>
      <c r="AG175" s="96"/>
      <c r="AH175" s="96"/>
      <c r="AI175" s="96"/>
      <c r="AJ175" s="96"/>
      <c r="AK175" s="96"/>
      <c r="AL175" s="96"/>
      <c r="AM175" s="96"/>
      <c r="AN175" s="96"/>
      <c r="AO175" s="96"/>
      <c r="AP175" s="96"/>
      <c r="AQ175" s="96"/>
      <c r="AR175" s="96"/>
    </row>
    <row r="176" spans="1:44" s="272" customFormat="1" ht="12" customHeight="1">
      <c r="A176" s="96"/>
      <c r="B176" s="96"/>
      <c r="C176" s="96"/>
      <c r="D176" s="96"/>
      <c r="E176" s="96"/>
      <c r="F176" s="96"/>
      <c r="G176" s="96"/>
      <c r="H176" s="96"/>
      <c r="I176" s="96"/>
      <c r="J176" s="96"/>
      <c r="K176" s="96"/>
      <c r="L176" s="96"/>
      <c r="M176" s="96"/>
      <c r="N176" s="96"/>
      <c r="O176" s="96"/>
      <c r="P176" s="643"/>
      <c r="Q176" s="644"/>
      <c r="R176" s="642"/>
      <c r="X176" s="96"/>
      <c r="Y176" s="96"/>
      <c r="Z176" s="1255"/>
      <c r="AA176" s="96"/>
      <c r="AB176" s="96"/>
      <c r="AC176" s="96"/>
      <c r="AD176" s="96"/>
      <c r="AE176" s="96"/>
      <c r="AF176" s="96"/>
      <c r="AG176" s="96"/>
      <c r="AH176" s="96"/>
      <c r="AI176" s="96"/>
      <c r="AJ176" s="96"/>
      <c r="AK176" s="96"/>
      <c r="AL176" s="96"/>
      <c r="AM176" s="96"/>
      <c r="AN176" s="96"/>
      <c r="AO176" s="96"/>
      <c r="AP176" s="96"/>
      <c r="AQ176" s="96"/>
      <c r="AR176" s="96"/>
    </row>
    <row r="177" spans="1:44" s="272" customFormat="1" ht="12" customHeight="1">
      <c r="A177" s="96"/>
      <c r="B177" s="96"/>
      <c r="C177" s="96"/>
      <c r="D177" s="96"/>
      <c r="E177" s="96"/>
      <c r="F177" s="96"/>
      <c r="G177" s="96"/>
      <c r="H177" s="96"/>
      <c r="I177" s="96"/>
      <c r="J177" s="96"/>
      <c r="K177" s="96"/>
      <c r="L177" s="96"/>
      <c r="M177" s="96"/>
      <c r="N177" s="96"/>
      <c r="O177" s="96"/>
      <c r="P177" s="643"/>
      <c r="Q177" s="642"/>
      <c r="R177" s="642"/>
      <c r="X177" s="96"/>
      <c r="Y177" s="96"/>
      <c r="Z177" s="1255"/>
      <c r="AA177" s="96"/>
      <c r="AB177" s="96"/>
      <c r="AC177" s="96"/>
      <c r="AD177" s="96"/>
      <c r="AE177" s="96"/>
      <c r="AF177" s="96"/>
      <c r="AG177" s="96"/>
      <c r="AH177" s="96"/>
      <c r="AI177" s="96"/>
      <c r="AJ177" s="96"/>
      <c r="AK177" s="96"/>
      <c r="AL177" s="96"/>
      <c r="AM177" s="96"/>
      <c r="AN177" s="96"/>
      <c r="AO177" s="96"/>
      <c r="AP177" s="96"/>
      <c r="AQ177" s="96"/>
      <c r="AR177" s="96"/>
    </row>
    <row r="178" spans="1:44" s="272" customFormat="1" ht="12" customHeight="1">
      <c r="A178" s="96"/>
      <c r="B178" s="96"/>
      <c r="C178" s="96"/>
      <c r="D178" s="96"/>
      <c r="E178" s="96"/>
      <c r="F178" s="96"/>
      <c r="G178" s="96"/>
      <c r="H178" s="96"/>
      <c r="I178" s="96"/>
      <c r="J178" s="96"/>
      <c r="K178" s="96"/>
      <c r="L178" s="96"/>
      <c r="M178" s="96"/>
      <c r="N178" s="96"/>
      <c r="O178" s="96"/>
      <c r="P178" s="645"/>
      <c r="Q178" s="642"/>
      <c r="R178" s="642"/>
      <c r="X178" s="96"/>
      <c r="Y178" s="96"/>
      <c r="Z178" s="1255"/>
      <c r="AA178" s="96"/>
      <c r="AB178" s="96"/>
      <c r="AC178" s="96"/>
      <c r="AD178" s="96"/>
      <c r="AE178" s="96"/>
      <c r="AF178" s="96"/>
      <c r="AG178" s="96"/>
      <c r="AH178" s="96"/>
      <c r="AI178" s="96"/>
      <c r="AJ178" s="96"/>
      <c r="AK178" s="96"/>
      <c r="AL178" s="96"/>
      <c r="AM178" s="96"/>
      <c r="AN178" s="96"/>
      <c r="AO178" s="96"/>
      <c r="AP178" s="96"/>
      <c r="AQ178" s="96"/>
      <c r="AR178" s="96"/>
    </row>
    <row r="179" spans="1:44" s="272" customFormat="1" ht="12" customHeight="1">
      <c r="A179" s="96"/>
      <c r="B179" s="96"/>
      <c r="C179" s="96"/>
      <c r="D179" s="96"/>
      <c r="E179" s="96"/>
      <c r="F179" s="96"/>
      <c r="G179" s="96"/>
      <c r="H179" s="96"/>
      <c r="I179" s="96"/>
      <c r="J179" s="96"/>
      <c r="K179" s="96"/>
      <c r="L179" s="96"/>
      <c r="M179" s="96"/>
      <c r="N179" s="96"/>
      <c r="O179" s="96"/>
      <c r="P179" s="643"/>
      <c r="Q179" s="644"/>
      <c r="R179" s="642"/>
      <c r="X179" s="96"/>
      <c r="Y179" s="96"/>
      <c r="Z179" s="1255"/>
      <c r="AA179" s="96"/>
      <c r="AB179" s="96"/>
      <c r="AC179" s="96"/>
      <c r="AD179" s="96"/>
      <c r="AE179" s="96"/>
      <c r="AF179" s="96"/>
      <c r="AG179" s="96"/>
      <c r="AH179" s="96"/>
      <c r="AI179" s="96"/>
      <c r="AJ179" s="96"/>
      <c r="AK179" s="96"/>
      <c r="AL179" s="96"/>
      <c r="AM179" s="96"/>
      <c r="AN179" s="96"/>
      <c r="AO179" s="96"/>
      <c r="AP179" s="96"/>
      <c r="AQ179" s="96"/>
      <c r="AR179" s="96"/>
    </row>
    <row r="180" spans="1:44" s="272" customFormat="1" ht="12" customHeight="1">
      <c r="A180" s="96"/>
      <c r="B180" s="96"/>
      <c r="C180" s="96"/>
      <c r="D180" s="96"/>
      <c r="E180" s="96"/>
      <c r="F180" s="96"/>
      <c r="G180" s="96"/>
      <c r="H180" s="96"/>
      <c r="I180" s="96"/>
      <c r="J180" s="96"/>
      <c r="K180" s="96"/>
      <c r="L180" s="96"/>
      <c r="M180" s="96"/>
      <c r="N180" s="96"/>
      <c r="O180" s="96"/>
      <c r="P180" s="643"/>
      <c r="Q180" s="644"/>
      <c r="R180" s="642"/>
      <c r="X180" s="96"/>
      <c r="Y180" s="96"/>
      <c r="Z180" s="1255"/>
      <c r="AA180" s="96"/>
      <c r="AB180" s="96"/>
      <c r="AC180" s="96"/>
      <c r="AD180" s="96"/>
      <c r="AE180" s="96"/>
      <c r="AF180" s="96"/>
      <c r="AG180" s="96"/>
      <c r="AH180" s="96"/>
      <c r="AI180" s="96"/>
      <c r="AJ180" s="96"/>
      <c r="AK180" s="96"/>
      <c r="AL180" s="96"/>
      <c r="AM180" s="96"/>
      <c r="AN180" s="96"/>
      <c r="AO180" s="96"/>
      <c r="AP180" s="96"/>
      <c r="AQ180" s="96"/>
      <c r="AR180" s="96"/>
    </row>
    <row r="181" spans="1:44" s="272" customFormat="1" ht="12" customHeight="1">
      <c r="A181" s="96"/>
      <c r="B181" s="96"/>
      <c r="C181" s="96"/>
      <c r="D181" s="96"/>
      <c r="E181" s="96"/>
      <c r="F181" s="96"/>
      <c r="G181" s="96"/>
      <c r="H181" s="96"/>
      <c r="I181" s="96"/>
      <c r="J181" s="96"/>
      <c r="K181" s="96"/>
      <c r="L181" s="96"/>
      <c r="M181" s="96"/>
      <c r="N181" s="96"/>
      <c r="O181" s="96"/>
      <c r="P181" s="643"/>
      <c r="Q181" s="644"/>
      <c r="R181" s="642"/>
      <c r="X181" s="96"/>
      <c r="Y181" s="96"/>
      <c r="Z181" s="1255"/>
      <c r="AA181" s="96"/>
      <c r="AB181" s="96"/>
      <c r="AC181" s="96"/>
      <c r="AD181" s="96"/>
      <c r="AE181" s="96"/>
      <c r="AF181" s="96"/>
      <c r="AG181" s="96"/>
      <c r="AH181" s="96"/>
      <c r="AI181" s="96"/>
      <c r="AJ181" s="96"/>
      <c r="AK181" s="96"/>
      <c r="AL181" s="96"/>
      <c r="AM181" s="96"/>
      <c r="AN181" s="96"/>
      <c r="AO181" s="96"/>
      <c r="AP181" s="96"/>
      <c r="AQ181" s="96"/>
      <c r="AR181" s="96"/>
    </row>
    <row r="182" spans="1:44" s="272" customFormat="1" ht="12" customHeight="1">
      <c r="A182" s="96"/>
      <c r="B182" s="96"/>
      <c r="C182" s="96"/>
      <c r="D182" s="96"/>
      <c r="E182" s="96"/>
      <c r="F182" s="96"/>
      <c r="G182" s="96"/>
      <c r="H182" s="96"/>
      <c r="I182" s="96"/>
      <c r="J182" s="96"/>
      <c r="K182" s="96"/>
      <c r="L182" s="96"/>
      <c r="M182" s="96"/>
      <c r="N182" s="96"/>
      <c r="O182" s="96"/>
      <c r="P182" s="645"/>
      <c r="Q182" s="642"/>
      <c r="R182" s="642"/>
      <c r="X182" s="96"/>
      <c r="Y182" s="96"/>
      <c r="Z182" s="1255"/>
      <c r="AA182" s="96"/>
      <c r="AB182" s="96"/>
      <c r="AC182" s="96"/>
      <c r="AD182" s="96"/>
      <c r="AE182" s="96"/>
      <c r="AF182" s="96"/>
      <c r="AG182" s="96"/>
      <c r="AH182" s="96"/>
      <c r="AI182" s="96"/>
      <c r="AJ182" s="96"/>
      <c r="AK182" s="96"/>
      <c r="AL182" s="96"/>
      <c r="AM182" s="96"/>
      <c r="AN182" s="96"/>
      <c r="AO182" s="96"/>
      <c r="AP182" s="96"/>
      <c r="AQ182" s="96"/>
      <c r="AR182" s="96"/>
    </row>
    <row r="183" spans="1:44" s="272" customFormat="1" ht="12" customHeight="1">
      <c r="A183" s="96"/>
      <c r="B183" s="96"/>
      <c r="C183" s="96"/>
      <c r="D183" s="96"/>
      <c r="E183" s="96"/>
      <c r="F183" s="96"/>
      <c r="G183" s="96"/>
      <c r="H183" s="96"/>
      <c r="I183" s="96"/>
      <c r="J183" s="96"/>
      <c r="K183" s="96"/>
      <c r="L183" s="96"/>
      <c r="M183" s="96"/>
      <c r="N183" s="96"/>
      <c r="O183" s="96"/>
      <c r="P183" s="643"/>
      <c r="Q183" s="644"/>
      <c r="R183" s="642"/>
      <c r="X183" s="96"/>
      <c r="Y183" s="96"/>
      <c r="Z183" s="1255"/>
      <c r="AA183" s="96"/>
      <c r="AB183" s="96"/>
      <c r="AC183" s="96"/>
      <c r="AD183" s="96"/>
      <c r="AE183" s="96"/>
      <c r="AF183" s="96"/>
      <c r="AG183" s="96"/>
      <c r="AH183" s="96"/>
      <c r="AI183" s="96"/>
      <c r="AJ183" s="96"/>
      <c r="AK183" s="96"/>
      <c r="AL183" s="96"/>
      <c r="AM183" s="96"/>
      <c r="AN183" s="96"/>
      <c r="AO183" s="96"/>
      <c r="AP183" s="96"/>
      <c r="AQ183" s="96"/>
      <c r="AR183" s="96"/>
    </row>
    <row r="184" spans="1:44" s="272" customFormat="1" ht="12" customHeight="1">
      <c r="A184" s="96"/>
      <c r="B184" s="96"/>
      <c r="C184" s="96"/>
      <c r="D184" s="96"/>
      <c r="E184" s="96"/>
      <c r="F184" s="96"/>
      <c r="G184" s="96"/>
      <c r="H184" s="96"/>
      <c r="I184" s="96"/>
      <c r="J184" s="96"/>
      <c r="K184" s="96"/>
      <c r="L184" s="96"/>
      <c r="M184" s="96"/>
      <c r="N184" s="96"/>
      <c r="O184" s="96"/>
      <c r="P184" s="645"/>
      <c r="Q184" s="644"/>
      <c r="R184" s="642"/>
      <c r="X184" s="96"/>
      <c r="Y184" s="96"/>
      <c r="Z184" s="1255"/>
      <c r="AA184" s="96"/>
      <c r="AB184" s="96"/>
      <c r="AC184" s="96"/>
      <c r="AD184" s="96"/>
      <c r="AE184" s="96"/>
      <c r="AF184" s="96"/>
      <c r="AG184" s="96"/>
      <c r="AH184" s="96"/>
      <c r="AI184" s="96"/>
      <c r="AJ184" s="96"/>
      <c r="AK184" s="96"/>
      <c r="AL184" s="96"/>
      <c r="AM184" s="96"/>
      <c r="AN184" s="96"/>
      <c r="AO184" s="96"/>
      <c r="AP184" s="96"/>
      <c r="AQ184" s="96"/>
      <c r="AR184" s="96"/>
    </row>
    <row r="185" spans="1:44" s="272" customFormat="1" ht="12" customHeight="1">
      <c r="A185" s="96"/>
      <c r="B185" s="96"/>
      <c r="C185" s="96"/>
      <c r="D185" s="96"/>
      <c r="E185" s="96"/>
      <c r="F185" s="96"/>
      <c r="G185" s="96"/>
      <c r="H185" s="96"/>
      <c r="I185" s="96"/>
      <c r="J185" s="96"/>
      <c r="K185" s="96"/>
      <c r="L185" s="96"/>
      <c r="M185" s="96"/>
      <c r="N185" s="96"/>
      <c r="O185" s="96"/>
      <c r="P185" s="643"/>
      <c r="Q185" s="642"/>
      <c r="R185" s="642"/>
      <c r="X185" s="96"/>
      <c r="Y185" s="96"/>
      <c r="Z185" s="1255"/>
      <c r="AA185" s="96"/>
      <c r="AB185" s="96"/>
      <c r="AC185" s="96"/>
      <c r="AD185" s="96"/>
      <c r="AE185" s="96"/>
      <c r="AF185" s="96"/>
      <c r="AG185" s="96"/>
      <c r="AH185" s="96"/>
      <c r="AI185" s="96"/>
      <c r="AJ185" s="96"/>
      <c r="AK185" s="96"/>
      <c r="AL185" s="96"/>
      <c r="AM185" s="96"/>
      <c r="AN185" s="96"/>
      <c r="AO185" s="96"/>
      <c r="AP185" s="96"/>
      <c r="AQ185" s="96"/>
      <c r="AR185" s="96"/>
    </row>
    <row r="186" spans="1:44" s="272" customFormat="1" ht="12" customHeight="1">
      <c r="A186" s="96"/>
      <c r="B186" s="96"/>
      <c r="C186" s="96"/>
      <c r="D186" s="96"/>
      <c r="E186" s="96"/>
      <c r="F186" s="96"/>
      <c r="G186" s="96"/>
      <c r="H186" s="96"/>
      <c r="I186" s="96"/>
      <c r="J186" s="96"/>
      <c r="K186" s="96"/>
      <c r="L186" s="96"/>
      <c r="M186" s="96"/>
      <c r="N186" s="96"/>
      <c r="O186" s="96"/>
      <c r="P186" s="643"/>
      <c r="Q186" s="644"/>
      <c r="R186" s="642"/>
      <c r="X186" s="96"/>
      <c r="Y186" s="96"/>
      <c r="Z186" s="1255"/>
      <c r="AA186" s="96"/>
      <c r="AB186" s="96"/>
      <c r="AC186" s="96"/>
      <c r="AD186" s="96"/>
      <c r="AE186" s="96"/>
      <c r="AF186" s="96"/>
      <c r="AG186" s="96"/>
      <c r="AH186" s="96"/>
      <c r="AI186" s="96"/>
      <c r="AJ186" s="96"/>
      <c r="AK186" s="96"/>
      <c r="AL186" s="96"/>
      <c r="AM186" s="96"/>
      <c r="AN186" s="96"/>
      <c r="AO186" s="96"/>
      <c r="AP186" s="96"/>
      <c r="AQ186" s="96"/>
      <c r="AR186" s="96"/>
    </row>
    <row r="187" spans="1:44" s="272" customFormat="1" ht="12" customHeight="1">
      <c r="A187" s="96"/>
      <c r="B187" s="96"/>
      <c r="C187" s="96"/>
      <c r="D187" s="96"/>
      <c r="E187" s="96"/>
      <c r="F187" s="96"/>
      <c r="G187" s="96"/>
      <c r="H187" s="96"/>
      <c r="I187" s="96"/>
      <c r="J187" s="96"/>
      <c r="K187" s="96"/>
      <c r="L187" s="96"/>
      <c r="M187" s="96"/>
      <c r="N187" s="96"/>
      <c r="O187" s="96"/>
      <c r="P187" s="643"/>
      <c r="Q187" s="644"/>
      <c r="R187" s="642"/>
      <c r="X187" s="96"/>
      <c r="Y187" s="96"/>
      <c r="Z187" s="1255"/>
      <c r="AA187" s="96"/>
      <c r="AB187" s="96"/>
      <c r="AC187" s="96"/>
      <c r="AD187" s="96"/>
      <c r="AE187" s="96"/>
      <c r="AF187" s="96"/>
      <c r="AG187" s="96"/>
      <c r="AH187" s="96"/>
      <c r="AI187" s="96"/>
      <c r="AJ187" s="96"/>
      <c r="AK187" s="96"/>
      <c r="AL187" s="96"/>
      <c r="AM187" s="96"/>
      <c r="AN187" s="96"/>
      <c r="AO187" s="96"/>
      <c r="AP187" s="96"/>
      <c r="AQ187" s="96"/>
      <c r="AR187" s="96"/>
    </row>
    <row r="188" spans="1:44" s="272" customFormat="1" ht="12" customHeight="1">
      <c r="A188" s="96"/>
      <c r="B188" s="96"/>
      <c r="C188" s="96"/>
      <c r="D188" s="96"/>
      <c r="E188" s="96"/>
      <c r="F188" s="96"/>
      <c r="G188" s="96"/>
      <c r="H188" s="96"/>
      <c r="I188" s="96"/>
      <c r="J188" s="96"/>
      <c r="K188" s="96"/>
      <c r="L188" s="96"/>
      <c r="M188" s="96"/>
      <c r="N188" s="96"/>
      <c r="O188" s="96"/>
      <c r="P188" s="643"/>
      <c r="Q188" s="644"/>
      <c r="R188" s="642"/>
      <c r="X188" s="96"/>
      <c r="Y188" s="96"/>
      <c r="Z188" s="1255"/>
      <c r="AA188" s="96"/>
      <c r="AB188" s="96"/>
      <c r="AC188" s="96"/>
      <c r="AD188" s="96"/>
      <c r="AE188" s="96"/>
      <c r="AF188" s="96"/>
      <c r="AG188" s="96"/>
      <c r="AH188" s="96"/>
      <c r="AI188" s="96"/>
      <c r="AJ188" s="96"/>
      <c r="AK188" s="96"/>
      <c r="AL188" s="96"/>
      <c r="AM188" s="96"/>
      <c r="AN188" s="96"/>
      <c r="AO188" s="96"/>
      <c r="AP188" s="96"/>
      <c r="AQ188" s="96"/>
      <c r="AR188" s="96"/>
    </row>
    <row r="189" spans="1:44" s="272" customFormat="1" ht="12" customHeight="1">
      <c r="A189" s="96"/>
      <c r="B189" s="96"/>
      <c r="C189" s="96"/>
      <c r="D189" s="96"/>
      <c r="E189" s="96"/>
      <c r="F189" s="96"/>
      <c r="G189" s="96"/>
      <c r="H189" s="96"/>
      <c r="I189" s="96"/>
      <c r="J189" s="96"/>
      <c r="K189" s="96"/>
      <c r="L189" s="96"/>
      <c r="M189" s="96"/>
      <c r="N189" s="96"/>
      <c r="O189" s="96"/>
      <c r="P189" s="643"/>
      <c r="Q189" s="642"/>
      <c r="R189" s="642"/>
      <c r="X189" s="96"/>
      <c r="Y189" s="96"/>
      <c r="Z189" s="1255"/>
      <c r="AA189" s="96"/>
      <c r="AB189" s="96"/>
      <c r="AC189" s="96"/>
      <c r="AD189" s="96"/>
      <c r="AE189" s="96"/>
      <c r="AF189" s="96"/>
      <c r="AG189" s="96"/>
      <c r="AH189" s="96"/>
      <c r="AI189" s="96"/>
      <c r="AJ189" s="96"/>
      <c r="AK189" s="96"/>
      <c r="AL189" s="96"/>
      <c r="AM189" s="96"/>
      <c r="AN189" s="96"/>
      <c r="AO189" s="96"/>
      <c r="AP189" s="96"/>
      <c r="AQ189" s="96"/>
      <c r="AR189" s="96"/>
    </row>
    <row r="190" spans="1:44" s="272" customFormat="1" ht="12" customHeight="1">
      <c r="A190" s="96"/>
      <c r="B190" s="96"/>
      <c r="C190" s="96"/>
      <c r="D190" s="96"/>
      <c r="E190" s="96"/>
      <c r="F190" s="96"/>
      <c r="G190" s="96"/>
      <c r="H190" s="96"/>
      <c r="I190" s="96"/>
      <c r="J190" s="96"/>
      <c r="K190" s="96"/>
      <c r="L190" s="96"/>
      <c r="M190" s="96"/>
      <c r="N190" s="96"/>
      <c r="O190" s="96"/>
      <c r="P190" s="645"/>
      <c r="Q190" s="644"/>
      <c r="R190" s="642"/>
      <c r="X190" s="96"/>
      <c r="Y190" s="96"/>
      <c r="Z190" s="1255"/>
      <c r="AA190" s="96"/>
      <c r="AB190" s="96"/>
      <c r="AC190" s="96"/>
      <c r="AD190" s="96"/>
      <c r="AE190" s="96"/>
      <c r="AF190" s="96"/>
      <c r="AG190" s="96"/>
      <c r="AH190" s="96"/>
      <c r="AI190" s="96"/>
      <c r="AJ190" s="96"/>
      <c r="AK190" s="96"/>
      <c r="AL190" s="96"/>
      <c r="AM190" s="96"/>
      <c r="AN190" s="96"/>
      <c r="AO190" s="96"/>
      <c r="AP190" s="96"/>
      <c r="AQ190" s="96"/>
      <c r="AR190" s="96"/>
    </row>
    <row r="191" spans="1:44" s="272" customFormat="1" ht="12" customHeight="1">
      <c r="A191" s="96"/>
      <c r="B191" s="96"/>
      <c r="C191" s="96"/>
      <c r="D191" s="96"/>
      <c r="E191" s="96"/>
      <c r="F191" s="96"/>
      <c r="G191" s="96"/>
      <c r="H191" s="96"/>
      <c r="I191" s="96"/>
      <c r="J191" s="96"/>
      <c r="K191" s="96"/>
      <c r="L191" s="96"/>
      <c r="M191" s="96"/>
      <c r="N191" s="96"/>
      <c r="O191" s="96"/>
      <c r="P191" s="643"/>
      <c r="Q191" s="644"/>
      <c r="R191" s="642"/>
      <c r="X191" s="96"/>
      <c r="Y191" s="96"/>
      <c r="Z191" s="1255"/>
      <c r="AA191" s="96"/>
      <c r="AB191" s="96"/>
      <c r="AC191" s="96"/>
      <c r="AD191" s="96"/>
      <c r="AE191" s="96"/>
      <c r="AF191" s="96"/>
      <c r="AG191" s="96"/>
      <c r="AH191" s="96"/>
      <c r="AI191" s="96"/>
      <c r="AJ191" s="96"/>
      <c r="AK191" s="96"/>
      <c r="AL191" s="96"/>
      <c r="AM191" s="96"/>
      <c r="AN191" s="96"/>
      <c r="AO191" s="96"/>
      <c r="AP191" s="96"/>
      <c r="AQ191" s="96"/>
      <c r="AR191" s="96"/>
    </row>
    <row r="192" spans="1:44" s="272" customFormat="1" ht="12" customHeight="1">
      <c r="A192" s="96"/>
      <c r="B192" s="96"/>
      <c r="C192" s="96"/>
      <c r="D192" s="96"/>
      <c r="E192" s="96"/>
      <c r="F192" s="96"/>
      <c r="G192" s="96"/>
      <c r="H192" s="96"/>
      <c r="I192" s="96"/>
      <c r="J192" s="96"/>
      <c r="K192" s="96"/>
      <c r="L192" s="96"/>
      <c r="M192" s="96"/>
      <c r="N192" s="96"/>
      <c r="O192" s="96"/>
      <c r="P192" s="643"/>
      <c r="Q192" s="644"/>
      <c r="R192" s="642"/>
      <c r="X192" s="96"/>
      <c r="Y192" s="96"/>
      <c r="Z192" s="1255"/>
      <c r="AA192" s="96"/>
      <c r="AB192" s="96"/>
      <c r="AC192" s="96"/>
      <c r="AD192" s="96"/>
      <c r="AE192" s="96"/>
      <c r="AF192" s="96"/>
      <c r="AG192" s="96"/>
      <c r="AH192" s="96"/>
      <c r="AI192" s="96"/>
      <c r="AJ192" s="96"/>
      <c r="AK192" s="96"/>
      <c r="AL192" s="96"/>
      <c r="AM192" s="96"/>
      <c r="AN192" s="96"/>
      <c r="AO192" s="96"/>
      <c r="AP192" s="96"/>
      <c r="AQ192" s="96"/>
      <c r="AR192" s="96"/>
    </row>
    <row r="193" spans="1:44" s="272" customFormat="1" ht="12" customHeight="1">
      <c r="A193" s="96"/>
      <c r="B193" s="96"/>
      <c r="C193" s="96"/>
      <c r="D193" s="96"/>
      <c r="E193" s="96"/>
      <c r="F193" s="96"/>
      <c r="G193" s="96"/>
      <c r="H193" s="96"/>
      <c r="I193" s="96"/>
      <c r="J193" s="96"/>
      <c r="K193" s="96"/>
      <c r="L193" s="96"/>
      <c r="M193" s="96"/>
      <c r="N193" s="96"/>
      <c r="O193" s="96"/>
      <c r="P193" s="643"/>
      <c r="Q193" s="644"/>
      <c r="R193" s="642"/>
      <c r="X193" s="96"/>
      <c r="Y193" s="96"/>
      <c r="Z193" s="1255"/>
      <c r="AA193" s="96"/>
      <c r="AB193" s="96"/>
      <c r="AC193" s="96"/>
      <c r="AD193" s="96"/>
      <c r="AE193" s="96"/>
      <c r="AF193" s="96"/>
      <c r="AG193" s="96"/>
      <c r="AH193" s="96"/>
      <c r="AI193" s="96"/>
      <c r="AJ193" s="96"/>
      <c r="AK193" s="96"/>
      <c r="AL193" s="96"/>
      <c r="AM193" s="96"/>
      <c r="AN193" s="96"/>
      <c r="AO193" s="96"/>
      <c r="AP193" s="96"/>
      <c r="AQ193" s="96"/>
      <c r="AR193" s="96"/>
    </row>
    <row r="194" spans="1:44" s="272" customFormat="1" ht="12" customHeight="1">
      <c r="A194" s="96"/>
      <c r="B194" s="96"/>
      <c r="C194" s="96"/>
      <c r="D194" s="96"/>
      <c r="E194" s="96"/>
      <c r="F194" s="96"/>
      <c r="G194" s="96"/>
      <c r="H194" s="96"/>
      <c r="I194" s="96"/>
      <c r="J194" s="96"/>
      <c r="K194" s="96"/>
      <c r="L194" s="96"/>
      <c r="M194" s="96"/>
      <c r="N194" s="96"/>
      <c r="O194" s="96"/>
      <c r="P194" s="643"/>
      <c r="Q194" s="644"/>
      <c r="R194" s="642"/>
      <c r="X194" s="96"/>
      <c r="Y194" s="96"/>
      <c r="Z194" s="1255"/>
      <c r="AA194" s="96"/>
      <c r="AB194" s="96"/>
      <c r="AC194" s="96"/>
      <c r="AD194" s="96"/>
      <c r="AE194" s="96"/>
      <c r="AF194" s="96"/>
      <c r="AG194" s="96"/>
      <c r="AH194" s="96"/>
      <c r="AI194" s="96"/>
      <c r="AJ194" s="96"/>
      <c r="AK194" s="96"/>
      <c r="AL194" s="96"/>
      <c r="AM194" s="96"/>
      <c r="AN194" s="96"/>
      <c r="AO194" s="96"/>
      <c r="AP194" s="96"/>
      <c r="AQ194" s="96"/>
      <c r="AR194" s="96"/>
    </row>
    <row r="195" spans="1:44" s="272" customFormat="1" ht="12" customHeight="1">
      <c r="A195" s="96"/>
      <c r="B195" s="96"/>
      <c r="C195" s="96"/>
      <c r="D195" s="96"/>
      <c r="E195" s="96"/>
      <c r="F195" s="96"/>
      <c r="G195" s="96"/>
      <c r="H195" s="96"/>
      <c r="I195" s="96"/>
      <c r="J195" s="96"/>
      <c r="K195" s="96"/>
      <c r="L195" s="96"/>
      <c r="M195" s="96"/>
      <c r="N195" s="96"/>
      <c r="O195" s="96"/>
      <c r="P195" s="643"/>
      <c r="Q195" s="644"/>
      <c r="R195" s="642"/>
      <c r="X195" s="96"/>
      <c r="Y195" s="96"/>
      <c r="Z195" s="1255"/>
      <c r="AA195" s="96"/>
      <c r="AB195" s="96"/>
      <c r="AC195" s="96"/>
      <c r="AD195" s="96"/>
      <c r="AE195" s="96"/>
      <c r="AF195" s="96"/>
      <c r="AG195" s="96"/>
      <c r="AH195" s="96"/>
      <c r="AI195" s="96"/>
      <c r="AJ195" s="96"/>
      <c r="AK195" s="96"/>
      <c r="AL195" s="96"/>
      <c r="AM195" s="96"/>
      <c r="AN195" s="96"/>
      <c r="AO195" s="96"/>
      <c r="AP195" s="96"/>
      <c r="AQ195" s="96"/>
      <c r="AR195" s="96"/>
    </row>
    <row r="196" spans="1:44" s="272" customFormat="1" ht="12" customHeight="1">
      <c r="A196" s="96"/>
      <c r="B196" s="96"/>
      <c r="C196" s="96"/>
      <c r="D196" s="96"/>
      <c r="E196" s="96"/>
      <c r="F196" s="96"/>
      <c r="G196" s="96"/>
      <c r="H196" s="96"/>
      <c r="I196" s="96"/>
      <c r="J196" s="96"/>
      <c r="K196" s="96"/>
      <c r="L196" s="96"/>
      <c r="M196" s="96"/>
      <c r="N196" s="96"/>
      <c r="O196" s="96"/>
      <c r="P196" s="643"/>
      <c r="Q196" s="644"/>
      <c r="R196" s="642"/>
      <c r="X196" s="96"/>
      <c r="Y196" s="96"/>
      <c r="Z196" s="1255"/>
      <c r="AA196" s="96"/>
      <c r="AB196" s="96"/>
      <c r="AC196" s="96"/>
      <c r="AD196" s="96"/>
      <c r="AE196" s="96"/>
      <c r="AF196" s="96"/>
      <c r="AG196" s="96"/>
      <c r="AH196" s="96"/>
      <c r="AI196" s="96"/>
      <c r="AJ196" s="96"/>
      <c r="AK196" s="96"/>
      <c r="AL196" s="96"/>
      <c r="AM196" s="96"/>
      <c r="AN196" s="96"/>
      <c r="AO196" s="96"/>
      <c r="AP196" s="96"/>
      <c r="AQ196" s="96"/>
      <c r="AR196" s="96"/>
    </row>
    <row r="197" spans="1:44" s="272" customFormat="1" ht="12" customHeight="1">
      <c r="A197" s="96"/>
      <c r="B197" s="96"/>
      <c r="C197" s="96"/>
      <c r="D197" s="96"/>
      <c r="E197" s="96"/>
      <c r="F197" s="96"/>
      <c r="G197" s="96"/>
      <c r="H197" s="96"/>
      <c r="I197" s="96"/>
      <c r="J197" s="96"/>
      <c r="K197" s="96"/>
      <c r="L197" s="96"/>
      <c r="M197" s="96"/>
      <c r="N197" s="96"/>
      <c r="O197" s="96"/>
      <c r="P197" s="643"/>
      <c r="Q197" s="644"/>
      <c r="R197" s="642"/>
      <c r="X197" s="96"/>
      <c r="Y197" s="96"/>
      <c r="Z197" s="1255"/>
      <c r="AA197" s="96"/>
      <c r="AB197" s="96"/>
      <c r="AC197" s="96"/>
      <c r="AD197" s="96"/>
      <c r="AE197" s="96"/>
      <c r="AF197" s="96"/>
      <c r="AG197" s="96"/>
      <c r="AH197" s="96"/>
      <c r="AI197" s="96"/>
      <c r="AJ197" s="96"/>
      <c r="AK197" s="96"/>
      <c r="AL197" s="96"/>
      <c r="AM197" s="96"/>
      <c r="AN197" s="96"/>
      <c r="AO197" s="96"/>
      <c r="AP197" s="96"/>
      <c r="AQ197" s="96"/>
      <c r="AR197" s="96"/>
    </row>
    <row r="198" spans="1:44" s="272" customFormat="1" ht="12" customHeight="1">
      <c r="A198" s="96"/>
      <c r="B198" s="96"/>
      <c r="C198" s="96"/>
      <c r="D198" s="96"/>
      <c r="E198" s="96"/>
      <c r="F198" s="96"/>
      <c r="G198" s="96"/>
      <c r="H198" s="96"/>
      <c r="I198" s="96"/>
      <c r="J198" s="96"/>
      <c r="K198" s="96"/>
      <c r="L198" s="96"/>
      <c r="M198" s="96"/>
      <c r="N198" s="96"/>
      <c r="O198" s="96"/>
      <c r="P198" s="643"/>
      <c r="Q198" s="644"/>
      <c r="R198" s="642"/>
      <c r="X198" s="96"/>
      <c r="Y198" s="96"/>
      <c r="Z198" s="1255"/>
      <c r="AA198" s="96"/>
      <c r="AB198" s="96"/>
      <c r="AC198" s="96"/>
      <c r="AD198" s="96"/>
      <c r="AE198" s="96"/>
      <c r="AF198" s="96"/>
      <c r="AG198" s="96"/>
      <c r="AH198" s="96"/>
      <c r="AI198" s="96"/>
      <c r="AJ198" s="96"/>
      <c r="AK198" s="96"/>
      <c r="AL198" s="96"/>
      <c r="AM198" s="96"/>
      <c r="AN198" s="96"/>
      <c r="AO198" s="96"/>
      <c r="AP198" s="96"/>
      <c r="AQ198" s="96"/>
      <c r="AR198" s="96"/>
    </row>
    <row r="199" spans="1:44" s="272" customFormat="1" ht="12" customHeight="1">
      <c r="A199" s="96"/>
      <c r="B199" s="96"/>
      <c r="C199" s="96"/>
      <c r="D199" s="96"/>
      <c r="E199" s="96"/>
      <c r="F199" s="96"/>
      <c r="G199" s="96"/>
      <c r="H199" s="96"/>
      <c r="I199" s="96"/>
      <c r="J199" s="96"/>
      <c r="K199" s="96"/>
      <c r="L199" s="96"/>
      <c r="M199" s="96"/>
      <c r="N199" s="96"/>
      <c r="O199" s="96"/>
      <c r="P199" s="643"/>
      <c r="Q199" s="644"/>
      <c r="R199" s="642"/>
      <c r="X199" s="96"/>
      <c r="Y199" s="96"/>
      <c r="Z199" s="1255"/>
      <c r="AA199" s="96"/>
      <c r="AB199" s="96"/>
      <c r="AC199" s="96"/>
      <c r="AD199" s="96"/>
      <c r="AE199" s="96"/>
      <c r="AF199" s="96"/>
      <c r="AG199" s="96"/>
      <c r="AH199" s="96"/>
      <c r="AI199" s="96"/>
      <c r="AJ199" s="96"/>
      <c r="AK199" s="96"/>
      <c r="AL199" s="96"/>
      <c r="AM199" s="96"/>
      <c r="AN199" s="96"/>
      <c r="AO199" s="96"/>
      <c r="AP199" s="96"/>
      <c r="AQ199" s="96"/>
      <c r="AR199" s="96"/>
    </row>
    <row r="200" spans="1:44" s="272" customFormat="1" ht="12" customHeight="1">
      <c r="A200" s="96"/>
      <c r="B200" s="96"/>
      <c r="C200" s="96"/>
      <c r="D200" s="96"/>
      <c r="E200" s="96"/>
      <c r="F200" s="96"/>
      <c r="G200" s="96"/>
      <c r="H200" s="96"/>
      <c r="I200" s="96"/>
      <c r="J200" s="96"/>
      <c r="K200" s="96"/>
      <c r="L200" s="96"/>
      <c r="M200" s="96"/>
      <c r="N200" s="96"/>
      <c r="O200" s="96"/>
      <c r="P200" s="643"/>
      <c r="Q200" s="644"/>
      <c r="R200" s="642"/>
      <c r="X200" s="96"/>
      <c r="Y200" s="96"/>
      <c r="Z200" s="1255"/>
      <c r="AA200" s="96"/>
      <c r="AB200" s="96"/>
      <c r="AC200" s="96"/>
      <c r="AD200" s="96"/>
      <c r="AE200" s="96"/>
      <c r="AF200" s="96"/>
      <c r="AG200" s="96"/>
      <c r="AH200" s="96"/>
      <c r="AI200" s="96"/>
      <c r="AJ200" s="96"/>
      <c r="AK200" s="96"/>
      <c r="AL200" s="96"/>
      <c r="AM200" s="96"/>
      <c r="AN200" s="96"/>
      <c r="AO200" s="96"/>
      <c r="AP200" s="96"/>
      <c r="AQ200" s="96"/>
      <c r="AR200" s="96"/>
    </row>
    <row r="201" spans="1:44" s="272" customFormat="1" ht="12" customHeight="1">
      <c r="A201" s="96"/>
      <c r="B201" s="96"/>
      <c r="C201" s="96"/>
      <c r="D201" s="96"/>
      <c r="E201" s="96"/>
      <c r="F201" s="96"/>
      <c r="G201" s="96"/>
      <c r="H201" s="96"/>
      <c r="I201" s="96"/>
      <c r="J201" s="96"/>
      <c r="K201" s="96"/>
      <c r="L201" s="96"/>
      <c r="M201" s="96"/>
      <c r="N201" s="96"/>
      <c r="O201" s="96"/>
      <c r="P201" s="643"/>
      <c r="Q201" s="644"/>
      <c r="R201" s="642"/>
      <c r="X201" s="96"/>
      <c r="Y201" s="96"/>
      <c r="Z201" s="1255"/>
      <c r="AA201" s="96"/>
      <c r="AB201" s="96"/>
      <c r="AC201" s="96"/>
      <c r="AD201" s="96"/>
      <c r="AE201" s="96"/>
      <c r="AF201" s="96"/>
      <c r="AG201" s="96"/>
      <c r="AH201" s="96"/>
      <c r="AI201" s="96"/>
      <c r="AJ201" s="96"/>
      <c r="AK201" s="96"/>
      <c r="AL201" s="96"/>
      <c r="AM201" s="96"/>
      <c r="AN201" s="96"/>
      <c r="AO201" s="96"/>
      <c r="AP201" s="96"/>
      <c r="AQ201" s="96"/>
      <c r="AR201" s="96"/>
    </row>
    <row r="202" spans="1:44" s="272" customFormat="1" ht="12" customHeight="1">
      <c r="A202" s="96"/>
      <c r="B202" s="96"/>
      <c r="C202" s="96"/>
      <c r="D202" s="96"/>
      <c r="E202" s="96"/>
      <c r="F202" s="96"/>
      <c r="G202" s="96"/>
      <c r="H202" s="96"/>
      <c r="I202" s="96"/>
      <c r="J202" s="96"/>
      <c r="K202" s="96"/>
      <c r="L202" s="96"/>
      <c r="M202" s="96"/>
      <c r="N202" s="96"/>
      <c r="O202" s="96"/>
      <c r="P202" s="643"/>
      <c r="Q202" s="644"/>
      <c r="R202" s="642"/>
      <c r="X202" s="96"/>
      <c r="Y202" s="96"/>
      <c r="Z202" s="1255"/>
      <c r="AA202" s="96"/>
      <c r="AB202" s="96"/>
      <c r="AC202" s="96"/>
      <c r="AD202" s="96"/>
      <c r="AE202" s="96"/>
      <c r="AF202" s="96"/>
      <c r="AG202" s="96"/>
      <c r="AH202" s="96"/>
      <c r="AI202" s="96"/>
      <c r="AJ202" s="96"/>
      <c r="AK202" s="96"/>
      <c r="AL202" s="96"/>
      <c r="AM202" s="96"/>
      <c r="AN202" s="96"/>
      <c r="AO202" s="96"/>
      <c r="AP202" s="96"/>
      <c r="AQ202" s="96"/>
      <c r="AR202" s="96"/>
    </row>
    <row r="203" spans="1:44" s="272" customFormat="1" ht="12" customHeight="1">
      <c r="A203" s="96"/>
      <c r="B203" s="96"/>
      <c r="C203" s="96"/>
      <c r="D203" s="96"/>
      <c r="E203" s="96"/>
      <c r="F203" s="96"/>
      <c r="G203" s="96"/>
      <c r="H203" s="96"/>
      <c r="I203" s="96"/>
      <c r="J203" s="96"/>
      <c r="K203" s="96"/>
      <c r="L203" s="96"/>
      <c r="M203" s="96"/>
      <c r="N203" s="96"/>
      <c r="O203" s="96"/>
      <c r="P203" s="643"/>
      <c r="Q203" s="644"/>
      <c r="R203" s="642"/>
      <c r="X203" s="96"/>
      <c r="Y203" s="96"/>
      <c r="Z203" s="1255"/>
      <c r="AA203" s="96"/>
      <c r="AB203" s="96"/>
      <c r="AC203" s="96"/>
      <c r="AD203" s="96"/>
      <c r="AE203" s="96"/>
      <c r="AF203" s="96"/>
      <c r="AG203" s="96"/>
      <c r="AH203" s="96"/>
      <c r="AI203" s="96"/>
      <c r="AJ203" s="96"/>
      <c r="AK203" s="96"/>
      <c r="AL203" s="96"/>
      <c r="AM203" s="96"/>
      <c r="AN203" s="96"/>
      <c r="AO203" s="96"/>
      <c r="AP203" s="96"/>
      <c r="AQ203" s="96"/>
      <c r="AR203" s="96"/>
    </row>
    <row r="204" spans="1:44" s="272" customFormat="1" ht="12" customHeight="1">
      <c r="A204" s="96"/>
      <c r="B204" s="96"/>
      <c r="C204" s="96"/>
      <c r="D204" s="96"/>
      <c r="E204" s="96"/>
      <c r="F204" s="96"/>
      <c r="G204" s="96"/>
      <c r="H204" s="96"/>
      <c r="I204" s="96"/>
      <c r="J204" s="96"/>
      <c r="K204" s="96"/>
      <c r="L204" s="96"/>
      <c r="M204" s="96"/>
      <c r="N204" s="96"/>
      <c r="O204" s="96"/>
      <c r="P204" s="643"/>
      <c r="Q204" s="644"/>
      <c r="R204" s="642"/>
      <c r="X204" s="96"/>
      <c r="Y204" s="96"/>
      <c r="Z204" s="1255"/>
      <c r="AA204" s="96"/>
      <c r="AB204" s="96"/>
      <c r="AC204" s="96"/>
      <c r="AD204" s="96"/>
      <c r="AE204" s="96"/>
      <c r="AF204" s="96"/>
      <c r="AG204" s="96"/>
      <c r="AH204" s="96"/>
      <c r="AI204" s="96"/>
      <c r="AJ204" s="96"/>
      <c r="AK204" s="96"/>
      <c r="AL204" s="96"/>
      <c r="AM204" s="96"/>
      <c r="AN204" s="96"/>
      <c r="AO204" s="96"/>
      <c r="AP204" s="96"/>
      <c r="AQ204" s="96"/>
      <c r="AR204" s="96"/>
    </row>
    <row r="205" spans="1:44" s="272" customFormat="1" ht="12" customHeight="1">
      <c r="A205" s="96"/>
      <c r="B205" s="96"/>
      <c r="C205" s="96"/>
      <c r="D205" s="96"/>
      <c r="E205" s="96"/>
      <c r="F205" s="96"/>
      <c r="G205" s="96"/>
      <c r="H205" s="96"/>
      <c r="I205" s="96"/>
      <c r="J205" s="96"/>
      <c r="K205" s="96"/>
      <c r="L205" s="96"/>
      <c r="M205" s="96"/>
      <c r="N205" s="96"/>
      <c r="O205" s="96"/>
      <c r="P205" s="643"/>
      <c r="Q205" s="644"/>
      <c r="R205" s="642"/>
      <c r="X205" s="96"/>
      <c r="Y205" s="96"/>
      <c r="Z205" s="1255"/>
      <c r="AA205" s="96"/>
      <c r="AB205" s="96"/>
      <c r="AC205" s="96"/>
      <c r="AD205" s="96"/>
      <c r="AE205" s="96"/>
      <c r="AF205" s="96"/>
      <c r="AG205" s="96"/>
      <c r="AH205" s="96"/>
      <c r="AI205" s="96"/>
      <c r="AJ205" s="96"/>
      <c r="AK205" s="96"/>
      <c r="AL205" s="96"/>
      <c r="AM205" s="96"/>
      <c r="AN205" s="96"/>
      <c r="AO205" s="96"/>
      <c r="AP205" s="96"/>
      <c r="AQ205" s="96"/>
      <c r="AR205" s="96"/>
    </row>
    <row r="206" spans="1:44" s="272" customFormat="1" ht="12" customHeight="1">
      <c r="A206" s="96"/>
      <c r="B206" s="96"/>
      <c r="C206" s="96"/>
      <c r="D206" s="96"/>
      <c r="E206" s="96"/>
      <c r="F206" s="96"/>
      <c r="G206" s="96"/>
      <c r="H206" s="96"/>
      <c r="I206" s="96"/>
      <c r="J206" s="96"/>
      <c r="K206" s="96"/>
      <c r="L206" s="96"/>
      <c r="M206" s="96"/>
      <c r="N206" s="96"/>
      <c r="O206" s="96"/>
      <c r="P206" s="643"/>
      <c r="Q206" s="644"/>
      <c r="R206" s="642"/>
      <c r="X206" s="96"/>
      <c r="Y206" s="96"/>
      <c r="Z206" s="1255"/>
      <c r="AA206" s="96"/>
      <c r="AB206" s="96"/>
      <c r="AC206" s="96"/>
      <c r="AD206" s="96"/>
      <c r="AE206" s="96"/>
      <c r="AF206" s="96"/>
      <c r="AG206" s="96"/>
      <c r="AH206" s="96"/>
      <c r="AI206" s="96"/>
      <c r="AJ206" s="96"/>
      <c r="AK206" s="96"/>
      <c r="AL206" s="96"/>
      <c r="AM206" s="96"/>
      <c r="AN206" s="96"/>
      <c r="AO206" s="96"/>
      <c r="AP206" s="96"/>
      <c r="AQ206" s="96"/>
      <c r="AR206" s="96"/>
    </row>
    <row r="207" spans="1:44" s="272" customFormat="1" ht="12" customHeight="1">
      <c r="A207" s="96"/>
      <c r="B207" s="96"/>
      <c r="C207" s="96"/>
      <c r="D207" s="96"/>
      <c r="E207" s="96"/>
      <c r="F207" s="96"/>
      <c r="G207" s="96"/>
      <c r="H207" s="96"/>
      <c r="I207" s="96"/>
      <c r="J207" s="96"/>
      <c r="K207" s="96"/>
      <c r="L207" s="96"/>
      <c r="M207" s="96"/>
      <c r="N207" s="96"/>
      <c r="O207" s="96"/>
      <c r="P207" s="643"/>
      <c r="Q207" s="644"/>
      <c r="R207" s="642"/>
      <c r="X207" s="96"/>
      <c r="Y207" s="96"/>
      <c r="Z207" s="1255"/>
      <c r="AA207" s="96"/>
      <c r="AB207" s="96"/>
      <c r="AC207" s="96"/>
      <c r="AD207" s="96"/>
      <c r="AE207" s="96"/>
      <c r="AF207" s="96"/>
      <c r="AG207" s="96"/>
      <c r="AH207" s="96"/>
      <c r="AI207" s="96"/>
      <c r="AJ207" s="96"/>
      <c r="AK207" s="96"/>
      <c r="AL207" s="96"/>
      <c r="AM207" s="96"/>
      <c r="AN207" s="96"/>
      <c r="AO207" s="96"/>
      <c r="AP207" s="96"/>
      <c r="AQ207" s="96"/>
      <c r="AR207" s="96"/>
    </row>
    <row r="208" spans="1:44" s="272" customFormat="1" ht="12" customHeight="1">
      <c r="A208" s="96"/>
      <c r="B208" s="96"/>
      <c r="C208" s="96"/>
      <c r="D208" s="96"/>
      <c r="E208" s="96"/>
      <c r="F208" s="96"/>
      <c r="G208" s="96"/>
      <c r="H208" s="96"/>
      <c r="I208" s="96"/>
      <c r="J208" s="96"/>
      <c r="K208" s="96"/>
      <c r="L208" s="96"/>
      <c r="M208" s="96"/>
      <c r="N208" s="96"/>
      <c r="O208" s="96"/>
      <c r="P208" s="645"/>
      <c r="Q208" s="644"/>
      <c r="R208" s="642"/>
      <c r="X208" s="96"/>
      <c r="Y208" s="96"/>
      <c r="Z208" s="1255"/>
      <c r="AA208" s="96"/>
      <c r="AB208" s="96"/>
      <c r="AC208" s="96"/>
      <c r="AD208" s="96"/>
      <c r="AE208" s="96"/>
      <c r="AF208" s="96"/>
      <c r="AG208" s="96"/>
      <c r="AH208" s="96"/>
      <c r="AI208" s="96"/>
      <c r="AJ208" s="96"/>
      <c r="AK208" s="96"/>
      <c r="AL208" s="96"/>
      <c r="AM208" s="96"/>
      <c r="AN208" s="96"/>
      <c r="AO208" s="96"/>
      <c r="AP208" s="96"/>
      <c r="AQ208" s="96"/>
      <c r="AR208" s="96"/>
    </row>
    <row r="209" spans="1:44" s="272" customFormat="1" ht="12" customHeight="1">
      <c r="A209" s="96"/>
      <c r="B209" s="96"/>
      <c r="C209" s="96"/>
      <c r="D209" s="96"/>
      <c r="E209" s="96"/>
      <c r="F209" s="96"/>
      <c r="G209" s="96"/>
      <c r="H209" s="96"/>
      <c r="I209" s="96"/>
      <c r="J209" s="96"/>
      <c r="K209" s="96"/>
      <c r="L209" s="96"/>
      <c r="M209" s="96"/>
      <c r="N209" s="96"/>
      <c r="O209" s="96"/>
      <c r="P209" s="643"/>
      <c r="Q209" s="644"/>
      <c r="R209" s="642"/>
      <c r="X209" s="96"/>
      <c r="Y209" s="96"/>
      <c r="Z209" s="1255"/>
      <c r="AA209" s="96"/>
      <c r="AB209" s="96"/>
      <c r="AC209" s="96"/>
      <c r="AD209" s="96"/>
      <c r="AE209" s="96"/>
      <c r="AF209" s="96"/>
      <c r="AG209" s="96"/>
      <c r="AH209" s="96"/>
      <c r="AI209" s="96"/>
      <c r="AJ209" s="96"/>
      <c r="AK209" s="96"/>
      <c r="AL209" s="96"/>
      <c r="AM209" s="96"/>
      <c r="AN209" s="96"/>
      <c r="AO209" s="96"/>
      <c r="AP209" s="96"/>
      <c r="AQ209" s="96"/>
      <c r="AR209" s="96"/>
    </row>
    <row r="210" spans="1:44" s="272" customFormat="1" ht="12" customHeight="1">
      <c r="A210" s="96"/>
      <c r="B210" s="96"/>
      <c r="C210" s="96"/>
      <c r="D210" s="96"/>
      <c r="E210" s="96"/>
      <c r="F210" s="96"/>
      <c r="G210" s="96"/>
      <c r="H210" s="96"/>
      <c r="I210" s="96"/>
      <c r="J210" s="96"/>
      <c r="K210" s="96"/>
      <c r="L210" s="96"/>
      <c r="M210" s="96"/>
      <c r="N210" s="96"/>
      <c r="O210" s="96"/>
      <c r="P210" s="643"/>
      <c r="Q210" s="644"/>
      <c r="R210" s="643"/>
      <c r="S210" s="295"/>
      <c r="X210" s="96"/>
      <c r="Y210" s="96"/>
      <c r="Z210" s="1255"/>
      <c r="AA210" s="96"/>
      <c r="AB210" s="96"/>
      <c r="AC210" s="96"/>
      <c r="AD210" s="96"/>
      <c r="AE210" s="96"/>
      <c r="AF210" s="96"/>
      <c r="AG210" s="96"/>
      <c r="AH210" s="96"/>
      <c r="AI210" s="96"/>
      <c r="AJ210" s="96"/>
      <c r="AK210" s="96"/>
      <c r="AL210" s="96"/>
      <c r="AM210" s="96"/>
      <c r="AN210" s="96"/>
      <c r="AO210" s="96"/>
      <c r="AP210" s="96"/>
      <c r="AQ210" s="96"/>
      <c r="AR210" s="96"/>
    </row>
    <row r="211" spans="1:44" s="272" customFormat="1" ht="12" customHeight="1">
      <c r="A211" s="96"/>
      <c r="B211" s="96"/>
      <c r="C211" s="96"/>
      <c r="D211" s="96"/>
      <c r="E211" s="96"/>
      <c r="F211" s="96"/>
      <c r="G211" s="96"/>
      <c r="H211" s="96"/>
      <c r="I211" s="96"/>
      <c r="J211" s="96"/>
      <c r="K211" s="96"/>
      <c r="L211" s="96"/>
      <c r="M211" s="96"/>
      <c r="N211" s="96"/>
      <c r="O211" s="96"/>
      <c r="P211" s="643"/>
      <c r="Q211" s="644"/>
      <c r="R211" s="643"/>
      <c r="S211" s="295"/>
      <c r="X211" s="96"/>
      <c r="Y211" s="96"/>
      <c r="Z211" s="1255"/>
      <c r="AA211" s="96"/>
      <c r="AB211" s="96"/>
      <c r="AC211" s="96"/>
      <c r="AD211" s="96"/>
      <c r="AE211" s="96"/>
      <c r="AF211" s="96"/>
      <c r="AG211" s="96"/>
      <c r="AH211" s="96"/>
      <c r="AI211" s="96"/>
      <c r="AJ211" s="96"/>
      <c r="AK211" s="96"/>
      <c r="AL211" s="96"/>
      <c r="AM211" s="96"/>
      <c r="AN211" s="96"/>
      <c r="AO211" s="96"/>
      <c r="AP211" s="96"/>
      <c r="AQ211" s="96"/>
      <c r="AR211" s="96"/>
    </row>
    <row r="212" spans="1:44" s="272" customFormat="1" ht="12" customHeight="1">
      <c r="A212" s="96"/>
      <c r="B212" s="96"/>
      <c r="C212" s="96"/>
      <c r="D212" s="96"/>
      <c r="E212" s="96"/>
      <c r="F212" s="96"/>
      <c r="G212" s="96"/>
      <c r="H212" s="96"/>
      <c r="I212" s="96"/>
      <c r="J212" s="96"/>
      <c r="K212" s="96"/>
      <c r="L212" s="96"/>
      <c r="M212" s="96"/>
      <c r="N212" s="96"/>
      <c r="O212" s="96"/>
      <c r="P212" s="643"/>
      <c r="Q212" s="644"/>
      <c r="R212" s="643"/>
      <c r="S212" s="295"/>
      <c r="X212" s="96"/>
      <c r="Y212" s="96"/>
      <c r="Z212" s="1255"/>
      <c r="AA212" s="96"/>
      <c r="AB212" s="96"/>
      <c r="AC212" s="96"/>
      <c r="AD212" s="96"/>
      <c r="AE212" s="96"/>
      <c r="AF212" s="96"/>
      <c r="AG212" s="96"/>
      <c r="AH212" s="96"/>
      <c r="AI212" s="96"/>
      <c r="AJ212" s="96"/>
      <c r="AK212" s="96"/>
      <c r="AL212" s="96"/>
      <c r="AM212" s="96"/>
      <c r="AN212" s="96"/>
      <c r="AO212" s="96"/>
      <c r="AP212" s="96"/>
      <c r="AQ212" s="96"/>
      <c r="AR212" s="96"/>
    </row>
    <row r="213" spans="1:44" s="272" customFormat="1" ht="12" customHeight="1">
      <c r="A213" s="96"/>
      <c r="B213" s="96"/>
      <c r="C213" s="96"/>
      <c r="D213" s="96"/>
      <c r="E213" s="96"/>
      <c r="F213" s="96"/>
      <c r="G213" s="96"/>
      <c r="H213" s="96"/>
      <c r="I213" s="96"/>
      <c r="J213" s="96"/>
      <c r="K213" s="96"/>
      <c r="L213" s="96"/>
      <c r="M213" s="96"/>
      <c r="N213" s="96"/>
      <c r="O213" s="96"/>
      <c r="P213" s="643"/>
      <c r="Q213" s="642"/>
      <c r="R213" s="643"/>
      <c r="S213" s="295"/>
      <c r="X213" s="96"/>
      <c r="Y213" s="96"/>
      <c r="Z213" s="1255"/>
      <c r="AA213" s="96"/>
      <c r="AB213" s="96"/>
      <c r="AC213" s="96"/>
      <c r="AD213" s="96"/>
      <c r="AE213" s="96"/>
      <c r="AF213" s="96"/>
      <c r="AG213" s="96"/>
      <c r="AH213" s="96"/>
      <c r="AI213" s="96"/>
      <c r="AJ213" s="96"/>
      <c r="AK213" s="96"/>
      <c r="AL213" s="96"/>
      <c r="AM213" s="96"/>
      <c r="AN213" s="96"/>
      <c r="AO213" s="96"/>
      <c r="AP213" s="96"/>
      <c r="AQ213" s="96"/>
      <c r="AR213" s="96"/>
    </row>
    <row r="214" spans="1:44" s="272" customFormat="1" ht="12" customHeight="1">
      <c r="A214" s="96"/>
      <c r="B214" s="96"/>
      <c r="C214" s="96"/>
      <c r="D214" s="96"/>
      <c r="E214" s="96"/>
      <c r="F214" s="96"/>
      <c r="G214" s="96"/>
      <c r="H214" s="96"/>
      <c r="I214" s="96"/>
      <c r="J214" s="96"/>
      <c r="K214" s="96"/>
      <c r="L214" s="96"/>
      <c r="M214" s="96"/>
      <c r="N214" s="96"/>
      <c r="O214" s="96"/>
      <c r="P214" s="645"/>
      <c r="Q214" s="642"/>
      <c r="R214" s="643"/>
      <c r="S214" s="295"/>
      <c r="X214" s="96"/>
      <c r="Y214" s="96"/>
      <c r="Z214" s="1255"/>
      <c r="AA214" s="96"/>
      <c r="AB214" s="96"/>
      <c r="AC214" s="96"/>
      <c r="AD214" s="96"/>
      <c r="AE214" s="96"/>
      <c r="AF214" s="96"/>
      <c r="AG214" s="96"/>
      <c r="AH214" s="96"/>
      <c r="AI214" s="96"/>
      <c r="AJ214" s="96"/>
      <c r="AK214" s="96"/>
      <c r="AL214" s="96"/>
      <c r="AM214" s="96"/>
      <c r="AN214" s="96"/>
      <c r="AO214" s="96"/>
      <c r="AP214" s="96"/>
      <c r="AQ214" s="96"/>
      <c r="AR214" s="96"/>
    </row>
    <row r="215" spans="1:44" s="272" customFormat="1" ht="12" customHeight="1">
      <c r="A215" s="96"/>
      <c r="B215" s="96"/>
      <c r="C215" s="96"/>
      <c r="D215" s="96"/>
      <c r="E215" s="96"/>
      <c r="F215" s="96"/>
      <c r="G215" s="96"/>
      <c r="H215" s="96"/>
      <c r="I215" s="96"/>
      <c r="J215" s="96"/>
      <c r="K215" s="96"/>
      <c r="L215" s="96"/>
      <c r="M215" s="96"/>
      <c r="N215" s="96"/>
      <c r="O215" s="96"/>
      <c r="P215" s="643"/>
      <c r="Q215" s="642"/>
      <c r="R215" s="643"/>
      <c r="S215" s="295"/>
      <c r="X215" s="96"/>
      <c r="Y215" s="96"/>
      <c r="Z215" s="1255"/>
      <c r="AA215" s="96"/>
      <c r="AB215" s="96"/>
      <c r="AC215" s="96"/>
      <c r="AD215" s="96"/>
      <c r="AE215" s="96"/>
      <c r="AF215" s="96"/>
      <c r="AG215" s="96"/>
      <c r="AH215" s="96"/>
      <c r="AI215" s="96"/>
      <c r="AJ215" s="96"/>
      <c r="AK215" s="96"/>
      <c r="AL215" s="96"/>
      <c r="AM215" s="96"/>
      <c r="AN215" s="96"/>
      <c r="AO215" s="96"/>
      <c r="AP215" s="96"/>
      <c r="AQ215" s="96"/>
      <c r="AR215" s="96"/>
    </row>
    <row r="216" spans="1:44" s="272" customFormat="1" ht="12" customHeight="1">
      <c r="A216" s="96"/>
      <c r="B216" s="96"/>
      <c r="C216" s="96"/>
      <c r="D216" s="96"/>
      <c r="E216" s="96"/>
      <c r="F216" s="96"/>
      <c r="G216" s="96"/>
      <c r="H216" s="96"/>
      <c r="I216" s="96"/>
      <c r="J216" s="96"/>
      <c r="K216" s="96"/>
      <c r="L216" s="96"/>
      <c r="M216" s="96"/>
      <c r="N216" s="96"/>
      <c r="O216" s="96"/>
      <c r="P216" s="643"/>
      <c r="Q216" s="642"/>
      <c r="R216" s="643"/>
      <c r="S216" s="295"/>
      <c r="X216" s="96"/>
      <c r="Y216" s="96"/>
      <c r="Z216" s="1255"/>
      <c r="AA216" s="96"/>
      <c r="AB216" s="96"/>
      <c r="AC216" s="96"/>
      <c r="AD216" s="96"/>
      <c r="AE216" s="96"/>
      <c r="AF216" s="96"/>
      <c r="AG216" s="96"/>
      <c r="AH216" s="96"/>
      <c r="AI216" s="96"/>
      <c r="AJ216" s="96"/>
      <c r="AK216" s="96"/>
      <c r="AL216" s="96"/>
      <c r="AM216" s="96"/>
      <c r="AN216" s="96"/>
      <c r="AO216" s="96"/>
      <c r="AP216" s="96"/>
      <c r="AQ216" s="96"/>
      <c r="AR216" s="96"/>
    </row>
    <row r="217" spans="1:44" s="272" customFormat="1" ht="12" customHeight="1">
      <c r="A217" s="96"/>
      <c r="B217" s="96"/>
      <c r="C217" s="96"/>
      <c r="D217" s="96"/>
      <c r="E217" s="96"/>
      <c r="F217" s="96"/>
      <c r="G217" s="96"/>
      <c r="H217" s="96"/>
      <c r="I217" s="96"/>
      <c r="J217" s="96"/>
      <c r="K217" s="96"/>
      <c r="L217" s="96"/>
      <c r="M217" s="96"/>
      <c r="N217" s="96"/>
      <c r="O217" s="96"/>
      <c r="P217" s="643"/>
      <c r="Q217" s="642"/>
      <c r="R217" s="642"/>
      <c r="X217" s="96"/>
      <c r="Y217" s="96"/>
      <c r="Z217" s="1255"/>
      <c r="AA217" s="96"/>
      <c r="AB217" s="96"/>
      <c r="AC217" s="96"/>
      <c r="AD217" s="96"/>
      <c r="AE217" s="96"/>
      <c r="AF217" s="96"/>
      <c r="AG217" s="96"/>
      <c r="AH217" s="96"/>
      <c r="AI217" s="96"/>
      <c r="AJ217" s="96"/>
      <c r="AK217" s="96"/>
      <c r="AL217" s="96"/>
      <c r="AM217" s="96"/>
      <c r="AN217" s="96"/>
      <c r="AO217" s="96"/>
      <c r="AP217" s="96"/>
      <c r="AQ217" s="96"/>
      <c r="AR217" s="96"/>
    </row>
    <row r="218" spans="1:44" s="272" customFormat="1" ht="12" customHeight="1">
      <c r="A218" s="96"/>
      <c r="B218" s="96"/>
      <c r="C218" s="96"/>
      <c r="D218" s="96"/>
      <c r="E218" s="96"/>
      <c r="F218" s="96"/>
      <c r="G218" s="96"/>
      <c r="H218" s="96"/>
      <c r="I218" s="96"/>
      <c r="J218" s="96"/>
      <c r="K218" s="96"/>
      <c r="L218" s="96"/>
      <c r="M218" s="96"/>
      <c r="N218" s="96"/>
      <c r="O218" s="96"/>
      <c r="P218" s="643"/>
      <c r="Q218" s="642"/>
      <c r="R218" s="642"/>
      <c r="X218" s="96"/>
      <c r="Y218" s="96"/>
      <c r="Z218" s="1255"/>
      <c r="AA218" s="96"/>
      <c r="AB218" s="96"/>
      <c r="AC218" s="96"/>
      <c r="AD218" s="96"/>
      <c r="AE218" s="96"/>
      <c r="AF218" s="96"/>
      <c r="AG218" s="96"/>
      <c r="AH218" s="96"/>
      <c r="AI218" s="96"/>
      <c r="AJ218" s="96"/>
      <c r="AK218" s="96"/>
      <c r="AL218" s="96"/>
      <c r="AM218" s="96"/>
      <c r="AN218" s="96"/>
      <c r="AO218" s="96"/>
      <c r="AP218" s="96"/>
      <c r="AQ218" s="96"/>
      <c r="AR218" s="96"/>
    </row>
    <row r="219" spans="1:44" s="272" customFormat="1" ht="12" customHeight="1">
      <c r="A219" s="96"/>
      <c r="B219" s="96"/>
      <c r="C219" s="96"/>
      <c r="D219" s="96"/>
      <c r="E219" s="96"/>
      <c r="F219" s="96"/>
      <c r="G219" s="96"/>
      <c r="H219" s="96"/>
      <c r="I219" s="96"/>
      <c r="J219" s="96"/>
      <c r="K219" s="96"/>
      <c r="L219" s="96"/>
      <c r="M219" s="96"/>
      <c r="N219" s="96"/>
      <c r="O219" s="96"/>
      <c r="P219" s="643"/>
      <c r="Q219" s="642"/>
      <c r="R219" s="642"/>
      <c r="X219" s="96"/>
      <c r="Y219" s="96"/>
      <c r="Z219" s="1255"/>
      <c r="AA219" s="96"/>
      <c r="AB219" s="96"/>
      <c r="AC219" s="96"/>
      <c r="AD219" s="96"/>
      <c r="AE219" s="96"/>
      <c r="AF219" s="96"/>
      <c r="AG219" s="96"/>
      <c r="AH219" s="96"/>
      <c r="AI219" s="96"/>
      <c r="AJ219" s="96"/>
      <c r="AK219" s="96"/>
      <c r="AL219" s="96"/>
      <c r="AM219" s="96"/>
      <c r="AN219" s="96"/>
      <c r="AO219" s="96"/>
      <c r="AP219" s="96"/>
      <c r="AQ219" s="96"/>
      <c r="AR219" s="96"/>
    </row>
    <row r="220" spans="1:44" s="272" customFormat="1" ht="12" customHeight="1">
      <c r="A220" s="96"/>
      <c r="B220" s="96"/>
      <c r="C220" s="96"/>
      <c r="D220" s="96"/>
      <c r="E220" s="96"/>
      <c r="F220" s="96"/>
      <c r="G220" s="96"/>
      <c r="H220" s="96"/>
      <c r="I220" s="96"/>
      <c r="J220" s="96"/>
      <c r="K220" s="96"/>
      <c r="L220" s="96"/>
      <c r="M220" s="96"/>
      <c r="N220" s="96"/>
      <c r="O220" s="96"/>
      <c r="P220" s="643"/>
      <c r="Q220" s="642"/>
      <c r="R220" s="642"/>
      <c r="X220" s="96"/>
      <c r="Y220" s="96"/>
      <c r="Z220" s="1255"/>
      <c r="AA220" s="96"/>
      <c r="AB220" s="96"/>
      <c r="AC220" s="96"/>
      <c r="AD220" s="96"/>
      <c r="AE220" s="96"/>
      <c r="AF220" s="96"/>
      <c r="AG220" s="96"/>
      <c r="AH220" s="96"/>
      <c r="AI220" s="96"/>
      <c r="AJ220" s="96"/>
      <c r="AK220" s="96"/>
      <c r="AL220" s="96"/>
      <c r="AM220" s="96"/>
      <c r="AN220" s="96"/>
      <c r="AO220" s="96"/>
      <c r="AP220" s="96"/>
      <c r="AQ220" s="96"/>
      <c r="AR220" s="96"/>
    </row>
    <row r="221" spans="1:44" s="272" customFormat="1" ht="12" customHeight="1">
      <c r="A221" s="96"/>
      <c r="B221" s="96"/>
      <c r="C221" s="96"/>
      <c r="D221" s="96"/>
      <c r="E221" s="96"/>
      <c r="F221" s="96"/>
      <c r="G221" s="96"/>
      <c r="H221" s="96"/>
      <c r="I221" s="96"/>
      <c r="J221" s="96"/>
      <c r="K221" s="96"/>
      <c r="L221" s="96"/>
      <c r="M221" s="96"/>
      <c r="N221" s="96"/>
      <c r="O221" s="96"/>
      <c r="P221" s="645"/>
      <c r="Q221" s="642"/>
      <c r="R221" s="642"/>
      <c r="X221" s="96"/>
      <c r="Y221" s="96"/>
      <c r="Z221" s="1255"/>
      <c r="AA221" s="96"/>
      <c r="AB221" s="96"/>
      <c r="AC221" s="96"/>
      <c r="AD221" s="96"/>
      <c r="AE221" s="96"/>
      <c r="AF221" s="96"/>
      <c r="AG221" s="96"/>
      <c r="AH221" s="96"/>
      <c r="AI221" s="96"/>
      <c r="AJ221" s="96"/>
      <c r="AK221" s="96"/>
      <c r="AL221" s="96"/>
      <c r="AM221" s="96"/>
      <c r="AN221" s="96"/>
      <c r="AO221" s="96"/>
      <c r="AP221" s="96"/>
      <c r="AQ221" s="96"/>
      <c r="AR221" s="96"/>
    </row>
    <row r="222" spans="1:44" s="272" customFormat="1" ht="12" customHeight="1">
      <c r="A222" s="96"/>
      <c r="B222" s="96"/>
      <c r="C222" s="96"/>
      <c r="D222" s="96"/>
      <c r="E222" s="96"/>
      <c r="F222" s="96"/>
      <c r="G222" s="96"/>
      <c r="H222" s="96"/>
      <c r="I222" s="96"/>
      <c r="J222" s="96"/>
      <c r="K222" s="96"/>
      <c r="L222" s="96"/>
      <c r="M222" s="96"/>
      <c r="N222" s="96"/>
      <c r="O222" s="96"/>
      <c r="P222" s="643"/>
      <c r="Q222" s="642"/>
      <c r="R222" s="642"/>
      <c r="X222" s="96"/>
      <c r="Y222" s="96"/>
      <c r="Z222" s="1255"/>
      <c r="AA222" s="96"/>
      <c r="AB222" s="96"/>
      <c r="AC222" s="96"/>
      <c r="AD222" s="96"/>
      <c r="AE222" s="96"/>
      <c r="AF222" s="96"/>
      <c r="AG222" s="96"/>
      <c r="AH222" s="96"/>
      <c r="AI222" s="96"/>
      <c r="AJ222" s="96"/>
      <c r="AK222" s="96"/>
      <c r="AL222" s="96"/>
      <c r="AM222" s="96"/>
      <c r="AN222" s="96"/>
      <c r="AO222" s="96"/>
      <c r="AP222" s="96"/>
      <c r="AQ222" s="96"/>
      <c r="AR222" s="96"/>
    </row>
    <row r="223" spans="1:44" s="272" customFormat="1" ht="12" customHeight="1">
      <c r="A223" s="96"/>
      <c r="B223" s="96"/>
      <c r="C223" s="96"/>
      <c r="D223" s="96"/>
      <c r="E223" s="96"/>
      <c r="F223" s="96"/>
      <c r="G223" s="96"/>
      <c r="H223" s="96"/>
      <c r="I223" s="96"/>
      <c r="J223" s="96"/>
      <c r="K223" s="96"/>
      <c r="L223" s="96"/>
      <c r="M223" s="96"/>
      <c r="N223" s="96"/>
      <c r="O223" s="96"/>
      <c r="P223" s="643"/>
      <c r="Q223" s="642"/>
      <c r="R223" s="642"/>
      <c r="X223" s="96"/>
      <c r="Y223" s="96"/>
      <c r="Z223" s="1255"/>
      <c r="AA223" s="96"/>
      <c r="AB223" s="96"/>
      <c r="AC223" s="96"/>
      <c r="AD223" s="96"/>
      <c r="AE223" s="96"/>
      <c r="AF223" s="96"/>
      <c r="AG223" s="96"/>
      <c r="AH223" s="96"/>
      <c r="AI223" s="96"/>
      <c r="AJ223" s="96"/>
      <c r="AK223" s="96"/>
      <c r="AL223" s="96"/>
      <c r="AM223" s="96"/>
      <c r="AN223" s="96"/>
      <c r="AO223" s="96"/>
      <c r="AP223" s="96"/>
      <c r="AQ223" s="96"/>
      <c r="AR223" s="96"/>
    </row>
    <row r="224" spans="1:44" s="272" customFormat="1" ht="12" customHeight="1">
      <c r="A224" s="96"/>
      <c r="B224" s="96"/>
      <c r="C224" s="96"/>
      <c r="D224" s="96"/>
      <c r="E224" s="96"/>
      <c r="F224" s="96"/>
      <c r="G224" s="96"/>
      <c r="H224" s="96"/>
      <c r="I224" s="96"/>
      <c r="J224" s="96"/>
      <c r="K224" s="96"/>
      <c r="L224" s="96"/>
      <c r="M224" s="96"/>
      <c r="N224" s="96"/>
      <c r="O224" s="96"/>
      <c r="P224" s="643"/>
      <c r="Q224" s="642"/>
      <c r="R224" s="642"/>
      <c r="X224" s="96"/>
      <c r="Y224" s="96"/>
      <c r="Z224" s="1255"/>
      <c r="AA224" s="96"/>
      <c r="AB224" s="96"/>
      <c r="AC224" s="96"/>
      <c r="AD224" s="96"/>
      <c r="AE224" s="96"/>
      <c r="AF224" s="96"/>
      <c r="AG224" s="96"/>
      <c r="AH224" s="96"/>
      <c r="AI224" s="96"/>
      <c r="AJ224" s="96"/>
      <c r="AK224" s="96"/>
      <c r="AL224" s="96"/>
      <c r="AM224" s="96"/>
      <c r="AN224" s="96"/>
      <c r="AO224" s="96"/>
      <c r="AP224" s="96"/>
      <c r="AQ224" s="96"/>
      <c r="AR224" s="96"/>
    </row>
    <row r="225" spans="1:44" s="272" customFormat="1" ht="12" customHeight="1">
      <c r="A225" s="96"/>
      <c r="B225" s="96"/>
      <c r="C225" s="96"/>
      <c r="D225" s="96"/>
      <c r="E225" s="96"/>
      <c r="F225" s="96"/>
      <c r="G225" s="96"/>
      <c r="H225" s="96"/>
      <c r="I225" s="96"/>
      <c r="J225" s="96"/>
      <c r="K225" s="96"/>
      <c r="L225" s="96"/>
      <c r="M225" s="96"/>
      <c r="N225" s="96"/>
      <c r="O225" s="96"/>
      <c r="P225" s="643"/>
      <c r="Q225" s="642"/>
      <c r="R225" s="642"/>
      <c r="X225" s="96"/>
      <c r="Y225" s="96"/>
      <c r="Z225" s="1255"/>
      <c r="AA225" s="96"/>
      <c r="AB225" s="96"/>
      <c r="AC225" s="96"/>
      <c r="AD225" s="96"/>
      <c r="AE225" s="96"/>
      <c r="AF225" s="96"/>
      <c r="AG225" s="96"/>
      <c r="AH225" s="96"/>
      <c r="AI225" s="96"/>
      <c r="AJ225" s="96"/>
      <c r="AK225" s="96"/>
      <c r="AL225" s="96"/>
      <c r="AM225" s="96"/>
      <c r="AN225" s="96"/>
      <c r="AO225" s="96"/>
      <c r="AP225" s="96"/>
      <c r="AQ225" s="96"/>
      <c r="AR225" s="96"/>
    </row>
    <row r="226" spans="1:44" s="272" customFormat="1" ht="12" customHeight="1">
      <c r="A226" s="96"/>
      <c r="B226" s="96"/>
      <c r="C226" s="96"/>
      <c r="D226" s="96"/>
      <c r="E226" s="96"/>
      <c r="F226" s="96"/>
      <c r="G226" s="96"/>
      <c r="H226" s="96"/>
      <c r="I226" s="96"/>
      <c r="J226" s="96"/>
      <c r="K226" s="96"/>
      <c r="L226" s="96"/>
      <c r="M226" s="96"/>
      <c r="N226" s="96"/>
      <c r="O226" s="96"/>
      <c r="P226" s="643"/>
      <c r="Q226" s="642"/>
      <c r="R226" s="642"/>
      <c r="X226" s="96"/>
      <c r="Y226" s="96"/>
      <c r="Z226" s="1255"/>
      <c r="AA226" s="96"/>
      <c r="AB226" s="96"/>
      <c r="AC226" s="96"/>
      <c r="AD226" s="96"/>
      <c r="AE226" s="96"/>
      <c r="AF226" s="96"/>
      <c r="AG226" s="96"/>
      <c r="AH226" s="96"/>
      <c r="AI226" s="96"/>
      <c r="AJ226" s="96"/>
      <c r="AK226" s="96"/>
      <c r="AL226" s="96"/>
      <c r="AM226" s="96"/>
      <c r="AN226" s="96"/>
      <c r="AO226" s="96"/>
      <c r="AP226" s="96"/>
      <c r="AQ226" s="96"/>
      <c r="AR226" s="96"/>
    </row>
    <row r="227" spans="1:44" s="272" customFormat="1" ht="12" customHeight="1">
      <c r="A227" s="96"/>
      <c r="B227" s="96"/>
      <c r="C227" s="96"/>
      <c r="D227" s="96"/>
      <c r="E227" s="96"/>
      <c r="F227" s="96"/>
      <c r="G227" s="96"/>
      <c r="H227" s="96"/>
      <c r="I227" s="96"/>
      <c r="J227" s="96"/>
      <c r="K227" s="96"/>
      <c r="L227" s="96"/>
      <c r="M227" s="96"/>
      <c r="N227" s="96"/>
      <c r="O227" s="96"/>
      <c r="P227" s="643"/>
      <c r="Q227" s="642"/>
      <c r="R227" s="642"/>
      <c r="X227" s="96"/>
      <c r="Y227" s="96"/>
      <c r="Z227" s="1255"/>
      <c r="AA227" s="96"/>
      <c r="AB227" s="96"/>
      <c r="AC227" s="96"/>
      <c r="AD227" s="96"/>
      <c r="AE227" s="96"/>
      <c r="AF227" s="96"/>
      <c r="AG227" s="96"/>
      <c r="AH227" s="96"/>
      <c r="AI227" s="96"/>
      <c r="AJ227" s="96"/>
      <c r="AK227" s="96"/>
      <c r="AL227" s="96"/>
      <c r="AM227" s="96"/>
      <c r="AN227" s="96"/>
      <c r="AO227" s="96"/>
      <c r="AP227" s="96"/>
      <c r="AQ227" s="96"/>
      <c r="AR227" s="96"/>
    </row>
    <row r="228" spans="1:44" s="272" customFormat="1" ht="12" customHeight="1">
      <c r="A228" s="96"/>
      <c r="B228" s="96"/>
      <c r="C228" s="96"/>
      <c r="D228" s="96"/>
      <c r="E228" s="96"/>
      <c r="F228" s="96"/>
      <c r="G228" s="96"/>
      <c r="H228" s="96"/>
      <c r="I228" s="96"/>
      <c r="J228" s="96"/>
      <c r="K228" s="96"/>
      <c r="L228" s="96"/>
      <c r="M228" s="96"/>
      <c r="N228" s="96"/>
      <c r="O228" s="96"/>
      <c r="P228" s="643"/>
      <c r="Q228" s="642"/>
      <c r="R228" s="642"/>
      <c r="X228" s="96"/>
      <c r="Y228" s="96"/>
      <c r="Z228" s="1255"/>
      <c r="AA228" s="96"/>
      <c r="AB228" s="96"/>
      <c r="AC228" s="96"/>
      <c r="AD228" s="96"/>
      <c r="AE228" s="96"/>
      <c r="AF228" s="96"/>
      <c r="AG228" s="96"/>
      <c r="AH228" s="96"/>
      <c r="AI228" s="96"/>
      <c r="AJ228" s="96"/>
      <c r="AK228" s="96"/>
      <c r="AL228" s="96"/>
      <c r="AM228" s="96"/>
      <c r="AN228" s="96"/>
      <c r="AO228" s="96"/>
      <c r="AP228" s="96"/>
      <c r="AQ228" s="96"/>
      <c r="AR228" s="96"/>
    </row>
    <row r="229" spans="1:44" s="272" customFormat="1" ht="12" customHeight="1">
      <c r="A229" s="96"/>
      <c r="B229" s="96"/>
      <c r="C229" s="96"/>
      <c r="D229" s="96"/>
      <c r="E229" s="96"/>
      <c r="F229" s="96"/>
      <c r="G229" s="96"/>
      <c r="H229" s="96"/>
      <c r="I229" s="96"/>
      <c r="J229" s="96"/>
      <c r="K229" s="96"/>
      <c r="L229" s="96"/>
      <c r="M229" s="96"/>
      <c r="N229" s="96"/>
      <c r="O229" s="96"/>
      <c r="P229" s="645"/>
      <c r="Q229" s="642"/>
      <c r="R229" s="642"/>
      <c r="X229" s="96"/>
      <c r="Y229" s="96"/>
      <c r="Z229" s="1255"/>
      <c r="AA229" s="96"/>
      <c r="AB229" s="96"/>
      <c r="AC229" s="96"/>
      <c r="AD229" s="96"/>
      <c r="AE229" s="96"/>
      <c r="AF229" s="96"/>
      <c r="AG229" s="96"/>
      <c r="AH229" s="96"/>
      <c r="AI229" s="96"/>
      <c r="AJ229" s="96"/>
      <c r="AK229" s="96"/>
      <c r="AL229" s="96"/>
      <c r="AM229" s="96"/>
      <c r="AN229" s="96"/>
      <c r="AO229" s="96"/>
      <c r="AP229" s="96"/>
      <c r="AQ229" s="96"/>
      <c r="AR229" s="96"/>
    </row>
    <row r="230" spans="1:44" s="272" customFormat="1" ht="12" customHeight="1">
      <c r="A230" s="96"/>
      <c r="B230" s="96"/>
      <c r="C230" s="96"/>
      <c r="D230" s="96"/>
      <c r="E230" s="96"/>
      <c r="F230" s="96"/>
      <c r="G230" s="96"/>
      <c r="H230" s="96"/>
      <c r="I230" s="96"/>
      <c r="J230" s="96"/>
      <c r="K230" s="96"/>
      <c r="L230" s="96"/>
      <c r="M230" s="96"/>
      <c r="N230" s="96"/>
      <c r="O230" s="96"/>
      <c r="P230" s="645"/>
      <c r="Q230" s="642"/>
      <c r="R230" s="642"/>
      <c r="X230" s="96"/>
      <c r="Y230" s="96"/>
      <c r="Z230" s="1255"/>
      <c r="AA230" s="96"/>
      <c r="AB230" s="96"/>
      <c r="AC230" s="96"/>
      <c r="AD230" s="96"/>
      <c r="AE230" s="96"/>
      <c r="AF230" s="96"/>
      <c r="AG230" s="96"/>
      <c r="AH230" s="96"/>
      <c r="AI230" s="96"/>
      <c r="AJ230" s="96"/>
      <c r="AK230" s="96"/>
      <c r="AL230" s="96"/>
      <c r="AM230" s="96"/>
      <c r="AN230" s="96"/>
      <c r="AO230" s="96"/>
      <c r="AP230" s="96"/>
      <c r="AQ230" s="96"/>
      <c r="AR230" s="96"/>
    </row>
    <row r="231" spans="1:44" s="272" customFormat="1" ht="12" customHeight="1">
      <c r="A231" s="96"/>
      <c r="B231" s="96"/>
      <c r="C231" s="96"/>
      <c r="D231" s="96"/>
      <c r="E231" s="96"/>
      <c r="F231" s="96"/>
      <c r="G231" s="96"/>
      <c r="H231" s="96"/>
      <c r="I231" s="96"/>
      <c r="J231" s="96"/>
      <c r="K231" s="96"/>
      <c r="L231" s="96"/>
      <c r="M231" s="96"/>
      <c r="N231" s="96"/>
      <c r="O231" s="96"/>
      <c r="P231" s="643"/>
      <c r="Q231" s="642"/>
      <c r="R231" s="642"/>
      <c r="X231" s="96"/>
      <c r="Y231" s="96"/>
      <c r="Z231" s="1255"/>
      <c r="AA231" s="96"/>
      <c r="AB231" s="96"/>
      <c r="AC231" s="96"/>
      <c r="AD231" s="96"/>
      <c r="AE231" s="96"/>
      <c r="AF231" s="96"/>
      <c r="AG231" s="96"/>
      <c r="AH231" s="96"/>
      <c r="AI231" s="96"/>
      <c r="AJ231" s="96"/>
      <c r="AK231" s="96"/>
      <c r="AL231" s="96"/>
      <c r="AM231" s="96"/>
      <c r="AN231" s="96"/>
      <c r="AO231" s="96"/>
      <c r="AP231" s="96"/>
      <c r="AQ231" s="96"/>
      <c r="AR231" s="96"/>
    </row>
    <row r="232" spans="1:44" s="272" customFormat="1" ht="12" customHeight="1">
      <c r="A232" s="96"/>
      <c r="B232" s="96"/>
      <c r="C232" s="96"/>
      <c r="D232" s="96"/>
      <c r="E232" s="96"/>
      <c r="F232" s="96"/>
      <c r="G232" s="96"/>
      <c r="H232" s="96"/>
      <c r="I232" s="96"/>
      <c r="J232" s="96"/>
      <c r="K232" s="96"/>
      <c r="L232" s="96"/>
      <c r="M232" s="96"/>
      <c r="N232" s="96"/>
      <c r="O232" s="96"/>
      <c r="P232" s="643"/>
      <c r="Q232" s="642"/>
      <c r="R232" s="642"/>
      <c r="X232" s="96"/>
      <c r="Y232" s="96"/>
      <c r="Z232" s="1255"/>
      <c r="AA232" s="96"/>
      <c r="AB232" s="96"/>
      <c r="AC232" s="96"/>
      <c r="AD232" s="96"/>
      <c r="AE232" s="96"/>
      <c r="AF232" s="96"/>
      <c r="AG232" s="96"/>
      <c r="AH232" s="96"/>
      <c r="AI232" s="96"/>
      <c r="AJ232" s="96"/>
      <c r="AK232" s="96"/>
      <c r="AL232" s="96"/>
      <c r="AM232" s="96"/>
      <c r="AN232" s="96"/>
      <c r="AO232" s="96"/>
      <c r="AP232" s="96"/>
      <c r="AQ232" s="96"/>
      <c r="AR232" s="96"/>
    </row>
    <row r="233" spans="1:44" s="272" customFormat="1" ht="12" customHeight="1">
      <c r="A233" s="96"/>
      <c r="B233" s="96"/>
      <c r="C233" s="96"/>
      <c r="D233" s="96"/>
      <c r="E233" s="96"/>
      <c r="F233" s="96"/>
      <c r="G233" s="96"/>
      <c r="H233" s="96"/>
      <c r="I233" s="96"/>
      <c r="J233" s="96"/>
      <c r="K233" s="96"/>
      <c r="L233" s="96"/>
      <c r="M233" s="96"/>
      <c r="N233" s="96"/>
      <c r="O233" s="96"/>
      <c r="P233" s="643"/>
      <c r="Q233" s="642"/>
      <c r="R233" s="642"/>
      <c r="X233" s="96"/>
      <c r="Y233" s="96"/>
      <c r="Z233" s="1255"/>
      <c r="AA233" s="96"/>
      <c r="AB233" s="96"/>
      <c r="AC233" s="96"/>
      <c r="AD233" s="96"/>
      <c r="AE233" s="96"/>
      <c r="AF233" s="96"/>
      <c r="AG233" s="96"/>
      <c r="AH233" s="96"/>
      <c r="AI233" s="96"/>
      <c r="AJ233" s="96"/>
      <c r="AK233" s="96"/>
      <c r="AL233" s="96"/>
      <c r="AM233" s="96"/>
      <c r="AN233" s="96"/>
      <c r="AO233" s="96"/>
      <c r="AP233" s="96"/>
      <c r="AQ233" s="96"/>
      <c r="AR233" s="96"/>
    </row>
    <row r="234" spans="1:44" s="272" customFormat="1" ht="12" customHeight="1">
      <c r="A234" s="96"/>
      <c r="B234" s="96"/>
      <c r="C234" s="96"/>
      <c r="D234" s="96"/>
      <c r="E234" s="96"/>
      <c r="F234" s="96"/>
      <c r="G234" s="96"/>
      <c r="H234" s="96"/>
      <c r="I234" s="96"/>
      <c r="J234" s="96"/>
      <c r="K234" s="96"/>
      <c r="L234" s="96"/>
      <c r="M234" s="96"/>
      <c r="N234" s="96"/>
      <c r="O234" s="96"/>
      <c r="P234" s="643"/>
      <c r="Q234" s="642"/>
      <c r="R234" s="642"/>
      <c r="X234" s="96"/>
      <c r="Y234" s="96"/>
      <c r="Z234" s="1255"/>
      <c r="AA234" s="96"/>
      <c r="AB234" s="96"/>
      <c r="AC234" s="96"/>
      <c r="AD234" s="96"/>
      <c r="AE234" s="96"/>
      <c r="AF234" s="96"/>
      <c r="AG234" s="96"/>
      <c r="AH234" s="96"/>
      <c r="AI234" s="96"/>
      <c r="AJ234" s="96"/>
      <c r="AK234" s="96"/>
      <c r="AL234" s="96"/>
      <c r="AM234" s="96"/>
      <c r="AN234" s="96"/>
      <c r="AO234" s="96"/>
      <c r="AP234" s="96"/>
      <c r="AQ234" s="96"/>
      <c r="AR234" s="96"/>
    </row>
    <row r="235" spans="1:44" s="272" customFormat="1" ht="12" customHeight="1">
      <c r="A235" s="96"/>
      <c r="B235" s="96"/>
      <c r="C235" s="96"/>
      <c r="D235" s="96"/>
      <c r="E235" s="96"/>
      <c r="F235" s="96"/>
      <c r="G235" s="96"/>
      <c r="H235" s="96"/>
      <c r="I235" s="96"/>
      <c r="J235" s="96"/>
      <c r="K235" s="96"/>
      <c r="L235" s="96"/>
      <c r="M235" s="96"/>
      <c r="N235" s="96"/>
      <c r="O235" s="96"/>
      <c r="P235" s="643"/>
      <c r="Q235" s="642"/>
      <c r="R235" s="642"/>
      <c r="X235" s="96"/>
      <c r="Y235" s="96"/>
      <c r="Z235" s="1255"/>
      <c r="AA235" s="96"/>
      <c r="AB235" s="96"/>
      <c r="AC235" s="96"/>
      <c r="AD235" s="96"/>
      <c r="AE235" s="96"/>
      <c r="AF235" s="96"/>
      <c r="AG235" s="96"/>
      <c r="AH235" s="96"/>
      <c r="AI235" s="96"/>
      <c r="AJ235" s="96"/>
      <c r="AK235" s="96"/>
      <c r="AL235" s="96"/>
      <c r="AM235" s="96"/>
      <c r="AN235" s="96"/>
      <c r="AO235" s="96"/>
      <c r="AP235" s="96"/>
      <c r="AQ235" s="96"/>
      <c r="AR235" s="96"/>
    </row>
    <row r="236" spans="1:44" s="272" customFormat="1" ht="12" customHeight="1">
      <c r="A236" s="96"/>
      <c r="B236" s="96"/>
      <c r="C236" s="96"/>
      <c r="D236" s="96"/>
      <c r="E236" s="96"/>
      <c r="F236" s="96"/>
      <c r="G236" s="96"/>
      <c r="H236" s="96"/>
      <c r="I236" s="96"/>
      <c r="J236" s="96"/>
      <c r="K236" s="96"/>
      <c r="L236" s="96"/>
      <c r="M236" s="96"/>
      <c r="N236" s="96"/>
      <c r="O236" s="96"/>
      <c r="P236" s="643"/>
      <c r="Q236" s="642"/>
      <c r="R236" s="642"/>
      <c r="X236" s="96"/>
      <c r="Y236" s="96"/>
      <c r="Z236" s="1255"/>
      <c r="AA236" s="96"/>
      <c r="AB236" s="96"/>
      <c r="AC236" s="96"/>
      <c r="AD236" s="96"/>
      <c r="AE236" s="96"/>
      <c r="AF236" s="96"/>
      <c r="AG236" s="96"/>
      <c r="AH236" s="96"/>
      <c r="AI236" s="96"/>
      <c r="AJ236" s="96"/>
      <c r="AK236" s="96"/>
      <c r="AL236" s="96"/>
      <c r="AM236" s="96"/>
      <c r="AN236" s="96"/>
      <c r="AO236" s="96"/>
      <c r="AP236" s="96"/>
      <c r="AQ236" s="96"/>
      <c r="AR236" s="96"/>
    </row>
    <row r="237" spans="1:44" s="272" customFormat="1" ht="12" customHeight="1">
      <c r="A237" s="96"/>
      <c r="B237" s="96"/>
      <c r="C237" s="96"/>
      <c r="D237" s="96"/>
      <c r="E237" s="96"/>
      <c r="F237" s="96"/>
      <c r="G237" s="96"/>
      <c r="H237" s="96"/>
      <c r="I237" s="96"/>
      <c r="J237" s="96"/>
      <c r="K237" s="96"/>
      <c r="L237" s="96"/>
      <c r="M237" s="96"/>
      <c r="N237" s="96"/>
      <c r="O237" s="96"/>
      <c r="P237" s="643"/>
      <c r="Q237" s="642"/>
      <c r="R237" s="642"/>
      <c r="X237" s="96"/>
      <c r="Y237" s="96"/>
      <c r="Z237" s="1255"/>
      <c r="AA237" s="96"/>
      <c r="AB237" s="96"/>
      <c r="AC237" s="96"/>
      <c r="AD237" s="96"/>
      <c r="AE237" s="96"/>
      <c r="AF237" s="96"/>
      <c r="AG237" s="96"/>
      <c r="AH237" s="96"/>
      <c r="AI237" s="96"/>
      <c r="AJ237" s="96"/>
      <c r="AK237" s="96"/>
      <c r="AL237" s="96"/>
      <c r="AM237" s="96"/>
      <c r="AN237" s="96"/>
      <c r="AO237" s="96"/>
      <c r="AP237" s="96"/>
      <c r="AQ237" s="96"/>
      <c r="AR237" s="96"/>
    </row>
    <row r="238" spans="1:44" s="272" customFormat="1" ht="12" customHeight="1">
      <c r="A238" s="96"/>
      <c r="B238" s="96"/>
      <c r="C238" s="96"/>
      <c r="D238" s="96"/>
      <c r="E238" s="96"/>
      <c r="F238" s="96"/>
      <c r="G238" s="96"/>
      <c r="H238" s="96"/>
      <c r="I238" s="96"/>
      <c r="J238" s="96"/>
      <c r="K238" s="96"/>
      <c r="L238" s="96"/>
      <c r="M238" s="96"/>
      <c r="N238" s="96"/>
      <c r="O238" s="96"/>
      <c r="P238" s="643"/>
      <c r="Q238" s="642"/>
      <c r="R238" s="642"/>
      <c r="X238" s="96"/>
      <c r="Y238" s="96"/>
      <c r="Z238" s="1255"/>
      <c r="AA238" s="96"/>
      <c r="AB238" s="96"/>
      <c r="AC238" s="96"/>
      <c r="AD238" s="96"/>
      <c r="AE238" s="96"/>
      <c r="AF238" s="96"/>
      <c r="AG238" s="96"/>
      <c r="AH238" s="96"/>
      <c r="AI238" s="96"/>
      <c r="AJ238" s="96"/>
      <c r="AK238" s="96"/>
      <c r="AL238" s="96"/>
      <c r="AM238" s="96"/>
      <c r="AN238" s="96"/>
      <c r="AO238" s="96"/>
      <c r="AP238" s="96"/>
      <c r="AQ238" s="96"/>
      <c r="AR238" s="96"/>
    </row>
    <row r="239" spans="1:44" s="272" customFormat="1" ht="12" customHeight="1">
      <c r="A239" s="96"/>
      <c r="B239" s="642"/>
      <c r="C239" s="642"/>
      <c r="D239" s="642"/>
      <c r="E239" s="642"/>
      <c r="F239" s="642"/>
      <c r="G239" s="642"/>
      <c r="H239" s="642"/>
      <c r="I239" s="642"/>
      <c r="J239" s="642"/>
      <c r="K239" s="642"/>
      <c r="L239" s="642"/>
      <c r="M239" s="642"/>
      <c r="N239" s="642"/>
      <c r="O239" s="642"/>
      <c r="P239" s="643"/>
      <c r="Q239" s="642"/>
      <c r="R239" s="642"/>
      <c r="X239" s="96"/>
      <c r="Y239" s="96"/>
      <c r="Z239" s="1255"/>
      <c r="AA239" s="96"/>
      <c r="AB239" s="96"/>
      <c r="AC239" s="96"/>
      <c r="AD239" s="96"/>
      <c r="AE239" s="96"/>
      <c r="AF239" s="96"/>
      <c r="AG239" s="96"/>
      <c r="AH239" s="96"/>
      <c r="AI239" s="96"/>
      <c r="AJ239" s="96"/>
      <c r="AK239" s="96"/>
      <c r="AL239" s="96"/>
      <c r="AM239" s="96"/>
      <c r="AN239" s="96"/>
      <c r="AO239" s="96"/>
      <c r="AP239" s="96"/>
      <c r="AQ239" s="96"/>
      <c r="AR239" s="96"/>
    </row>
    <row r="240" spans="1:44" s="272" customFormat="1" ht="12" customHeight="1">
      <c r="A240" s="96"/>
      <c r="B240" s="642"/>
      <c r="C240" s="642"/>
      <c r="D240" s="642"/>
      <c r="E240" s="642"/>
      <c r="F240" s="642"/>
      <c r="G240" s="642"/>
      <c r="H240" s="642"/>
      <c r="I240" s="642"/>
      <c r="J240" s="642"/>
      <c r="K240" s="642"/>
      <c r="L240" s="642"/>
      <c r="M240" s="642"/>
      <c r="N240" s="642"/>
      <c r="O240" s="642"/>
      <c r="P240" s="643"/>
      <c r="Q240" s="642"/>
      <c r="R240" s="642"/>
      <c r="X240" s="96"/>
      <c r="Y240" s="96"/>
      <c r="Z240" s="1255"/>
      <c r="AA240" s="96"/>
      <c r="AB240" s="96"/>
      <c r="AC240" s="96"/>
      <c r="AD240" s="96"/>
      <c r="AE240" s="96"/>
      <c r="AF240" s="96"/>
      <c r="AG240" s="96"/>
      <c r="AH240" s="96"/>
      <c r="AI240" s="96"/>
      <c r="AJ240" s="96"/>
      <c r="AK240" s="96"/>
      <c r="AL240" s="96"/>
      <c r="AM240" s="96"/>
      <c r="AN240" s="96"/>
      <c r="AO240" s="96"/>
      <c r="AP240" s="96"/>
      <c r="AQ240" s="96"/>
      <c r="AR240" s="96"/>
    </row>
    <row r="241" spans="1:44" s="272" customFormat="1" ht="12" customHeight="1">
      <c r="A241" s="96"/>
      <c r="B241" s="642"/>
      <c r="C241" s="642"/>
      <c r="D241" s="642"/>
      <c r="E241" s="642"/>
      <c r="F241" s="642"/>
      <c r="G241" s="642"/>
      <c r="H241" s="642"/>
      <c r="I241" s="642"/>
      <c r="J241" s="642"/>
      <c r="K241" s="642"/>
      <c r="L241" s="642"/>
      <c r="M241" s="642"/>
      <c r="N241" s="642"/>
      <c r="O241" s="642"/>
      <c r="P241" s="643"/>
      <c r="Q241" s="642"/>
      <c r="R241" s="642"/>
      <c r="X241" s="96"/>
      <c r="Y241" s="96"/>
      <c r="Z241" s="1255"/>
      <c r="AA241" s="96"/>
      <c r="AB241" s="96"/>
      <c r="AC241" s="96"/>
      <c r="AD241" s="96"/>
      <c r="AE241" s="96"/>
      <c r="AF241" s="96"/>
      <c r="AG241" s="96"/>
      <c r="AH241" s="96"/>
      <c r="AI241" s="96"/>
      <c r="AJ241" s="96"/>
      <c r="AK241" s="96"/>
      <c r="AL241" s="96"/>
      <c r="AM241" s="96"/>
      <c r="AN241" s="96"/>
      <c r="AO241" s="96"/>
      <c r="AP241" s="96"/>
      <c r="AQ241" s="96"/>
      <c r="AR241" s="96"/>
    </row>
    <row r="242" spans="1:44" s="272" customFormat="1" ht="12" customHeight="1">
      <c r="A242" s="96"/>
      <c r="B242" s="642"/>
      <c r="C242" s="642"/>
      <c r="D242" s="642"/>
      <c r="E242" s="642"/>
      <c r="F242" s="642"/>
      <c r="G242" s="642"/>
      <c r="H242" s="642"/>
      <c r="I242" s="642"/>
      <c r="J242" s="642"/>
      <c r="K242" s="642"/>
      <c r="L242" s="642"/>
      <c r="M242" s="642"/>
      <c r="N242" s="642"/>
      <c r="O242" s="642"/>
      <c r="P242" s="643"/>
      <c r="Q242" s="642"/>
      <c r="R242" s="642"/>
      <c r="X242" s="96"/>
      <c r="Y242" s="96"/>
      <c r="Z242" s="1255"/>
      <c r="AA242" s="96"/>
      <c r="AB242" s="96"/>
      <c r="AC242" s="96"/>
      <c r="AD242" s="96"/>
      <c r="AE242" s="96"/>
      <c r="AF242" s="96"/>
      <c r="AG242" s="96"/>
      <c r="AH242" s="96"/>
      <c r="AI242" s="96"/>
      <c r="AJ242" s="96"/>
      <c r="AK242" s="96"/>
      <c r="AL242" s="96"/>
      <c r="AM242" s="96"/>
      <c r="AN242" s="96"/>
      <c r="AO242" s="96"/>
      <c r="AP242" s="96"/>
      <c r="AQ242" s="96"/>
      <c r="AR242" s="96"/>
    </row>
    <row r="243" spans="1:44" s="272" customFormat="1" ht="12" customHeight="1">
      <c r="A243" s="96"/>
      <c r="B243" s="642"/>
      <c r="C243" s="642"/>
      <c r="D243" s="642"/>
      <c r="E243" s="642"/>
      <c r="F243" s="642"/>
      <c r="G243" s="642"/>
      <c r="H243" s="642"/>
      <c r="I243" s="642"/>
      <c r="J243" s="642"/>
      <c r="K243" s="642"/>
      <c r="L243" s="642"/>
      <c r="M243" s="642"/>
      <c r="N243" s="642"/>
      <c r="O243" s="642"/>
      <c r="P243" s="643"/>
      <c r="Q243" s="642"/>
      <c r="R243" s="642"/>
      <c r="X243" s="96"/>
      <c r="Y243" s="96"/>
      <c r="Z243" s="1255"/>
      <c r="AA243" s="96"/>
      <c r="AB243" s="96"/>
      <c r="AC243" s="96"/>
      <c r="AD243" s="96"/>
      <c r="AE243" s="96"/>
      <c r="AF243" s="96"/>
      <c r="AG243" s="96"/>
      <c r="AH243" s="96"/>
      <c r="AI243" s="96"/>
      <c r="AJ243" s="96"/>
      <c r="AK243" s="96"/>
      <c r="AL243" s="96"/>
      <c r="AM243" s="96"/>
      <c r="AN243" s="96"/>
      <c r="AO243" s="96"/>
      <c r="AP243" s="96"/>
      <c r="AQ243" s="96"/>
      <c r="AR243" s="96"/>
    </row>
    <row r="244" spans="1:44" s="272" customFormat="1" ht="12" customHeight="1">
      <c r="A244" s="96"/>
      <c r="B244" s="642"/>
      <c r="C244" s="642"/>
      <c r="D244" s="642"/>
      <c r="E244" s="642"/>
      <c r="F244" s="642"/>
      <c r="G244" s="642"/>
      <c r="H244" s="642"/>
      <c r="I244" s="642"/>
      <c r="J244" s="642"/>
      <c r="K244" s="642"/>
      <c r="L244" s="642"/>
      <c r="M244" s="642"/>
      <c r="N244" s="642"/>
      <c r="O244" s="642"/>
      <c r="P244" s="643"/>
      <c r="Q244" s="642"/>
      <c r="R244" s="642"/>
      <c r="X244" s="96"/>
      <c r="Y244" s="96"/>
      <c r="Z244" s="1255"/>
      <c r="AA244" s="96"/>
      <c r="AB244" s="96"/>
      <c r="AC244" s="96"/>
      <c r="AD244" s="96"/>
      <c r="AE244" s="96"/>
      <c r="AF244" s="96"/>
      <c r="AG244" s="96"/>
      <c r="AH244" s="96"/>
      <c r="AI244" s="96"/>
      <c r="AJ244" s="96"/>
      <c r="AK244" s="96"/>
      <c r="AL244" s="96"/>
      <c r="AM244" s="96"/>
      <c r="AN244" s="96"/>
      <c r="AO244" s="96"/>
      <c r="AP244" s="96"/>
      <c r="AQ244" s="96"/>
      <c r="AR244" s="96"/>
    </row>
    <row r="245" spans="1:44" s="272" customFormat="1" ht="12" customHeight="1">
      <c r="A245" s="96"/>
      <c r="B245" s="642"/>
      <c r="C245" s="642"/>
      <c r="D245" s="642"/>
      <c r="E245" s="642"/>
      <c r="F245" s="642"/>
      <c r="G245" s="642"/>
      <c r="H245" s="642"/>
      <c r="I245" s="642"/>
      <c r="J245" s="642"/>
      <c r="K245" s="642"/>
      <c r="L245" s="642"/>
      <c r="M245" s="642"/>
      <c r="N245" s="642"/>
      <c r="O245" s="642"/>
      <c r="P245" s="645"/>
      <c r="Q245" s="642"/>
      <c r="R245" s="642"/>
      <c r="X245" s="96"/>
      <c r="Y245" s="96"/>
      <c r="Z245" s="1255"/>
      <c r="AA245" s="96"/>
      <c r="AB245" s="96"/>
      <c r="AC245" s="96"/>
      <c r="AD245" s="96"/>
      <c r="AE245" s="96"/>
      <c r="AF245" s="96"/>
      <c r="AG245" s="96"/>
      <c r="AH245" s="96"/>
      <c r="AI245" s="96"/>
      <c r="AJ245" s="96"/>
      <c r="AK245" s="96"/>
      <c r="AL245" s="96"/>
      <c r="AM245" s="96"/>
      <c r="AN245" s="96"/>
      <c r="AO245" s="96"/>
      <c r="AP245" s="96"/>
      <c r="AQ245" s="96"/>
      <c r="AR245" s="96"/>
    </row>
    <row r="246" spans="1:44" s="272" customFormat="1" ht="12" customHeight="1">
      <c r="A246" s="96"/>
      <c r="B246" s="642"/>
      <c r="C246" s="642"/>
      <c r="D246" s="642"/>
      <c r="E246" s="642"/>
      <c r="F246" s="642"/>
      <c r="G246" s="642"/>
      <c r="H246" s="642"/>
      <c r="I246" s="642"/>
      <c r="J246" s="642"/>
      <c r="K246" s="642"/>
      <c r="L246" s="642"/>
      <c r="M246" s="642"/>
      <c r="N246" s="642"/>
      <c r="O246" s="642"/>
      <c r="P246" s="645"/>
      <c r="Q246" s="642"/>
      <c r="R246" s="642"/>
      <c r="X246" s="96"/>
      <c r="Y246" s="96"/>
      <c r="Z246" s="1255"/>
      <c r="AA246" s="96"/>
      <c r="AB246" s="96"/>
      <c r="AC246" s="96"/>
      <c r="AD246" s="96"/>
      <c r="AE246" s="96"/>
      <c r="AF246" s="96"/>
      <c r="AG246" s="96"/>
      <c r="AH246" s="96"/>
      <c r="AI246" s="96"/>
      <c r="AJ246" s="96"/>
      <c r="AK246" s="96"/>
      <c r="AL246" s="96"/>
      <c r="AM246" s="96"/>
      <c r="AN246" s="96"/>
      <c r="AO246" s="96"/>
      <c r="AP246" s="96"/>
      <c r="AQ246" s="96"/>
      <c r="AR246" s="96"/>
    </row>
    <row r="247" spans="1:44" s="272" customFormat="1" ht="12" customHeight="1">
      <c r="A247" s="96"/>
      <c r="B247" s="642"/>
      <c r="C247" s="642"/>
      <c r="D247" s="642"/>
      <c r="E247" s="642"/>
      <c r="F247" s="642"/>
      <c r="G247" s="642"/>
      <c r="H247" s="642"/>
      <c r="I247" s="642"/>
      <c r="J247" s="642"/>
      <c r="K247" s="642"/>
      <c r="L247" s="642"/>
      <c r="M247" s="642"/>
      <c r="N247" s="642"/>
      <c r="O247" s="642"/>
      <c r="P247" s="645"/>
      <c r="Q247" s="642"/>
      <c r="R247" s="642"/>
      <c r="X247" s="96"/>
      <c r="Y247" s="96"/>
      <c r="Z247" s="1255"/>
      <c r="AA247" s="96"/>
      <c r="AB247" s="96"/>
      <c r="AC247" s="96"/>
      <c r="AD247" s="96"/>
      <c r="AE247" s="96"/>
      <c r="AF247" s="96"/>
      <c r="AG247" s="96"/>
      <c r="AH247" s="96"/>
      <c r="AI247" s="96"/>
      <c r="AJ247" s="96"/>
      <c r="AK247" s="96"/>
      <c r="AL247" s="96"/>
      <c r="AM247" s="96"/>
      <c r="AN247" s="96"/>
      <c r="AO247" s="96"/>
      <c r="AP247" s="96"/>
      <c r="AQ247" s="96"/>
      <c r="AR247" s="96"/>
    </row>
    <row r="248" spans="1:44" s="272" customFormat="1" ht="12" customHeight="1">
      <c r="A248" s="96"/>
      <c r="B248" s="642"/>
      <c r="C248" s="642"/>
      <c r="D248" s="642"/>
      <c r="E248" s="642"/>
      <c r="F248" s="642"/>
      <c r="G248" s="642"/>
      <c r="H248" s="642"/>
      <c r="I248" s="642"/>
      <c r="J248" s="642"/>
      <c r="K248" s="642"/>
      <c r="L248" s="642"/>
      <c r="M248" s="642"/>
      <c r="N248" s="642"/>
      <c r="O248" s="642"/>
      <c r="P248" s="643"/>
      <c r="Q248" s="642"/>
      <c r="R248" s="642"/>
      <c r="X248" s="96"/>
      <c r="Y248" s="96"/>
      <c r="Z248" s="1255"/>
      <c r="AA248" s="96"/>
      <c r="AB248" s="96"/>
      <c r="AC248" s="96"/>
      <c r="AD248" s="96"/>
      <c r="AE248" s="96"/>
      <c r="AF248" s="96"/>
      <c r="AG248" s="96"/>
      <c r="AH248" s="96"/>
      <c r="AI248" s="96"/>
      <c r="AJ248" s="96"/>
      <c r="AK248" s="96"/>
      <c r="AL248" s="96"/>
      <c r="AM248" s="96"/>
      <c r="AN248" s="96"/>
      <c r="AO248" s="96"/>
      <c r="AP248" s="96"/>
      <c r="AQ248" s="96"/>
      <c r="AR248" s="96"/>
    </row>
    <row r="249" spans="1:44" s="272" customFormat="1" ht="12" customHeight="1">
      <c r="A249" s="96"/>
      <c r="B249" s="642"/>
      <c r="C249" s="642"/>
      <c r="D249" s="642"/>
      <c r="E249" s="642"/>
      <c r="F249" s="642"/>
      <c r="G249" s="642"/>
      <c r="H249" s="642"/>
      <c r="I249" s="642"/>
      <c r="J249" s="642"/>
      <c r="K249" s="642"/>
      <c r="L249" s="642"/>
      <c r="M249" s="642"/>
      <c r="N249" s="642"/>
      <c r="O249" s="642"/>
      <c r="P249" s="643"/>
      <c r="Q249" s="642"/>
      <c r="R249" s="642"/>
      <c r="X249" s="96"/>
      <c r="Y249" s="96"/>
      <c r="Z249" s="1255"/>
      <c r="AA249" s="96"/>
      <c r="AB249" s="96"/>
      <c r="AC249" s="96"/>
      <c r="AD249" s="96"/>
      <c r="AE249" s="96"/>
      <c r="AF249" s="96"/>
      <c r="AG249" s="96"/>
      <c r="AH249" s="96"/>
      <c r="AI249" s="96"/>
      <c r="AJ249" s="96"/>
      <c r="AK249" s="96"/>
      <c r="AL249" s="96"/>
      <c r="AM249" s="96"/>
      <c r="AN249" s="96"/>
      <c r="AO249" s="96"/>
      <c r="AP249" s="96"/>
      <c r="AQ249" s="96"/>
      <c r="AR249" s="96"/>
    </row>
    <row r="250" spans="1:44" s="272" customFormat="1" ht="12" customHeight="1">
      <c r="A250" s="96"/>
      <c r="B250" s="642"/>
      <c r="C250" s="642"/>
      <c r="D250" s="642"/>
      <c r="E250" s="642"/>
      <c r="F250" s="642"/>
      <c r="G250" s="642"/>
      <c r="H250" s="642"/>
      <c r="I250" s="642"/>
      <c r="J250" s="642"/>
      <c r="K250" s="642"/>
      <c r="L250" s="642"/>
      <c r="M250" s="642"/>
      <c r="N250" s="642"/>
      <c r="O250" s="642"/>
      <c r="P250" s="645"/>
      <c r="Q250" s="642"/>
      <c r="R250" s="642"/>
      <c r="X250" s="96"/>
      <c r="Y250" s="96"/>
      <c r="Z250" s="1255"/>
      <c r="AA250" s="96"/>
      <c r="AB250" s="96"/>
      <c r="AC250" s="96"/>
      <c r="AD250" s="96"/>
      <c r="AE250" s="96"/>
      <c r="AF250" s="96"/>
      <c r="AG250" s="96"/>
      <c r="AH250" s="96"/>
      <c r="AI250" s="96"/>
      <c r="AJ250" s="96"/>
      <c r="AK250" s="96"/>
      <c r="AL250" s="96"/>
      <c r="AM250" s="96"/>
      <c r="AN250" s="96"/>
      <c r="AO250" s="96"/>
      <c r="AP250" s="96"/>
      <c r="AQ250" s="96"/>
      <c r="AR250" s="96"/>
    </row>
    <row r="251" spans="1:44" s="272" customFormat="1" ht="12" customHeight="1">
      <c r="A251" s="96"/>
      <c r="B251" s="642"/>
      <c r="C251" s="642"/>
      <c r="D251" s="642"/>
      <c r="E251" s="642"/>
      <c r="F251" s="642"/>
      <c r="G251" s="642"/>
      <c r="H251" s="642"/>
      <c r="I251" s="642"/>
      <c r="J251" s="642"/>
      <c r="K251" s="642"/>
      <c r="L251" s="642"/>
      <c r="M251" s="642"/>
      <c r="N251" s="642"/>
      <c r="O251" s="642"/>
      <c r="P251" s="643"/>
      <c r="Q251" s="642"/>
      <c r="R251" s="642"/>
      <c r="X251" s="96"/>
      <c r="Y251" s="96"/>
      <c r="Z251" s="1255"/>
      <c r="AA251" s="96"/>
      <c r="AB251" s="96"/>
      <c r="AC251" s="96"/>
      <c r="AD251" s="96"/>
      <c r="AE251" s="96"/>
      <c r="AF251" s="96"/>
      <c r="AG251" s="96"/>
      <c r="AH251" s="96"/>
      <c r="AI251" s="96"/>
      <c r="AJ251" s="96"/>
      <c r="AK251" s="96"/>
      <c r="AL251" s="96"/>
      <c r="AM251" s="96"/>
      <c r="AN251" s="96"/>
      <c r="AO251" s="96"/>
      <c r="AP251" s="96"/>
      <c r="AQ251" s="96"/>
      <c r="AR251" s="96"/>
    </row>
    <row r="252" spans="1:44" s="272" customFormat="1" ht="12" customHeight="1">
      <c r="A252" s="96"/>
      <c r="B252" s="642"/>
      <c r="C252" s="642"/>
      <c r="D252" s="642"/>
      <c r="E252" s="642"/>
      <c r="F252" s="642"/>
      <c r="G252" s="642"/>
      <c r="H252" s="642"/>
      <c r="I252" s="642"/>
      <c r="J252" s="642"/>
      <c r="K252" s="642"/>
      <c r="L252" s="642"/>
      <c r="M252" s="642"/>
      <c r="N252" s="642"/>
      <c r="O252" s="642"/>
      <c r="P252" s="643"/>
      <c r="Q252" s="642"/>
      <c r="R252" s="642"/>
      <c r="X252" s="96"/>
      <c r="Y252" s="96"/>
      <c r="Z252" s="1255"/>
      <c r="AA252" s="96"/>
      <c r="AB252" s="96"/>
      <c r="AC252" s="96"/>
      <c r="AD252" s="96"/>
      <c r="AE252" s="96"/>
      <c r="AF252" s="96"/>
      <c r="AG252" s="96"/>
      <c r="AH252" s="96"/>
      <c r="AI252" s="96"/>
      <c r="AJ252" s="96"/>
      <c r="AK252" s="96"/>
      <c r="AL252" s="96"/>
      <c r="AM252" s="96"/>
      <c r="AN252" s="96"/>
      <c r="AO252" s="96"/>
      <c r="AP252" s="96"/>
      <c r="AQ252" s="96"/>
      <c r="AR252" s="96"/>
    </row>
    <row r="253" spans="1:44" s="272" customFormat="1" ht="12" customHeight="1">
      <c r="A253" s="96"/>
      <c r="B253" s="642"/>
      <c r="C253" s="642"/>
      <c r="D253" s="642"/>
      <c r="E253" s="642"/>
      <c r="F253" s="642"/>
      <c r="G253" s="642"/>
      <c r="H253" s="642"/>
      <c r="I253" s="642"/>
      <c r="J253" s="642"/>
      <c r="K253" s="642"/>
      <c r="L253" s="642"/>
      <c r="M253" s="642"/>
      <c r="N253" s="642"/>
      <c r="O253" s="642"/>
      <c r="P253" s="643"/>
      <c r="Q253" s="642"/>
      <c r="R253" s="642"/>
      <c r="X253" s="96"/>
      <c r="Y253" s="96"/>
      <c r="Z253" s="1255"/>
      <c r="AA253" s="96"/>
      <c r="AB253" s="96"/>
      <c r="AC253" s="96"/>
      <c r="AD253" s="96"/>
      <c r="AE253" s="96"/>
      <c r="AF253" s="96"/>
      <c r="AG253" s="96"/>
      <c r="AH253" s="96"/>
      <c r="AI253" s="96"/>
      <c r="AJ253" s="96"/>
      <c r="AK253" s="96"/>
      <c r="AL253" s="96"/>
      <c r="AM253" s="96"/>
      <c r="AN253" s="96"/>
      <c r="AO253" s="96"/>
      <c r="AP253" s="96"/>
      <c r="AQ253" s="96"/>
      <c r="AR253" s="96"/>
    </row>
    <row r="254" spans="1:44" s="272" customFormat="1" ht="12" customHeight="1">
      <c r="A254" s="96"/>
      <c r="B254" s="642"/>
      <c r="C254" s="642"/>
      <c r="D254" s="642"/>
      <c r="E254" s="642"/>
      <c r="F254" s="642"/>
      <c r="G254" s="642"/>
      <c r="H254" s="642"/>
      <c r="I254" s="642"/>
      <c r="J254" s="642"/>
      <c r="K254" s="642"/>
      <c r="L254" s="642"/>
      <c r="M254" s="642"/>
      <c r="N254" s="642"/>
      <c r="O254" s="642"/>
      <c r="P254" s="643"/>
      <c r="Q254" s="642"/>
      <c r="R254" s="642"/>
      <c r="X254" s="96"/>
      <c r="Y254" s="96"/>
      <c r="Z254" s="1255"/>
      <c r="AA254" s="96"/>
      <c r="AB254" s="96"/>
      <c r="AC254" s="96"/>
      <c r="AD254" s="96"/>
      <c r="AE254" s="96"/>
      <c r="AF254" s="96"/>
      <c r="AG254" s="96"/>
      <c r="AH254" s="96"/>
      <c r="AI254" s="96"/>
      <c r="AJ254" s="96"/>
      <c r="AK254" s="96"/>
      <c r="AL254" s="96"/>
      <c r="AM254" s="96"/>
      <c r="AN254" s="96"/>
      <c r="AO254" s="96"/>
      <c r="AP254" s="96"/>
      <c r="AQ254" s="96"/>
      <c r="AR254" s="96"/>
    </row>
    <row r="255" spans="1:44" s="272" customFormat="1" ht="12" customHeight="1">
      <c r="A255" s="96"/>
      <c r="B255" s="642"/>
      <c r="C255" s="642"/>
      <c r="D255" s="642"/>
      <c r="E255" s="642"/>
      <c r="F255" s="642"/>
      <c r="G255" s="642"/>
      <c r="H255" s="642"/>
      <c r="I255" s="642"/>
      <c r="J255" s="642"/>
      <c r="K255" s="642"/>
      <c r="L255" s="642"/>
      <c r="M255" s="642"/>
      <c r="N255" s="642"/>
      <c r="O255" s="642"/>
      <c r="P255" s="643"/>
      <c r="Q255" s="642"/>
      <c r="R255" s="642"/>
      <c r="X255" s="96"/>
      <c r="Y255" s="96"/>
      <c r="Z255" s="1255"/>
      <c r="AA255" s="96"/>
      <c r="AB255" s="96"/>
      <c r="AC255" s="96"/>
      <c r="AD255" s="96"/>
      <c r="AE255" s="96"/>
      <c r="AF255" s="96"/>
      <c r="AG255" s="96"/>
      <c r="AH255" s="96"/>
      <c r="AI255" s="96"/>
      <c r="AJ255" s="96"/>
      <c r="AK255" s="96"/>
      <c r="AL255" s="96"/>
      <c r="AM255" s="96"/>
      <c r="AN255" s="96"/>
      <c r="AO255" s="96"/>
      <c r="AP255" s="96"/>
      <c r="AQ255" s="96"/>
      <c r="AR255" s="96"/>
    </row>
    <row r="256" spans="1:44" s="272" customFormat="1" ht="12" customHeight="1">
      <c r="A256" s="96"/>
      <c r="B256" s="642"/>
      <c r="C256" s="642"/>
      <c r="D256" s="642"/>
      <c r="E256" s="642"/>
      <c r="F256" s="642"/>
      <c r="G256" s="642"/>
      <c r="H256" s="642"/>
      <c r="I256" s="642"/>
      <c r="J256" s="642"/>
      <c r="K256" s="642"/>
      <c r="L256" s="642"/>
      <c r="M256" s="642"/>
      <c r="N256" s="642"/>
      <c r="O256" s="642"/>
      <c r="P256" s="643"/>
      <c r="Q256" s="642"/>
      <c r="R256" s="642"/>
      <c r="X256" s="96"/>
      <c r="Y256" s="96"/>
      <c r="Z256" s="1255"/>
      <c r="AA256" s="96"/>
      <c r="AB256" s="96"/>
      <c r="AC256" s="96"/>
      <c r="AD256" s="96"/>
      <c r="AE256" s="96"/>
      <c r="AF256" s="96"/>
      <c r="AG256" s="96"/>
      <c r="AH256" s="96"/>
      <c r="AI256" s="96"/>
      <c r="AJ256" s="96"/>
      <c r="AK256" s="96"/>
      <c r="AL256" s="96"/>
      <c r="AM256" s="96"/>
      <c r="AN256" s="96"/>
      <c r="AO256" s="96"/>
      <c r="AP256" s="96"/>
      <c r="AQ256" s="96"/>
      <c r="AR256" s="96"/>
    </row>
    <row r="257" spans="1:44" s="272" customFormat="1" ht="12" customHeight="1">
      <c r="A257" s="96"/>
      <c r="B257" s="642"/>
      <c r="C257" s="642"/>
      <c r="D257" s="642"/>
      <c r="E257" s="642"/>
      <c r="F257" s="642"/>
      <c r="G257" s="642"/>
      <c r="H257" s="642"/>
      <c r="I257" s="642"/>
      <c r="J257" s="642"/>
      <c r="K257" s="642"/>
      <c r="L257" s="642"/>
      <c r="M257" s="642"/>
      <c r="N257" s="642"/>
      <c r="O257" s="642"/>
      <c r="P257" s="643"/>
      <c r="Q257" s="642"/>
      <c r="R257" s="642"/>
      <c r="X257" s="96"/>
      <c r="Y257" s="96"/>
      <c r="Z257" s="1255"/>
      <c r="AA257" s="96"/>
      <c r="AB257" s="96"/>
      <c r="AC257" s="96"/>
      <c r="AD257" s="96"/>
      <c r="AE257" s="96"/>
      <c r="AF257" s="96"/>
      <c r="AG257" s="96"/>
      <c r="AH257" s="96"/>
      <c r="AI257" s="96"/>
      <c r="AJ257" s="96"/>
      <c r="AK257" s="96"/>
      <c r="AL257" s="96"/>
      <c r="AM257" s="96"/>
      <c r="AN257" s="96"/>
      <c r="AO257" s="96"/>
      <c r="AP257" s="96"/>
      <c r="AQ257" s="96"/>
      <c r="AR257" s="96"/>
    </row>
    <row r="258" spans="1:44" s="272" customFormat="1" ht="12" customHeight="1">
      <c r="A258" s="96"/>
      <c r="B258" s="642"/>
      <c r="C258" s="642"/>
      <c r="D258" s="642"/>
      <c r="E258" s="642"/>
      <c r="F258" s="642"/>
      <c r="G258" s="642"/>
      <c r="H258" s="642"/>
      <c r="I258" s="642"/>
      <c r="J258" s="642"/>
      <c r="K258" s="642"/>
      <c r="L258" s="642"/>
      <c r="M258" s="642"/>
      <c r="N258" s="642"/>
      <c r="O258" s="642"/>
      <c r="P258" s="643"/>
      <c r="Q258" s="642"/>
      <c r="R258" s="642"/>
      <c r="X258" s="96"/>
      <c r="Y258" s="96"/>
      <c r="Z258" s="1255"/>
      <c r="AA258" s="96"/>
      <c r="AB258" s="96"/>
      <c r="AC258" s="96"/>
      <c r="AD258" s="96"/>
      <c r="AE258" s="96"/>
      <c r="AF258" s="96"/>
      <c r="AG258" s="96"/>
      <c r="AH258" s="96"/>
      <c r="AI258" s="96"/>
      <c r="AJ258" s="96"/>
      <c r="AK258" s="96"/>
      <c r="AL258" s="96"/>
      <c r="AM258" s="96"/>
      <c r="AN258" s="96"/>
      <c r="AO258" s="96"/>
      <c r="AP258" s="96"/>
      <c r="AQ258" s="96"/>
      <c r="AR258" s="96"/>
    </row>
    <row r="259" spans="1:44" s="272" customFormat="1" ht="12" customHeight="1">
      <c r="A259" s="96"/>
      <c r="B259" s="642"/>
      <c r="C259" s="642"/>
      <c r="D259" s="642"/>
      <c r="E259" s="642"/>
      <c r="F259" s="642"/>
      <c r="G259" s="642"/>
      <c r="H259" s="642"/>
      <c r="I259" s="642"/>
      <c r="J259" s="642"/>
      <c r="K259" s="642"/>
      <c r="L259" s="642"/>
      <c r="M259" s="642"/>
      <c r="N259" s="642"/>
      <c r="O259" s="642"/>
      <c r="P259" s="643"/>
      <c r="Q259" s="642"/>
      <c r="R259" s="642"/>
      <c r="X259" s="96"/>
      <c r="Y259" s="96"/>
      <c r="Z259" s="1255"/>
      <c r="AA259" s="96"/>
      <c r="AB259" s="96"/>
      <c r="AC259" s="96"/>
      <c r="AD259" s="96"/>
      <c r="AE259" s="96"/>
      <c r="AF259" s="96"/>
      <c r="AG259" s="96"/>
      <c r="AH259" s="96"/>
      <c r="AI259" s="96"/>
      <c r="AJ259" s="96"/>
      <c r="AK259" s="96"/>
      <c r="AL259" s="96"/>
      <c r="AM259" s="96"/>
      <c r="AN259" s="96"/>
      <c r="AO259" s="96"/>
      <c r="AP259" s="96"/>
      <c r="AQ259" s="96"/>
      <c r="AR259" s="96"/>
    </row>
    <row r="260" spans="1:44" s="272" customFormat="1" ht="12" customHeight="1">
      <c r="A260" s="96"/>
      <c r="B260" s="642"/>
      <c r="C260" s="642"/>
      <c r="D260" s="642"/>
      <c r="E260" s="642"/>
      <c r="F260" s="642"/>
      <c r="G260" s="642"/>
      <c r="H260" s="642"/>
      <c r="I260" s="642"/>
      <c r="J260" s="642"/>
      <c r="K260" s="642"/>
      <c r="L260" s="642"/>
      <c r="M260" s="642"/>
      <c r="N260" s="642"/>
      <c r="O260" s="642"/>
      <c r="P260" s="643"/>
      <c r="Q260" s="642"/>
      <c r="R260" s="642"/>
      <c r="X260" s="96"/>
      <c r="Y260" s="96"/>
      <c r="Z260" s="1255"/>
      <c r="AA260" s="96"/>
      <c r="AB260" s="96"/>
      <c r="AC260" s="96"/>
      <c r="AD260" s="96"/>
      <c r="AE260" s="96"/>
      <c r="AF260" s="96"/>
      <c r="AG260" s="96"/>
      <c r="AH260" s="96"/>
      <c r="AI260" s="96"/>
      <c r="AJ260" s="96"/>
      <c r="AK260" s="96"/>
      <c r="AL260" s="96"/>
      <c r="AM260" s="96"/>
      <c r="AN260" s="96"/>
      <c r="AO260" s="96"/>
      <c r="AP260" s="96"/>
      <c r="AQ260" s="96"/>
      <c r="AR260" s="96"/>
    </row>
    <row r="261" spans="1:44" s="272" customFormat="1" ht="12" customHeight="1">
      <c r="A261" s="96"/>
      <c r="B261" s="642"/>
      <c r="C261" s="642"/>
      <c r="D261" s="642"/>
      <c r="E261" s="642"/>
      <c r="F261" s="642"/>
      <c r="G261" s="642"/>
      <c r="H261" s="642"/>
      <c r="I261" s="642"/>
      <c r="J261" s="642"/>
      <c r="K261" s="642"/>
      <c r="L261" s="642"/>
      <c r="M261" s="642"/>
      <c r="N261" s="642"/>
      <c r="O261" s="642"/>
      <c r="P261" s="643"/>
      <c r="Q261" s="642"/>
      <c r="R261" s="642"/>
      <c r="X261" s="96"/>
      <c r="Y261" s="96"/>
      <c r="Z261" s="1255"/>
      <c r="AA261" s="96"/>
      <c r="AB261" s="96"/>
      <c r="AC261" s="96"/>
      <c r="AD261" s="96"/>
      <c r="AE261" s="96"/>
      <c r="AF261" s="96"/>
      <c r="AG261" s="96"/>
      <c r="AH261" s="96"/>
      <c r="AI261" s="96"/>
      <c r="AJ261" s="96"/>
      <c r="AK261" s="96"/>
      <c r="AL261" s="96"/>
      <c r="AM261" s="96"/>
      <c r="AN261" s="96"/>
      <c r="AO261" s="96"/>
      <c r="AP261" s="96"/>
      <c r="AQ261" s="96"/>
      <c r="AR261" s="96"/>
    </row>
    <row r="262" spans="1:44" s="272" customFormat="1" ht="12" customHeight="1">
      <c r="A262" s="96"/>
      <c r="B262" s="642"/>
      <c r="C262" s="642"/>
      <c r="D262" s="642"/>
      <c r="E262" s="642"/>
      <c r="F262" s="642"/>
      <c r="G262" s="642"/>
      <c r="H262" s="642"/>
      <c r="I262" s="642"/>
      <c r="J262" s="642"/>
      <c r="K262" s="642"/>
      <c r="L262" s="642"/>
      <c r="M262" s="642"/>
      <c r="N262" s="642"/>
      <c r="O262" s="642"/>
      <c r="P262" s="645"/>
      <c r="Q262" s="642"/>
      <c r="R262" s="642"/>
      <c r="X262" s="96"/>
      <c r="Y262" s="96"/>
      <c r="Z262" s="1255"/>
      <c r="AA262" s="96"/>
      <c r="AB262" s="96"/>
      <c r="AC262" s="96"/>
      <c r="AD262" s="96"/>
      <c r="AE262" s="96"/>
      <c r="AF262" s="96"/>
      <c r="AG262" s="96"/>
      <c r="AH262" s="96"/>
      <c r="AI262" s="96"/>
      <c r="AJ262" s="96"/>
      <c r="AK262" s="96"/>
      <c r="AL262" s="96"/>
      <c r="AM262" s="96"/>
      <c r="AN262" s="96"/>
      <c r="AO262" s="96"/>
      <c r="AP262" s="96"/>
      <c r="AQ262" s="96"/>
      <c r="AR262" s="96"/>
    </row>
    <row r="263" spans="1:44" s="272" customFormat="1" ht="12" customHeight="1">
      <c r="A263" s="96"/>
      <c r="B263" s="642"/>
      <c r="C263" s="642"/>
      <c r="D263" s="642"/>
      <c r="E263" s="642"/>
      <c r="F263" s="642"/>
      <c r="G263" s="642"/>
      <c r="H263" s="642"/>
      <c r="I263" s="642"/>
      <c r="J263" s="642"/>
      <c r="K263" s="642"/>
      <c r="L263" s="642"/>
      <c r="M263" s="642"/>
      <c r="N263" s="642"/>
      <c r="O263" s="642"/>
      <c r="P263" s="643"/>
      <c r="Q263" s="642"/>
      <c r="R263" s="642"/>
      <c r="X263" s="96"/>
      <c r="Y263" s="96"/>
      <c r="Z263" s="1255"/>
      <c r="AA263" s="96"/>
      <c r="AB263" s="96"/>
      <c r="AC263" s="96"/>
      <c r="AD263" s="96"/>
      <c r="AE263" s="96"/>
      <c r="AF263" s="96"/>
      <c r="AG263" s="96"/>
      <c r="AH263" s="96"/>
      <c r="AI263" s="96"/>
      <c r="AJ263" s="96"/>
      <c r="AK263" s="96"/>
      <c r="AL263" s="96"/>
      <c r="AM263" s="96"/>
      <c r="AN263" s="96"/>
      <c r="AO263" s="96"/>
      <c r="AP263" s="96"/>
      <c r="AQ263" s="96"/>
      <c r="AR263" s="96"/>
    </row>
    <row r="264" spans="1:44" s="272" customFormat="1" ht="12" customHeight="1">
      <c r="A264" s="96"/>
      <c r="B264" s="642"/>
      <c r="C264" s="642"/>
      <c r="D264" s="642"/>
      <c r="E264" s="642"/>
      <c r="F264" s="642"/>
      <c r="G264" s="642"/>
      <c r="H264" s="642"/>
      <c r="I264" s="642"/>
      <c r="J264" s="642"/>
      <c r="K264" s="642"/>
      <c r="L264" s="642"/>
      <c r="M264" s="642"/>
      <c r="N264" s="642"/>
      <c r="O264" s="642"/>
      <c r="P264" s="643"/>
      <c r="Q264" s="642"/>
      <c r="R264" s="642"/>
      <c r="X264" s="96"/>
      <c r="Y264" s="96"/>
      <c r="Z264" s="1255"/>
      <c r="AA264" s="96"/>
      <c r="AB264" s="96"/>
      <c r="AC264" s="96"/>
      <c r="AD264" s="96"/>
      <c r="AE264" s="96"/>
      <c r="AF264" s="96"/>
      <c r="AG264" s="96"/>
      <c r="AH264" s="96"/>
      <c r="AI264" s="96"/>
      <c r="AJ264" s="96"/>
      <c r="AK264" s="96"/>
      <c r="AL264" s="96"/>
      <c r="AM264" s="96"/>
      <c r="AN264" s="96"/>
      <c r="AO264" s="96"/>
      <c r="AP264" s="96"/>
      <c r="AQ264" s="96"/>
      <c r="AR264" s="96"/>
    </row>
    <row r="265" spans="1:44" s="272" customFormat="1" ht="12" customHeight="1">
      <c r="A265" s="96"/>
      <c r="B265" s="642"/>
      <c r="C265" s="642"/>
      <c r="D265" s="642"/>
      <c r="E265" s="642"/>
      <c r="F265" s="642"/>
      <c r="G265" s="642"/>
      <c r="H265" s="642"/>
      <c r="I265" s="642"/>
      <c r="J265" s="642"/>
      <c r="K265" s="642"/>
      <c r="L265" s="642"/>
      <c r="M265" s="642"/>
      <c r="N265" s="642"/>
      <c r="O265" s="642"/>
      <c r="P265" s="643"/>
      <c r="Q265" s="642"/>
      <c r="R265" s="642"/>
      <c r="X265" s="96"/>
      <c r="Y265" s="96"/>
      <c r="Z265" s="1255"/>
      <c r="AA265" s="96"/>
      <c r="AB265" s="96"/>
      <c r="AC265" s="96"/>
      <c r="AD265" s="96"/>
      <c r="AE265" s="96"/>
      <c r="AF265" s="96"/>
      <c r="AG265" s="96"/>
      <c r="AH265" s="96"/>
      <c r="AI265" s="96"/>
      <c r="AJ265" s="96"/>
      <c r="AK265" s="96"/>
      <c r="AL265" s="96"/>
      <c r="AM265" s="96"/>
      <c r="AN265" s="96"/>
      <c r="AO265" s="96"/>
      <c r="AP265" s="96"/>
      <c r="AQ265" s="96"/>
      <c r="AR265" s="96"/>
    </row>
    <row r="266" spans="1:44" s="272" customFormat="1" ht="12" customHeight="1">
      <c r="A266" s="96"/>
      <c r="B266" s="642"/>
      <c r="C266" s="642"/>
      <c r="D266" s="642"/>
      <c r="E266" s="642"/>
      <c r="F266" s="642"/>
      <c r="G266" s="642"/>
      <c r="H266" s="642"/>
      <c r="I266" s="642"/>
      <c r="J266" s="642"/>
      <c r="K266" s="642"/>
      <c r="L266" s="642"/>
      <c r="M266" s="642"/>
      <c r="N266" s="642"/>
      <c r="O266" s="642"/>
      <c r="P266" s="643"/>
      <c r="Q266" s="642"/>
      <c r="R266" s="642"/>
      <c r="X266" s="96"/>
      <c r="Y266" s="96"/>
      <c r="Z266" s="1255"/>
      <c r="AA266" s="96"/>
      <c r="AB266" s="96"/>
      <c r="AC266" s="96"/>
      <c r="AD266" s="96"/>
      <c r="AE266" s="96"/>
      <c r="AF266" s="96"/>
      <c r="AG266" s="96"/>
      <c r="AH266" s="96"/>
      <c r="AI266" s="96"/>
      <c r="AJ266" s="96"/>
      <c r="AK266" s="96"/>
      <c r="AL266" s="96"/>
      <c r="AM266" s="96"/>
      <c r="AN266" s="96"/>
      <c r="AO266" s="96"/>
      <c r="AP266" s="96"/>
      <c r="AQ266" s="96"/>
      <c r="AR266" s="96"/>
    </row>
    <row r="267" spans="1:44" s="272" customFormat="1" ht="12" customHeight="1">
      <c r="A267" s="96"/>
      <c r="B267" s="642"/>
      <c r="C267" s="642"/>
      <c r="D267" s="642"/>
      <c r="E267" s="642"/>
      <c r="F267" s="642"/>
      <c r="G267" s="642"/>
      <c r="H267" s="642"/>
      <c r="I267" s="642"/>
      <c r="J267" s="642"/>
      <c r="K267" s="642"/>
      <c r="L267" s="642"/>
      <c r="M267" s="642"/>
      <c r="N267" s="642"/>
      <c r="O267" s="642"/>
      <c r="P267" s="643"/>
      <c r="Q267" s="642"/>
      <c r="R267" s="642"/>
      <c r="X267" s="96"/>
      <c r="Y267" s="96"/>
      <c r="Z267" s="1255"/>
      <c r="AA267" s="96"/>
      <c r="AB267" s="96"/>
      <c r="AC267" s="96"/>
      <c r="AD267" s="96"/>
      <c r="AE267" s="96"/>
      <c r="AF267" s="96"/>
      <c r="AG267" s="96"/>
      <c r="AH267" s="96"/>
      <c r="AI267" s="96"/>
      <c r="AJ267" s="96"/>
      <c r="AK267" s="96"/>
      <c r="AL267" s="96"/>
      <c r="AM267" s="96"/>
      <c r="AN267" s="96"/>
      <c r="AO267" s="96"/>
      <c r="AP267" s="96"/>
      <c r="AQ267" s="96"/>
      <c r="AR267" s="96"/>
    </row>
    <row r="268" spans="1:44" s="272" customFormat="1" ht="12" customHeight="1">
      <c r="A268" s="96"/>
      <c r="B268" s="642"/>
      <c r="C268" s="642"/>
      <c r="D268" s="642"/>
      <c r="E268" s="642"/>
      <c r="F268" s="642"/>
      <c r="G268" s="642"/>
      <c r="H268" s="642"/>
      <c r="I268" s="642"/>
      <c r="J268" s="642"/>
      <c r="K268" s="642"/>
      <c r="L268" s="642"/>
      <c r="M268" s="642"/>
      <c r="N268" s="642"/>
      <c r="O268" s="642"/>
      <c r="P268" s="643"/>
      <c r="Q268" s="642"/>
      <c r="R268" s="642"/>
      <c r="X268" s="96"/>
      <c r="Y268" s="96"/>
      <c r="Z268" s="1255"/>
      <c r="AA268" s="96"/>
      <c r="AB268" s="96"/>
      <c r="AC268" s="96"/>
      <c r="AD268" s="96"/>
      <c r="AE268" s="96"/>
      <c r="AF268" s="96"/>
      <c r="AG268" s="96"/>
      <c r="AH268" s="96"/>
      <c r="AI268" s="96"/>
      <c r="AJ268" s="96"/>
      <c r="AK268" s="96"/>
      <c r="AL268" s="96"/>
      <c r="AM268" s="96"/>
      <c r="AN268" s="96"/>
      <c r="AO268" s="96"/>
      <c r="AP268" s="96"/>
      <c r="AQ268" s="96"/>
      <c r="AR268" s="96"/>
    </row>
    <row r="269" spans="1:44" s="272" customFormat="1" ht="12" customHeight="1">
      <c r="A269" s="96"/>
      <c r="P269" s="146"/>
      <c r="X269" s="96"/>
      <c r="Y269" s="96"/>
      <c r="Z269" s="1255"/>
      <c r="AA269" s="96"/>
      <c r="AB269" s="96"/>
      <c r="AC269" s="96"/>
      <c r="AD269" s="96"/>
      <c r="AE269" s="96"/>
      <c r="AF269" s="96"/>
      <c r="AG269" s="96"/>
      <c r="AH269" s="96"/>
      <c r="AI269" s="96"/>
      <c r="AJ269" s="96"/>
      <c r="AK269" s="96"/>
      <c r="AL269" s="96"/>
      <c r="AM269" s="96"/>
      <c r="AN269" s="96"/>
      <c r="AO269" s="96"/>
      <c r="AP269" s="96"/>
      <c r="AQ269" s="96"/>
      <c r="AR269" s="96"/>
    </row>
    <row r="270" spans="1:44" s="272" customFormat="1" ht="12" customHeight="1">
      <c r="A270" s="96"/>
      <c r="P270" s="146"/>
      <c r="X270" s="96"/>
      <c r="Y270" s="96"/>
      <c r="Z270" s="1255"/>
      <c r="AA270" s="96"/>
      <c r="AB270" s="96"/>
      <c r="AC270" s="96"/>
      <c r="AD270" s="96"/>
      <c r="AE270" s="96"/>
      <c r="AF270" s="96"/>
      <c r="AG270" s="96"/>
      <c r="AH270" s="96"/>
      <c r="AI270" s="96"/>
      <c r="AJ270" s="96"/>
      <c r="AK270" s="96"/>
      <c r="AL270" s="96"/>
      <c r="AM270" s="96"/>
      <c r="AN270" s="96"/>
      <c r="AO270" s="96"/>
      <c r="AP270" s="96"/>
      <c r="AQ270" s="96"/>
      <c r="AR270" s="96"/>
    </row>
    <row r="271" spans="1:44" s="272" customFormat="1" ht="12" customHeight="1">
      <c r="A271" s="96"/>
      <c r="P271" s="146"/>
      <c r="X271" s="96"/>
      <c r="Y271" s="96"/>
      <c r="Z271" s="1255"/>
      <c r="AA271" s="96"/>
      <c r="AB271" s="96"/>
      <c r="AC271" s="96"/>
      <c r="AD271" s="96"/>
      <c r="AE271" s="96"/>
      <c r="AF271" s="96"/>
      <c r="AG271" s="96"/>
      <c r="AH271" s="96"/>
      <c r="AI271" s="96"/>
      <c r="AJ271" s="96"/>
      <c r="AK271" s="96"/>
      <c r="AL271" s="96"/>
      <c r="AM271" s="96"/>
      <c r="AN271" s="96"/>
      <c r="AO271" s="96"/>
      <c r="AP271" s="96"/>
      <c r="AQ271" s="96"/>
      <c r="AR271" s="96"/>
    </row>
    <row r="272" spans="1:44" s="272" customFormat="1" ht="12" customHeight="1">
      <c r="A272" s="96"/>
      <c r="P272" s="300"/>
      <c r="X272" s="96"/>
      <c r="Y272" s="96"/>
      <c r="Z272" s="1255"/>
      <c r="AA272" s="96"/>
      <c r="AB272" s="96"/>
      <c r="AC272" s="96"/>
      <c r="AD272" s="96"/>
      <c r="AE272" s="96"/>
      <c r="AF272" s="96"/>
      <c r="AG272" s="96"/>
      <c r="AH272" s="96"/>
      <c r="AI272" s="96"/>
      <c r="AJ272" s="96"/>
      <c r="AK272" s="96"/>
      <c r="AL272" s="96"/>
      <c r="AM272" s="96"/>
      <c r="AN272" s="96"/>
      <c r="AO272" s="96"/>
      <c r="AP272" s="96"/>
      <c r="AQ272" s="96"/>
      <c r="AR272" s="96"/>
    </row>
    <row r="273" spans="1:44" s="272" customFormat="1" ht="12" customHeight="1">
      <c r="A273" s="96"/>
      <c r="P273" s="146"/>
      <c r="X273" s="96"/>
      <c r="Y273" s="96"/>
      <c r="Z273" s="1255"/>
      <c r="AA273" s="96"/>
      <c r="AB273" s="96"/>
      <c r="AC273" s="96"/>
      <c r="AD273" s="96"/>
      <c r="AE273" s="96"/>
      <c r="AF273" s="96"/>
      <c r="AG273" s="96"/>
      <c r="AH273" s="96"/>
      <c r="AI273" s="96"/>
      <c r="AJ273" s="96"/>
      <c r="AK273" s="96"/>
      <c r="AL273" s="96"/>
      <c r="AM273" s="96"/>
      <c r="AN273" s="96"/>
      <c r="AO273" s="96"/>
      <c r="AP273" s="96"/>
      <c r="AQ273" s="96"/>
      <c r="AR273" s="96"/>
    </row>
    <row r="274" spans="1:44" s="272" customFormat="1" ht="12" customHeight="1">
      <c r="A274" s="96"/>
      <c r="P274" s="146"/>
      <c r="X274" s="96"/>
      <c r="Y274" s="96"/>
      <c r="Z274" s="1255"/>
      <c r="AA274" s="96"/>
      <c r="AB274" s="96"/>
      <c r="AC274" s="96"/>
      <c r="AD274" s="96"/>
      <c r="AE274" s="96"/>
      <c r="AF274" s="96"/>
      <c r="AG274" s="96"/>
      <c r="AH274" s="96"/>
      <c r="AI274" s="96"/>
      <c r="AJ274" s="96"/>
      <c r="AK274" s="96"/>
      <c r="AL274" s="96"/>
      <c r="AM274" s="96"/>
      <c r="AN274" s="96"/>
      <c r="AO274" s="96"/>
      <c r="AP274" s="96"/>
      <c r="AQ274" s="96"/>
      <c r="AR274" s="96"/>
    </row>
    <row r="275" spans="1:44" s="272" customFormat="1" ht="12" customHeight="1">
      <c r="A275" s="96"/>
      <c r="P275" s="146"/>
      <c r="X275" s="96"/>
      <c r="Y275" s="96"/>
      <c r="Z275" s="1255"/>
      <c r="AA275" s="96"/>
      <c r="AB275" s="96"/>
      <c r="AC275" s="96"/>
      <c r="AD275" s="96"/>
      <c r="AE275" s="96"/>
      <c r="AF275" s="96"/>
      <c r="AG275" s="96"/>
      <c r="AH275" s="96"/>
      <c r="AI275" s="96"/>
      <c r="AJ275" s="96"/>
      <c r="AK275" s="96"/>
      <c r="AL275" s="96"/>
      <c r="AM275" s="96"/>
      <c r="AN275" s="96"/>
      <c r="AO275" s="96"/>
      <c r="AP275" s="96"/>
      <c r="AQ275" s="96"/>
      <c r="AR275" s="96"/>
    </row>
    <row r="276" spans="1:44" s="272" customFormat="1" ht="12" customHeight="1">
      <c r="A276" s="96"/>
      <c r="P276" s="146"/>
      <c r="X276" s="96"/>
      <c r="Y276" s="96"/>
      <c r="Z276" s="1255"/>
      <c r="AA276" s="96"/>
      <c r="AB276" s="96"/>
      <c r="AC276" s="96"/>
      <c r="AD276" s="96"/>
      <c r="AE276" s="96"/>
      <c r="AF276" s="96"/>
      <c r="AG276" s="96"/>
      <c r="AH276" s="96"/>
      <c r="AI276" s="96"/>
      <c r="AJ276" s="96"/>
      <c r="AK276" s="96"/>
      <c r="AL276" s="96"/>
      <c r="AM276" s="96"/>
      <c r="AN276" s="96"/>
      <c r="AO276" s="96"/>
      <c r="AP276" s="96"/>
      <c r="AQ276" s="96"/>
      <c r="AR276" s="96"/>
    </row>
    <row r="277" spans="1:44" s="272" customFormat="1" ht="12" customHeight="1">
      <c r="A277" s="96"/>
      <c r="P277" s="146"/>
      <c r="X277" s="96"/>
      <c r="Y277" s="96"/>
      <c r="Z277" s="1255"/>
      <c r="AA277" s="96"/>
      <c r="AB277" s="96"/>
      <c r="AC277" s="96"/>
      <c r="AD277" s="96"/>
      <c r="AE277" s="96"/>
      <c r="AF277" s="96"/>
      <c r="AG277" s="96"/>
      <c r="AH277" s="96"/>
      <c r="AI277" s="96"/>
      <c r="AJ277" s="96"/>
      <c r="AK277" s="96"/>
      <c r="AL277" s="96"/>
      <c r="AM277" s="96"/>
      <c r="AN277" s="96"/>
      <c r="AO277" s="96"/>
      <c r="AP277" s="96"/>
      <c r="AQ277" s="96"/>
      <c r="AR277" s="96"/>
    </row>
    <row r="278" spans="1:44" s="272" customFormat="1" ht="12" customHeight="1">
      <c r="A278" s="96"/>
      <c r="P278" s="146"/>
      <c r="X278" s="96"/>
      <c r="Y278" s="96"/>
      <c r="Z278" s="1255"/>
      <c r="AA278" s="96"/>
      <c r="AB278" s="96"/>
      <c r="AC278" s="96"/>
      <c r="AD278" s="96"/>
      <c r="AE278" s="96"/>
      <c r="AF278" s="96"/>
      <c r="AG278" s="96"/>
      <c r="AH278" s="96"/>
      <c r="AI278" s="96"/>
      <c r="AJ278" s="96"/>
      <c r="AK278" s="96"/>
      <c r="AL278" s="96"/>
      <c r="AM278" s="96"/>
      <c r="AN278" s="96"/>
      <c r="AO278" s="96"/>
      <c r="AP278" s="96"/>
      <c r="AQ278" s="96"/>
      <c r="AR278" s="96"/>
    </row>
    <row r="279" spans="1:44" s="272" customFormat="1" ht="12" customHeight="1">
      <c r="A279" s="96"/>
      <c r="P279" s="146"/>
      <c r="X279" s="96"/>
      <c r="Y279" s="96"/>
      <c r="Z279" s="1255"/>
      <c r="AA279" s="96"/>
      <c r="AB279" s="96"/>
      <c r="AC279" s="96"/>
      <c r="AD279" s="96"/>
      <c r="AE279" s="96"/>
      <c r="AF279" s="96"/>
      <c r="AG279" s="96"/>
      <c r="AH279" s="96"/>
      <c r="AI279" s="96"/>
      <c r="AJ279" s="96"/>
      <c r="AK279" s="96"/>
      <c r="AL279" s="96"/>
      <c r="AM279" s="96"/>
      <c r="AN279" s="96"/>
      <c r="AO279" s="96"/>
      <c r="AP279" s="96"/>
      <c r="AQ279" s="96"/>
      <c r="AR279" s="96"/>
    </row>
    <row r="280" spans="1:44" s="272" customFormat="1" ht="12" customHeight="1">
      <c r="A280" s="96"/>
      <c r="P280" s="146"/>
      <c r="X280" s="96"/>
      <c r="Y280" s="96"/>
      <c r="Z280" s="1255"/>
      <c r="AA280" s="96"/>
      <c r="AB280" s="96"/>
      <c r="AC280" s="96"/>
      <c r="AD280" s="96"/>
      <c r="AE280" s="96"/>
      <c r="AF280" s="96"/>
      <c r="AG280" s="96"/>
      <c r="AH280" s="96"/>
      <c r="AI280" s="96"/>
      <c r="AJ280" s="96"/>
      <c r="AK280" s="96"/>
      <c r="AL280" s="96"/>
      <c r="AM280" s="96"/>
      <c r="AN280" s="96"/>
      <c r="AO280" s="96"/>
      <c r="AP280" s="96"/>
      <c r="AQ280" s="96"/>
      <c r="AR280" s="96"/>
    </row>
    <row r="281" spans="1:44" s="272" customFormat="1" ht="12" customHeight="1">
      <c r="A281" s="96"/>
      <c r="P281" s="146"/>
      <c r="X281" s="96"/>
      <c r="Y281" s="96"/>
      <c r="Z281" s="1255"/>
      <c r="AA281" s="96"/>
      <c r="AB281" s="96"/>
      <c r="AC281" s="96"/>
      <c r="AD281" s="96"/>
      <c r="AE281" s="96"/>
      <c r="AF281" s="96"/>
      <c r="AG281" s="96"/>
      <c r="AH281" s="96"/>
      <c r="AI281" s="96"/>
      <c r="AJ281" s="96"/>
      <c r="AK281" s="96"/>
      <c r="AL281" s="96"/>
      <c r="AM281" s="96"/>
      <c r="AN281" s="96"/>
      <c r="AO281" s="96"/>
      <c r="AP281" s="96"/>
      <c r="AQ281" s="96"/>
      <c r="AR281" s="96"/>
    </row>
    <row r="282" spans="1:44" s="272" customFormat="1" ht="12" customHeight="1">
      <c r="A282" s="96"/>
      <c r="P282" s="146"/>
      <c r="X282" s="96"/>
      <c r="Y282" s="96"/>
      <c r="Z282" s="1255"/>
      <c r="AA282" s="96"/>
      <c r="AB282" s="96"/>
      <c r="AC282" s="96"/>
      <c r="AD282" s="96"/>
      <c r="AE282" s="96"/>
      <c r="AF282" s="96"/>
      <c r="AG282" s="96"/>
      <c r="AH282" s="96"/>
      <c r="AI282" s="96"/>
      <c r="AJ282" s="96"/>
      <c r="AK282" s="96"/>
      <c r="AL282" s="96"/>
      <c r="AM282" s="96"/>
      <c r="AN282" s="96"/>
      <c r="AO282" s="96"/>
      <c r="AP282" s="96"/>
      <c r="AQ282" s="96"/>
      <c r="AR282" s="96"/>
    </row>
    <row r="283" spans="1:44" s="272" customFormat="1" ht="12" customHeight="1">
      <c r="A283" s="96"/>
      <c r="P283" s="146"/>
      <c r="X283" s="96"/>
      <c r="Y283" s="96"/>
      <c r="Z283" s="1255"/>
      <c r="AA283" s="96"/>
      <c r="AB283" s="96"/>
      <c r="AC283" s="96"/>
      <c r="AD283" s="96"/>
      <c r="AE283" s="96"/>
      <c r="AF283" s="96"/>
      <c r="AG283" s="96"/>
      <c r="AH283" s="96"/>
      <c r="AI283" s="96"/>
      <c r="AJ283" s="96"/>
      <c r="AK283" s="96"/>
      <c r="AL283" s="96"/>
      <c r="AM283" s="96"/>
      <c r="AN283" s="96"/>
      <c r="AO283" s="96"/>
      <c r="AP283" s="96"/>
      <c r="AQ283" s="96"/>
      <c r="AR283" s="96"/>
    </row>
    <row r="284" spans="1:44" s="272" customFormat="1" ht="12" customHeight="1">
      <c r="A284" s="96"/>
      <c r="P284" s="146"/>
      <c r="X284" s="96"/>
      <c r="Y284" s="96"/>
      <c r="Z284" s="1255"/>
      <c r="AA284" s="96"/>
      <c r="AB284" s="96"/>
      <c r="AC284" s="96"/>
      <c r="AD284" s="96"/>
      <c r="AE284" s="96"/>
      <c r="AF284" s="96"/>
      <c r="AG284" s="96"/>
      <c r="AH284" s="96"/>
      <c r="AI284" s="96"/>
      <c r="AJ284" s="96"/>
      <c r="AK284" s="96"/>
      <c r="AL284" s="96"/>
      <c r="AM284" s="96"/>
      <c r="AN284" s="96"/>
      <c r="AO284" s="96"/>
      <c r="AP284" s="96"/>
      <c r="AQ284" s="96"/>
      <c r="AR284" s="96"/>
    </row>
    <row r="285" spans="1:44" s="272" customFormat="1" ht="12" customHeight="1">
      <c r="A285" s="96"/>
      <c r="P285" s="146"/>
      <c r="X285" s="96"/>
      <c r="Y285" s="96"/>
      <c r="Z285" s="1255"/>
      <c r="AA285" s="96"/>
      <c r="AB285" s="96"/>
      <c r="AC285" s="96"/>
      <c r="AD285" s="96"/>
      <c r="AE285" s="96"/>
      <c r="AF285" s="96"/>
      <c r="AG285" s="96"/>
      <c r="AH285" s="96"/>
      <c r="AI285" s="96"/>
      <c r="AJ285" s="96"/>
      <c r="AK285" s="96"/>
      <c r="AL285" s="96"/>
      <c r="AM285" s="96"/>
      <c r="AN285" s="96"/>
      <c r="AO285" s="96"/>
      <c r="AP285" s="96"/>
      <c r="AQ285" s="96"/>
      <c r="AR285" s="96"/>
    </row>
    <row r="286" spans="1:44" s="272" customFormat="1" ht="12" customHeight="1">
      <c r="A286" s="96"/>
      <c r="P286" s="300"/>
      <c r="X286" s="96"/>
      <c r="Y286" s="96"/>
      <c r="Z286" s="1255"/>
      <c r="AA286" s="96"/>
      <c r="AB286" s="96"/>
      <c r="AC286" s="96"/>
      <c r="AD286" s="96"/>
      <c r="AE286" s="96"/>
      <c r="AF286" s="96"/>
      <c r="AG286" s="96"/>
      <c r="AH286" s="96"/>
      <c r="AI286" s="96"/>
      <c r="AJ286" s="96"/>
      <c r="AK286" s="96"/>
      <c r="AL286" s="96"/>
      <c r="AM286" s="96"/>
      <c r="AN286" s="96"/>
      <c r="AO286" s="96"/>
      <c r="AP286" s="96"/>
      <c r="AQ286" s="96"/>
      <c r="AR286" s="96"/>
    </row>
    <row r="287" spans="1:44" s="272" customFormat="1" ht="12" customHeight="1">
      <c r="A287" s="96"/>
      <c r="P287" s="146"/>
      <c r="X287" s="96"/>
      <c r="Y287" s="96"/>
      <c r="Z287" s="1255"/>
      <c r="AA287" s="96"/>
      <c r="AB287" s="96"/>
      <c r="AC287" s="96"/>
      <c r="AD287" s="96"/>
      <c r="AE287" s="96"/>
      <c r="AF287" s="96"/>
      <c r="AG287" s="96"/>
      <c r="AH287" s="96"/>
      <c r="AI287" s="96"/>
      <c r="AJ287" s="96"/>
      <c r="AK287" s="96"/>
      <c r="AL287" s="96"/>
      <c r="AM287" s="96"/>
      <c r="AN287" s="96"/>
      <c r="AO287" s="96"/>
      <c r="AP287" s="96"/>
      <c r="AQ287" s="96"/>
      <c r="AR287" s="96"/>
    </row>
    <row r="288" spans="1:44" s="272" customFormat="1" ht="12" customHeight="1">
      <c r="A288" s="96"/>
      <c r="P288" s="146"/>
      <c r="X288" s="96"/>
      <c r="Y288" s="96"/>
      <c r="Z288" s="1255"/>
      <c r="AA288" s="96"/>
      <c r="AB288" s="96"/>
      <c r="AC288" s="96"/>
      <c r="AD288" s="96"/>
      <c r="AE288" s="96"/>
      <c r="AF288" s="96"/>
      <c r="AG288" s="96"/>
      <c r="AH288" s="96"/>
      <c r="AI288" s="96"/>
      <c r="AJ288" s="96"/>
      <c r="AK288" s="96"/>
      <c r="AL288" s="96"/>
      <c r="AM288" s="96"/>
      <c r="AN288" s="96"/>
      <c r="AO288" s="96"/>
      <c r="AP288" s="96"/>
      <c r="AQ288" s="96"/>
      <c r="AR288" s="96"/>
    </row>
    <row r="289" spans="1:44" s="272" customFormat="1" ht="12" customHeight="1">
      <c r="A289" s="96"/>
      <c r="P289" s="146"/>
      <c r="X289" s="96"/>
      <c r="Y289" s="96"/>
      <c r="Z289" s="1255"/>
      <c r="AA289" s="96"/>
      <c r="AB289" s="96"/>
      <c r="AC289" s="96"/>
      <c r="AD289" s="96"/>
      <c r="AE289" s="96"/>
      <c r="AF289" s="96"/>
      <c r="AG289" s="96"/>
      <c r="AH289" s="96"/>
      <c r="AI289" s="96"/>
      <c r="AJ289" s="96"/>
      <c r="AK289" s="96"/>
      <c r="AL289" s="96"/>
      <c r="AM289" s="96"/>
      <c r="AN289" s="96"/>
      <c r="AO289" s="96"/>
      <c r="AP289" s="96"/>
      <c r="AQ289" s="96"/>
      <c r="AR289" s="96"/>
    </row>
    <row r="290" spans="1:44" s="272" customFormat="1" ht="12" customHeight="1">
      <c r="A290" s="96"/>
      <c r="P290" s="300"/>
      <c r="X290" s="96"/>
      <c r="Y290" s="96"/>
      <c r="Z290" s="1255"/>
      <c r="AA290" s="96"/>
      <c r="AB290" s="96"/>
      <c r="AC290" s="96"/>
      <c r="AD290" s="96"/>
      <c r="AE290" s="96"/>
      <c r="AF290" s="96"/>
      <c r="AG290" s="96"/>
      <c r="AH290" s="96"/>
      <c r="AI290" s="96"/>
      <c r="AJ290" s="96"/>
      <c r="AK290" s="96"/>
      <c r="AL290" s="96"/>
      <c r="AM290" s="96"/>
      <c r="AN290" s="96"/>
      <c r="AO290" s="96"/>
      <c r="AP290" s="96"/>
      <c r="AQ290" s="96"/>
      <c r="AR290" s="96"/>
    </row>
    <row r="291" spans="1:44" s="272" customFormat="1" ht="12" customHeight="1">
      <c r="A291" s="96"/>
      <c r="P291" s="146"/>
      <c r="X291" s="96"/>
      <c r="Y291" s="96"/>
      <c r="Z291" s="1255"/>
      <c r="AA291" s="96"/>
      <c r="AB291" s="96"/>
      <c r="AC291" s="96"/>
      <c r="AD291" s="96"/>
      <c r="AE291" s="96"/>
      <c r="AF291" s="96"/>
      <c r="AG291" s="96"/>
      <c r="AH291" s="96"/>
      <c r="AI291" s="96"/>
      <c r="AJ291" s="96"/>
      <c r="AK291" s="96"/>
      <c r="AL291" s="96"/>
      <c r="AM291" s="96"/>
      <c r="AN291" s="96"/>
      <c r="AO291" s="96"/>
      <c r="AP291" s="96"/>
      <c r="AQ291" s="96"/>
      <c r="AR291" s="96"/>
    </row>
    <row r="292" spans="1:44" s="272" customFormat="1" ht="12" customHeight="1">
      <c r="A292" s="96"/>
      <c r="P292" s="146"/>
      <c r="X292" s="96"/>
      <c r="Y292" s="96"/>
      <c r="Z292" s="1255"/>
      <c r="AA292" s="96"/>
      <c r="AB292" s="96"/>
      <c r="AC292" s="96"/>
      <c r="AD292" s="96"/>
      <c r="AE292" s="96"/>
      <c r="AF292" s="96"/>
      <c r="AG292" s="96"/>
      <c r="AH292" s="96"/>
      <c r="AI292" s="96"/>
      <c r="AJ292" s="96"/>
      <c r="AK292" s="96"/>
      <c r="AL292" s="96"/>
      <c r="AM292" s="96"/>
      <c r="AN292" s="96"/>
      <c r="AO292" s="96"/>
      <c r="AP292" s="96"/>
      <c r="AQ292" s="96"/>
      <c r="AR292" s="96"/>
    </row>
    <row r="293" spans="1:44" s="272" customFormat="1" ht="12" customHeight="1">
      <c r="A293" s="96"/>
      <c r="P293" s="146"/>
      <c r="X293" s="96"/>
      <c r="Y293" s="96"/>
      <c r="Z293" s="1255"/>
      <c r="AA293" s="96"/>
      <c r="AB293" s="96"/>
      <c r="AC293" s="96"/>
      <c r="AD293" s="96"/>
      <c r="AE293" s="96"/>
      <c r="AF293" s="96"/>
      <c r="AG293" s="96"/>
      <c r="AH293" s="96"/>
      <c r="AI293" s="96"/>
      <c r="AJ293" s="96"/>
      <c r="AK293" s="96"/>
      <c r="AL293" s="96"/>
      <c r="AM293" s="96"/>
      <c r="AN293" s="96"/>
      <c r="AO293" s="96"/>
      <c r="AP293" s="96"/>
      <c r="AQ293" s="96"/>
      <c r="AR293" s="96"/>
    </row>
    <row r="294" spans="1:44" s="272" customFormat="1" ht="12" customHeight="1">
      <c r="A294" s="96"/>
      <c r="P294" s="146"/>
      <c r="X294" s="96"/>
      <c r="Y294" s="96"/>
      <c r="Z294" s="1255"/>
      <c r="AA294" s="96"/>
      <c r="AB294" s="96"/>
      <c r="AC294" s="96"/>
      <c r="AD294" s="96"/>
      <c r="AE294" s="96"/>
      <c r="AF294" s="96"/>
      <c r="AG294" s="96"/>
      <c r="AH294" s="96"/>
      <c r="AI294" s="96"/>
      <c r="AJ294" s="96"/>
      <c r="AK294" s="96"/>
      <c r="AL294" s="96"/>
      <c r="AM294" s="96"/>
      <c r="AN294" s="96"/>
      <c r="AO294" s="96"/>
      <c r="AP294" s="96"/>
      <c r="AQ294" s="96"/>
      <c r="AR294" s="96"/>
    </row>
    <row r="295" spans="1:44" s="272" customFormat="1" ht="12" customHeight="1">
      <c r="A295" s="96"/>
      <c r="P295" s="146"/>
      <c r="X295" s="96"/>
      <c r="Y295" s="96"/>
      <c r="Z295" s="1255"/>
      <c r="AA295" s="96"/>
      <c r="AB295" s="96"/>
      <c r="AC295" s="96"/>
      <c r="AD295" s="96"/>
      <c r="AE295" s="96"/>
      <c r="AF295" s="96"/>
      <c r="AG295" s="96"/>
      <c r="AH295" s="96"/>
      <c r="AI295" s="96"/>
      <c r="AJ295" s="96"/>
      <c r="AK295" s="96"/>
      <c r="AL295" s="96"/>
      <c r="AM295" s="96"/>
      <c r="AN295" s="96"/>
      <c r="AO295" s="96"/>
      <c r="AP295" s="96"/>
      <c r="AQ295" s="96"/>
      <c r="AR295" s="96"/>
    </row>
    <row r="296" spans="1:44" s="272" customFormat="1" ht="12" customHeight="1">
      <c r="A296" s="96"/>
      <c r="P296" s="300"/>
      <c r="X296" s="96"/>
      <c r="Y296" s="96"/>
      <c r="Z296" s="1255"/>
      <c r="AA296" s="96"/>
      <c r="AB296" s="96"/>
      <c r="AC296" s="96"/>
      <c r="AD296" s="96"/>
      <c r="AE296" s="96"/>
      <c r="AF296" s="96"/>
      <c r="AG296" s="96"/>
      <c r="AH296" s="96"/>
      <c r="AI296" s="96"/>
      <c r="AJ296" s="96"/>
      <c r="AK296" s="96"/>
      <c r="AL296" s="96"/>
      <c r="AM296" s="96"/>
      <c r="AN296" s="96"/>
      <c r="AO296" s="96"/>
      <c r="AP296" s="96"/>
      <c r="AQ296" s="96"/>
      <c r="AR296" s="96"/>
    </row>
    <row r="297" spans="1:44" s="272" customFormat="1" ht="12" customHeight="1">
      <c r="A297" s="96"/>
      <c r="P297" s="146"/>
      <c r="X297" s="96"/>
      <c r="Y297" s="96"/>
      <c r="Z297" s="1255"/>
      <c r="AA297" s="96"/>
      <c r="AB297" s="96"/>
      <c r="AC297" s="96"/>
      <c r="AD297" s="96"/>
      <c r="AE297" s="96"/>
      <c r="AF297" s="96"/>
      <c r="AG297" s="96"/>
      <c r="AH297" s="96"/>
      <c r="AI297" s="96"/>
      <c r="AJ297" s="96"/>
      <c r="AK297" s="96"/>
      <c r="AL297" s="96"/>
      <c r="AM297" s="96"/>
      <c r="AN297" s="96"/>
      <c r="AO297" s="96"/>
      <c r="AP297" s="96"/>
      <c r="AQ297" s="96"/>
      <c r="AR297" s="96"/>
    </row>
    <row r="298" spans="1:44" s="272" customFormat="1" ht="12" customHeight="1">
      <c r="A298" s="96"/>
      <c r="P298" s="146"/>
      <c r="X298" s="96"/>
      <c r="Y298" s="96"/>
      <c r="Z298" s="1255"/>
      <c r="AA298" s="96"/>
      <c r="AB298" s="96"/>
      <c r="AC298" s="96"/>
      <c r="AD298" s="96"/>
      <c r="AE298" s="96"/>
      <c r="AF298" s="96"/>
      <c r="AG298" s="96"/>
      <c r="AH298" s="96"/>
      <c r="AI298" s="96"/>
      <c r="AJ298" s="96"/>
      <c r="AK298" s="96"/>
      <c r="AL298" s="96"/>
      <c r="AM298" s="96"/>
      <c r="AN298" s="96"/>
      <c r="AO298" s="96"/>
      <c r="AP298" s="96"/>
      <c r="AQ298" s="96"/>
      <c r="AR298" s="96"/>
    </row>
    <row r="299" spans="1:44" s="272" customFormat="1" ht="12" customHeight="1">
      <c r="A299" s="96"/>
      <c r="P299" s="146"/>
      <c r="X299" s="96"/>
      <c r="Y299" s="96"/>
      <c r="Z299" s="1255"/>
      <c r="AA299" s="96"/>
      <c r="AB299" s="96"/>
      <c r="AC299" s="96"/>
      <c r="AD299" s="96"/>
      <c r="AE299" s="96"/>
      <c r="AF299" s="96"/>
      <c r="AG299" s="96"/>
      <c r="AH299" s="96"/>
      <c r="AI299" s="96"/>
      <c r="AJ299" s="96"/>
      <c r="AK299" s="96"/>
      <c r="AL299" s="96"/>
      <c r="AM299" s="96"/>
      <c r="AN299" s="96"/>
      <c r="AO299" s="96"/>
      <c r="AP299" s="96"/>
      <c r="AQ299" s="96"/>
      <c r="AR299" s="96"/>
    </row>
    <row r="300" spans="1:44" s="272" customFormat="1" ht="12" customHeight="1">
      <c r="A300" s="96"/>
      <c r="P300" s="146"/>
      <c r="X300" s="96"/>
      <c r="Y300" s="96"/>
      <c r="Z300" s="1255"/>
      <c r="AA300" s="96"/>
      <c r="AB300" s="96"/>
      <c r="AC300" s="96"/>
      <c r="AD300" s="96"/>
      <c r="AE300" s="96"/>
      <c r="AF300" s="96"/>
      <c r="AG300" s="96"/>
      <c r="AH300" s="96"/>
      <c r="AI300" s="96"/>
      <c r="AJ300" s="96"/>
      <c r="AK300" s="96"/>
      <c r="AL300" s="96"/>
      <c r="AM300" s="96"/>
      <c r="AN300" s="96"/>
      <c r="AO300" s="96"/>
      <c r="AP300" s="96"/>
      <c r="AQ300" s="96"/>
      <c r="AR300" s="96"/>
    </row>
    <row r="301" spans="1:44" s="272" customFormat="1" ht="12" customHeight="1">
      <c r="A301" s="96"/>
      <c r="P301" s="146"/>
      <c r="X301" s="96"/>
      <c r="Y301" s="96"/>
      <c r="Z301" s="1255"/>
      <c r="AA301" s="96"/>
      <c r="AB301" s="96"/>
      <c r="AC301" s="96"/>
      <c r="AD301" s="96"/>
      <c r="AE301" s="96"/>
      <c r="AF301" s="96"/>
      <c r="AG301" s="96"/>
      <c r="AH301" s="96"/>
      <c r="AI301" s="96"/>
      <c r="AJ301" s="96"/>
      <c r="AK301" s="96"/>
      <c r="AL301" s="96"/>
      <c r="AM301" s="96"/>
      <c r="AN301" s="96"/>
      <c r="AO301" s="96"/>
      <c r="AP301" s="96"/>
      <c r="AQ301" s="96"/>
      <c r="AR301" s="96"/>
    </row>
    <row r="302" spans="1:44" s="272" customFormat="1" ht="12" customHeight="1">
      <c r="A302" s="96"/>
      <c r="P302" s="146"/>
      <c r="X302" s="96"/>
      <c r="Y302" s="96"/>
      <c r="Z302" s="1255"/>
      <c r="AA302" s="96"/>
      <c r="AB302" s="96"/>
      <c r="AC302" s="96"/>
      <c r="AD302" s="96"/>
      <c r="AE302" s="96"/>
      <c r="AF302" s="96"/>
      <c r="AG302" s="96"/>
      <c r="AH302" s="96"/>
      <c r="AI302" s="96"/>
      <c r="AJ302" s="96"/>
      <c r="AK302" s="96"/>
      <c r="AL302" s="96"/>
      <c r="AM302" s="96"/>
      <c r="AN302" s="96"/>
      <c r="AO302" s="96"/>
      <c r="AP302" s="96"/>
      <c r="AQ302" s="96"/>
      <c r="AR302" s="96"/>
    </row>
    <row r="303" spans="1:44" s="272" customFormat="1" ht="12" customHeight="1">
      <c r="A303" s="96"/>
      <c r="P303" s="146"/>
      <c r="X303" s="96"/>
      <c r="Y303" s="96"/>
      <c r="Z303" s="1255"/>
      <c r="AA303" s="96"/>
      <c r="AB303" s="96"/>
      <c r="AC303" s="96"/>
      <c r="AD303" s="96"/>
      <c r="AE303" s="96"/>
      <c r="AF303" s="96"/>
      <c r="AG303" s="96"/>
      <c r="AH303" s="96"/>
      <c r="AI303" s="96"/>
      <c r="AJ303" s="96"/>
      <c r="AK303" s="96"/>
      <c r="AL303" s="96"/>
      <c r="AM303" s="96"/>
      <c r="AN303" s="96"/>
      <c r="AO303" s="96"/>
      <c r="AP303" s="96"/>
      <c r="AQ303" s="96"/>
      <c r="AR303" s="96"/>
    </row>
    <row r="304" spans="1:44" s="272" customFormat="1" ht="12" customHeight="1">
      <c r="A304" s="96"/>
      <c r="P304" s="146"/>
      <c r="X304" s="96"/>
      <c r="Y304" s="96"/>
      <c r="Z304" s="1255"/>
      <c r="AA304" s="96"/>
      <c r="AB304" s="96"/>
      <c r="AC304" s="96"/>
      <c r="AD304" s="96"/>
      <c r="AE304" s="96"/>
      <c r="AF304" s="96"/>
      <c r="AG304" s="96"/>
      <c r="AH304" s="96"/>
      <c r="AI304" s="96"/>
      <c r="AJ304" s="96"/>
      <c r="AK304" s="96"/>
      <c r="AL304" s="96"/>
      <c r="AM304" s="96"/>
      <c r="AN304" s="96"/>
      <c r="AO304" s="96"/>
      <c r="AP304" s="96"/>
      <c r="AQ304" s="96"/>
      <c r="AR304" s="96"/>
    </row>
    <row r="305" spans="1:44" s="272" customFormat="1" ht="12" customHeight="1">
      <c r="A305" s="96"/>
      <c r="P305" s="146"/>
      <c r="X305" s="96"/>
      <c r="Y305" s="96"/>
      <c r="Z305" s="1255"/>
      <c r="AA305" s="96"/>
      <c r="AB305" s="96"/>
      <c r="AC305" s="96"/>
      <c r="AD305" s="96"/>
      <c r="AE305" s="96"/>
      <c r="AF305" s="96"/>
      <c r="AG305" s="96"/>
      <c r="AH305" s="96"/>
      <c r="AI305" s="96"/>
      <c r="AJ305" s="96"/>
      <c r="AK305" s="96"/>
      <c r="AL305" s="96"/>
      <c r="AM305" s="96"/>
      <c r="AN305" s="96"/>
      <c r="AO305" s="96"/>
      <c r="AP305" s="96"/>
      <c r="AQ305" s="96"/>
      <c r="AR305" s="96"/>
    </row>
    <row r="306" spans="1:44" s="272" customFormat="1" ht="12" customHeight="1">
      <c r="A306" s="96"/>
      <c r="P306" s="146"/>
      <c r="X306" s="96"/>
      <c r="Y306" s="96"/>
      <c r="Z306" s="1255"/>
      <c r="AA306" s="96"/>
      <c r="AB306" s="96"/>
      <c r="AC306" s="96"/>
      <c r="AD306" s="96"/>
      <c r="AE306" s="96"/>
      <c r="AF306" s="96"/>
      <c r="AG306" s="96"/>
      <c r="AH306" s="96"/>
      <c r="AI306" s="96"/>
      <c r="AJ306" s="96"/>
      <c r="AK306" s="96"/>
      <c r="AL306" s="96"/>
      <c r="AM306" s="96"/>
      <c r="AN306" s="96"/>
      <c r="AO306" s="96"/>
      <c r="AP306" s="96"/>
      <c r="AQ306" s="96"/>
      <c r="AR306" s="96"/>
    </row>
    <row r="307" spans="1:44" s="272" customFormat="1" ht="12" customHeight="1">
      <c r="A307" s="96"/>
      <c r="P307" s="146"/>
      <c r="X307" s="96"/>
      <c r="Y307" s="96"/>
      <c r="Z307" s="1255"/>
      <c r="AA307" s="96"/>
      <c r="AB307" s="96"/>
      <c r="AC307" s="96"/>
      <c r="AD307" s="96"/>
      <c r="AE307" s="96"/>
      <c r="AF307" s="96"/>
      <c r="AG307" s="96"/>
      <c r="AH307" s="96"/>
      <c r="AI307" s="96"/>
      <c r="AJ307" s="96"/>
      <c r="AK307" s="96"/>
      <c r="AL307" s="96"/>
      <c r="AM307" s="96"/>
      <c r="AN307" s="96"/>
      <c r="AO307" s="96"/>
      <c r="AP307" s="96"/>
      <c r="AQ307" s="96"/>
      <c r="AR307" s="96"/>
    </row>
    <row r="308" spans="1:44" s="272" customFormat="1" ht="12" customHeight="1">
      <c r="A308" s="96"/>
      <c r="P308" s="146"/>
      <c r="X308" s="96"/>
      <c r="Y308" s="96"/>
      <c r="Z308" s="1255"/>
      <c r="AA308" s="96"/>
      <c r="AB308" s="96"/>
      <c r="AC308" s="96"/>
      <c r="AD308" s="96"/>
      <c r="AE308" s="96"/>
      <c r="AF308" s="96"/>
      <c r="AG308" s="96"/>
      <c r="AH308" s="96"/>
      <c r="AI308" s="96"/>
      <c r="AJ308" s="96"/>
      <c r="AK308" s="96"/>
      <c r="AL308" s="96"/>
      <c r="AM308" s="96"/>
      <c r="AN308" s="96"/>
      <c r="AO308" s="96"/>
      <c r="AP308" s="96"/>
      <c r="AQ308" s="96"/>
      <c r="AR308" s="96"/>
    </row>
    <row r="309" spans="1:44" s="272" customFormat="1" ht="12" customHeight="1">
      <c r="A309" s="96"/>
      <c r="P309" s="300"/>
      <c r="X309" s="96"/>
      <c r="Y309" s="96"/>
      <c r="Z309" s="1255"/>
      <c r="AA309" s="96"/>
      <c r="AB309" s="96"/>
      <c r="AC309" s="96"/>
      <c r="AD309" s="96"/>
      <c r="AE309" s="96"/>
      <c r="AF309" s="96"/>
      <c r="AG309" s="96"/>
      <c r="AH309" s="96"/>
      <c r="AI309" s="96"/>
      <c r="AJ309" s="96"/>
      <c r="AK309" s="96"/>
      <c r="AL309" s="96"/>
      <c r="AM309" s="96"/>
      <c r="AN309" s="96"/>
      <c r="AO309" s="96"/>
      <c r="AP309" s="96"/>
      <c r="AQ309" s="96"/>
      <c r="AR309" s="96"/>
    </row>
    <row r="310" spans="1:44" s="272" customFormat="1" ht="12" customHeight="1">
      <c r="A310" s="96"/>
      <c r="P310" s="146"/>
      <c r="X310" s="96"/>
      <c r="Y310" s="96"/>
      <c r="Z310" s="1255"/>
      <c r="AA310" s="96"/>
      <c r="AB310" s="96"/>
      <c r="AC310" s="96"/>
      <c r="AD310" s="96"/>
      <c r="AE310" s="96"/>
      <c r="AF310" s="96"/>
      <c r="AG310" s="96"/>
      <c r="AH310" s="96"/>
      <c r="AI310" s="96"/>
      <c r="AJ310" s="96"/>
      <c r="AK310" s="96"/>
      <c r="AL310" s="96"/>
      <c r="AM310" s="96"/>
      <c r="AN310" s="96"/>
      <c r="AO310" s="96"/>
      <c r="AP310" s="96"/>
      <c r="AQ310" s="96"/>
      <c r="AR310" s="96"/>
    </row>
    <row r="311" spans="1:44" s="272" customFormat="1" ht="12" customHeight="1">
      <c r="A311" s="96"/>
      <c r="P311" s="146"/>
      <c r="X311" s="96"/>
      <c r="Y311" s="96"/>
      <c r="Z311" s="1255"/>
      <c r="AA311" s="96"/>
      <c r="AB311" s="96"/>
      <c r="AC311" s="96"/>
      <c r="AD311" s="96"/>
      <c r="AE311" s="96"/>
      <c r="AF311" s="96"/>
      <c r="AG311" s="96"/>
      <c r="AH311" s="96"/>
      <c r="AI311" s="96"/>
      <c r="AJ311" s="96"/>
      <c r="AK311" s="96"/>
      <c r="AL311" s="96"/>
      <c r="AM311" s="96"/>
      <c r="AN311" s="96"/>
      <c r="AO311" s="96"/>
      <c r="AP311" s="96"/>
      <c r="AQ311" s="96"/>
      <c r="AR311" s="96"/>
    </row>
    <row r="312" spans="1:44" s="272" customFormat="1" ht="12" customHeight="1">
      <c r="A312" s="96"/>
      <c r="P312" s="146"/>
      <c r="X312" s="96"/>
      <c r="Y312" s="96"/>
      <c r="Z312" s="1255"/>
      <c r="AA312" s="96"/>
      <c r="AB312" s="96"/>
      <c r="AC312" s="96"/>
      <c r="AD312" s="96"/>
      <c r="AE312" s="96"/>
      <c r="AF312" s="96"/>
      <c r="AG312" s="96"/>
      <c r="AH312" s="96"/>
      <c r="AI312" s="96"/>
      <c r="AJ312" s="96"/>
      <c r="AK312" s="96"/>
      <c r="AL312" s="96"/>
      <c r="AM312" s="96"/>
      <c r="AN312" s="96"/>
      <c r="AO312" s="96"/>
      <c r="AP312" s="96"/>
      <c r="AQ312" s="96"/>
      <c r="AR312" s="96"/>
    </row>
    <row r="313" spans="1:44" s="272" customFormat="1" ht="12" customHeight="1">
      <c r="A313" s="96"/>
      <c r="P313" s="146"/>
      <c r="X313" s="96"/>
      <c r="Y313" s="96"/>
      <c r="Z313" s="1255"/>
      <c r="AA313" s="96"/>
      <c r="AB313" s="96"/>
      <c r="AC313" s="96"/>
      <c r="AD313" s="96"/>
      <c r="AE313" s="96"/>
      <c r="AF313" s="96"/>
      <c r="AG313" s="96"/>
      <c r="AH313" s="96"/>
      <c r="AI313" s="96"/>
      <c r="AJ313" s="96"/>
      <c r="AK313" s="96"/>
      <c r="AL313" s="96"/>
      <c r="AM313" s="96"/>
      <c r="AN313" s="96"/>
      <c r="AO313" s="96"/>
      <c r="AP313" s="96"/>
      <c r="AQ313" s="96"/>
      <c r="AR313" s="96"/>
    </row>
    <row r="314" spans="1:44" s="272" customFormat="1" ht="12" customHeight="1">
      <c r="A314" s="96"/>
      <c r="P314" s="146"/>
      <c r="X314" s="96"/>
      <c r="Y314" s="96"/>
      <c r="Z314" s="1255"/>
      <c r="AA314" s="96"/>
      <c r="AB314" s="96"/>
      <c r="AC314" s="96"/>
      <c r="AD314" s="96"/>
      <c r="AE314" s="96"/>
      <c r="AF314" s="96"/>
      <c r="AG314" s="96"/>
      <c r="AH314" s="96"/>
      <c r="AI314" s="96"/>
      <c r="AJ314" s="96"/>
      <c r="AK314" s="96"/>
      <c r="AL314" s="96"/>
      <c r="AM314" s="96"/>
      <c r="AN314" s="96"/>
      <c r="AO314" s="96"/>
      <c r="AP314" s="96"/>
      <c r="AQ314" s="96"/>
      <c r="AR314" s="96"/>
    </row>
    <row r="315" spans="1:44" s="272" customFormat="1" ht="12" customHeight="1">
      <c r="A315" s="96"/>
      <c r="P315" s="146"/>
      <c r="X315" s="96"/>
      <c r="Y315" s="96"/>
      <c r="Z315" s="1255"/>
      <c r="AA315" s="96"/>
      <c r="AB315" s="96"/>
      <c r="AC315" s="96"/>
      <c r="AD315" s="96"/>
      <c r="AE315" s="96"/>
      <c r="AF315" s="96"/>
      <c r="AG315" s="96"/>
      <c r="AH315" s="96"/>
      <c r="AI315" s="96"/>
      <c r="AJ315" s="96"/>
      <c r="AK315" s="96"/>
      <c r="AL315" s="96"/>
      <c r="AM315" s="96"/>
      <c r="AN315" s="96"/>
      <c r="AO315" s="96"/>
      <c r="AP315" s="96"/>
      <c r="AQ315" s="96"/>
      <c r="AR315" s="96"/>
    </row>
    <row r="316" spans="1:44" s="272" customFormat="1" ht="12" customHeight="1">
      <c r="A316" s="96"/>
      <c r="P316" s="146"/>
      <c r="X316" s="96"/>
      <c r="Y316" s="96"/>
      <c r="Z316" s="1255"/>
      <c r="AA316" s="96"/>
      <c r="AB316" s="96"/>
      <c r="AC316" s="96"/>
      <c r="AD316" s="96"/>
      <c r="AE316" s="96"/>
      <c r="AF316" s="96"/>
      <c r="AG316" s="96"/>
      <c r="AH316" s="96"/>
      <c r="AI316" s="96"/>
      <c r="AJ316" s="96"/>
      <c r="AK316" s="96"/>
      <c r="AL316" s="96"/>
      <c r="AM316" s="96"/>
      <c r="AN316" s="96"/>
      <c r="AO316" s="96"/>
      <c r="AP316" s="96"/>
      <c r="AQ316" s="96"/>
      <c r="AR316" s="96"/>
    </row>
    <row r="317" spans="1:44" s="272" customFormat="1" ht="12" customHeight="1">
      <c r="A317" s="96"/>
      <c r="P317" s="146"/>
      <c r="X317" s="96"/>
      <c r="Y317" s="96"/>
      <c r="Z317" s="1255"/>
      <c r="AA317" s="96"/>
      <c r="AB317" s="96"/>
      <c r="AC317" s="96"/>
      <c r="AD317" s="96"/>
      <c r="AE317" s="96"/>
      <c r="AF317" s="96"/>
      <c r="AG317" s="96"/>
      <c r="AH317" s="96"/>
      <c r="AI317" s="96"/>
      <c r="AJ317" s="96"/>
      <c r="AK317" s="96"/>
      <c r="AL317" s="96"/>
      <c r="AM317" s="96"/>
      <c r="AN317" s="96"/>
      <c r="AO317" s="96"/>
      <c r="AP317" s="96"/>
      <c r="AQ317" s="96"/>
      <c r="AR317" s="96"/>
    </row>
    <row r="318" spans="1:44" s="272" customFormat="1" ht="12" customHeight="1">
      <c r="A318" s="96"/>
      <c r="P318" s="146"/>
      <c r="X318" s="96"/>
      <c r="Y318" s="96"/>
      <c r="Z318" s="1255"/>
      <c r="AA318" s="96"/>
      <c r="AB318" s="96"/>
      <c r="AC318" s="96"/>
      <c r="AD318" s="96"/>
      <c r="AE318" s="96"/>
      <c r="AF318" s="96"/>
      <c r="AG318" s="96"/>
      <c r="AH318" s="96"/>
      <c r="AI318" s="96"/>
      <c r="AJ318" s="96"/>
      <c r="AK318" s="96"/>
      <c r="AL318" s="96"/>
      <c r="AM318" s="96"/>
      <c r="AN318" s="96"/>
      <c r="AO318" s="96"/>
      <c r="AP318" s="96"/>
      <c r="AQ318" s="96"/>
      <c r="AR318" s="96"/>
    </row>
    <row r="319" spans="1:44" s="272" customFormat="1" ht="12" customHeight="1">
      <c r="A319" s="96"/>
      <c r="P319" s="146"/>
      <c r="X319" s="96"/>
      <c r="Y319" s="96"/>
      <c r="Z319" s="1255"/>
      <c r="AA319" s="96"/>
      <c r="AB319" s="96"/>
      <c r="AC319" s="96"/>
      <c r="AD319" s="96"/>
      <c r="AE319" s="96"/>
      <c r="AF319" s="96"/>
      <c r="AG319" s="96"/>
      <c r="AH319" s="96"/>
      <c r="AI319" s="96"/>
      <c r="AJ319" s="96"/>
      <c r="AK319" s="96"/>
      <c r="AL319" s="96"/>
      <c r="AM319" s="96"/>
      <c r="AN319" s="96"/>
      <c r="AO319" s="96"/>
      <c r="AP319" s="96"/>
      <c r="AQ319" s="96"/>
      <c r="AR319" s="96"/>
    </row>
    <row r="320" spans="1:44" s="272" customFormat="1" ht="12" customHeight="1">
      <c r="A320" s="96"/>
      <c r="P320" s="146"/>
      <c r="X320" s="96"/>
      <c r="Y320" s="96"/>
      <c r="Z320" s="1255"/>
      <c r="AA320" s="96"/>
      <c r="AB320" s="96"/>
      <c r="AC320" s="96"/>
      <c r="AD320" s="96"/>
      <c r="AE320" s="96"/>
      <c r="AF320" s="96"/>
      <c r="AG320" s="96"/>
      <c r="AH320" s="96"/>
      <c r="AI320" s="96"/>
      <c r="AJ320" s="96"/>
      <c r="AK320" s="96"/>
      <c r="AL320" s="96"/>
      <c r="AM320" s="96"/>
      <c r="AN320" s="96"/>
      <c r="AO320" s="96"/>
      <c r="AP320" s="96"/>
      <c r="AQ320" s="96"/>
      <c r="AR320" s="96"/>
    </row>
    <row r="321" spans="1:44" s="272" customFormat="1" ht="12" customHeight="1">
      <c r="A321" s="96"/>
      <c r="P321" s="146"/>
      <c r="X321" s="96"/>
      <c r="Y321" s="96"/>
      <c r="Z321" s="1255"/>
      <c r="AA321" s="96"/>
      <c r="AB321" s="96"/>
      <c r="AC321" s="96"/>
      <c r="AD321" s="96"/>
      <c r="AE321" s="96"/>
      <c r="AF321" s="96"/>
      <c r="AG321" s="96"/>
      <c r="AH321" s="96"/>
      <c r="AI321" s="96"/>
      <c r="AJ321" s="96"/>
      <c r="AK321" s="96"/>
      <c r="AL321" s="96"/>
      <c r="AM321" s="96"/>
      <c r="AN321" s="96"/>
      <c r="AO321" s="96"/>
      <c r="AP321" s="96"/>
      <c r="AQ321" s="96"/>
      <c r="AR321" s="96"/>
    </row>
    <row r="322" spans="1:44" s="272" customFormat="1" ht="12" customHeight="1">
      <c r="A322" s="96"/>
      <c r="P322" s="146"/>
      <c r="X322" s="96"/>
      <c r="Y322" s="96"/>
      <c r="Z322" s="1255"/>
      <c r="AA322" s="96"/>
      <c r="AB322" s="96"/>
      <c r="AC322" s="96"/>
      <c r="AD322" s="96"/>
      <c r="AE322" s="96"/>
      <c r="AF322" s="96"/>
      <c r="AG322" s="96"/>
      <c r="AH322" s="96"/>
      <c r="AI322" s="96"/>
      <c r="AJ322" s="96"/>
      <c r="AK322" s="96"/>
      <c r="AL322" s="96"/>
      <c r="AM322" s="96"/>
      <c r="AN322" s="96"/>
      <c r="AO322" s="96"/>
      <c r="AP322" s="96"/>
      <c r="AQ322" s="96"/>
      <c r="AR322" s="96"/>
    </row>
    <row r="323" spans="1:44" s="272" customFormat="1" ht="12" customHeight="1">
      <c r="A323" s="96"/>
      <c r="P323" s="300"/>
      <c r="X323" s="96"/>
      <c r="Y323" s="96"/>
      <c r="Z323" s="1255"/>
      <c r="AA323" s="96"/>
      <c r="AB323" s="96"/>
      <c r="AC323" s="96"/>
      <c r="AD323" s="96"/>
      <c r="AE323" s="96"/>
      <c r="AF323" s="96"/>
      <c r="AG323" s="96"/>
      <c r="AH323" s="96"/>
      <c r="AI323" s="96"/>
      <c r="AJ323" s="96"/>
      <c r="AK323" s="96"/>
      <c r="AL323" s="96"/>
      <c r="AM323" s="96"/>
      <c r="AN323" s="96"/>
      <c r="AO323" s="96"/>
      <c r="AP323" s="96"/>
      <c r="AQ323" s="96"/>
      <c r="AR323" s="96"/>
    </row>
    <row r="324" spans="1:44" s="272" customFormat="1" ht="12" customHeight="1">
      <c r="A324" s="96"/>
      <c r="P324" s="146"/>
      <c r="X324" s="96"/>
      <c r="Y324" s="96"/>
      <c r="Z324" s="1255"/>
      <c r="AA324" s="96"/>
      <c r="AB324" s="96"/>
      <c r="AC324" s="96"/>
      <c r="AD324" s="96"/>
      <c r="AE324" s="96"/>
      <c r="AF324" s="96"/>
      <c r="AG324" s="96"/>
      <c r="AH324" s="96"/>
      <c r="AI324" s="96"/>
      <c r="AJ324" s="96"/>
      <c r="AK324" s="96"/>
      <c r="AL324" s="96"/>
      <c r="AM324" s="96"/>
      <c r="AN324" s="96"/>
      <c r="AO324" s="96"/>
      <c r="AP324" s="96"/>
      <c r="AQ324" s="96"/>
      <c r="AR324" s="96"/>
    </row>
    <row r="325" spans="1:44" s="272" customFormat="1" ht="12" customHeight="1">
      <c r="A325" s="96"/>
      <c r="P325" s="300"/>
      <c r="X325" s="96"/>
      <c r="Y325" s="96"/>
      <c r="Z325" s="1255"/>
      <c r="AA325" s="96"/>
      <c r="AB325" s="96"/>
      <c r="AC325" s="96"/>
      <c r="AD325" s="96"/>
      <c r="AE325" s="96"/>
      <c r="AF325" s="96"/>
      <c r="AG325" s="96"/>
      <c r="AH325" s="96"/>
      <c r="AI325" s="96"/>
      <c r="AJ325" s="96"/>
      <c r="AK325" s="96"/>
      <c r="AL325" s="96"/>
      <c r="AM325" s="96"/>
      <c r="AN325" s="96"/>
      <c r="AO325" s="96"/>
      <c r="AP325" s="96"/>
      <c r="AQ325" s="96"/>
      <c r="AR325" s="96"/>
    </row>
    <row r="326" spans="1:44" s="272" customFormat="1" ht="12" customHeight="1">
      <c r="A326" s="96"/>
      <c r="P326" s="146"/>
      <c r="X326" s="96"/>
      <c r="Y326" s="96"/>
      <c r="Z326" s="1255"/>
      <c r="AA326" s="96"/>
      <c r="AB326" s="96"/>
      <c r="AC326" s="96"/>
      <c r="AD326" s="96"/>
      <c r="AE326" s="96"/>
      <c r="AF326" s="96"/>
      <c r="AG326" s="96"/>
      <c r="AH326" s="96"/>
      <c r="AI326" s="96"/>
      <c r="AJ326" s="96"/>
      <c r="AK326" s="96"/>
      <c r="AL326" s="96"/>
      <c r="AM326" s="96"/>
      <c r="AN326" s="96"/>
      <c r="AO326" s="96"/>
      <c r="AP326" s="96"/>
      <c r="AQ326" s="96"/>
      <c r="AR326" s="96"/>
    </row>
    <row r="327" spans="1:44" s="272" customFormat="1" ht="12" customHeight="1">
      <c r="A327" s="96"/>
      <c r="P327" s="300"/>
      <c r="X327" s="96"/>
      <c r="Y327" s="96"/>
      <c r="Z327" s="1255"/>
      <c r="AA327" s="96"/>
      <c r="AB327" s="96"/>
      <c r="AC327" s="96"/>
      <c r="AD327" s="96"/>
      <c r="AE327" s="96"/>
      <c r="AF327" s="96"/>
      <c r="AG327" s="96"/>
      <c r="AH327" s="96"/>
      <c r="AI327" s="96"/>
      <c r="AJ327" s="96"/>
      <c r="AK327" s="96"/>
      <c r="AL327" s="96"/>
      <c r="AM327" s="96"/>
      <c r="AN327" s="96"/>
      <c r="AO327" s="96"/>
      <c r="AP327" s="96"/>
      <c r="AQ327" s="96"/>
      <c r="AR327" s="96"/>
    </row>
    <row r="328" spans="1:44" s="272" customFormat="1" ht="12" customHeight="1">
      <c r="A328" s="96"/>
      <c r="P328" s="146"/>
      <c r="X328" s="96"/>
      <c r="Y328" s="96"/>
      <c r="Z328" s="1255"/>
      <c r="AA328" s="96"/>
      <c r="AB328" s="96"/>
      <c r="AC328" s="96"/>
      <c r="AD328" s="96"/>
      <c r="AE328" s="96"/>
      <c r="AF328" s="96"/>
      <c r="AG328" s="96"/>
      <c r="AH328" s="96"/>
      <c r="AI328" s="96"/>
      <c r="AJ328" s="96"/>
      <c r="AK328" s="96"/>
      <c r="AL328" s="96"/>
      <c r="AM328" s="96"/>
      <c r="AN328" s="96"/>
      <c r="AO328" s="96"/>
      <c r="AP328" s="96"/>
      <c r="AQ328" s="96"/>
      <c r="AR328" s="96"/>
    </row>
    <row r="329" spans="1:44" s="272" customFormat="1" ht="12" customHeight="1">
      <c r="A329" s="96"/>
      <c r="P329" s="146"/>
      <c r="X329" s="96"/>
      <c r="Y329" s="96"/>
      <c r="Z329" s="1255"/>
      <c r="AA329" s="96"/>
      <c r="AB329" s="96"/>
      <c r="AC329" s="96"/>
      <c r="AD329" s="96"/>
      <c r="AE329" s="96"/>
      <c r="AF329" s="96"/>
      <c r="AG329" s="96"/>
      <c r="AH329" s="96"/>
      <c r="AI329" s="96"/>
      <c r="AJ329" s="96"/>
      <c r="AK329" s="96"/>
      <c r="AL329" s="96"/>
      <c r="AM329" s="96"/>
      <c r="AN329" s="96"/>
      <c r="AO329" s="96"/>
      <c r="AP329" s="96"/>
      <c r="AQ329" s="96"/>
      <c r="AR329" s="96"/>
    </row>
    <row r="330" spans="1:44" s="272" customFormat="1" ht="12" customHeight="1">
      <c r="A330" s="96"/>
      <c r="P330" s="146"/>
      <c r="X330" s="96"/>
      <c r="Y330" s="96"/>
      <c r="Z330" s="1255"/>
      <c r="AA330" s="96"/>
      <c r="AB330" s="96"/>
      <c r="AC330" s="96"/>
      <c r="AD330" s="96"/>
      <c r="AE330" s="96"/>
      <c r="AF330" s="96"/>
      <c r="AG330" s="96"/>
      <c r="AH330" s="96"/>
      <c r="AI330" s="96"/>
      <c r="AJ330" s="96"/>
      <c r="AK330" s="96"/>
      <c r="AL330" s="96"/>
      <c r="AM330" s="96"/>
      <c r="AN330" s="96"/>
      <c r="AO330" s="96"/>
      <c r="AP330" s="96"/>
      <c r="AQ330" s="96"/>
      <c r="AR330" s="96"/>
    </row>
    <row r="331" spans="1:44" s="272" customFormat="1" ht="12" customHeight="1">
      <c r="A331" s="96"/>
      <c r="P331" s="146"/>
      <c r="X331" s="96"/>
      <c r="Y331" s="96"/>
      <c r="Z331" s="1255"/>
      <c r="AA331" s="96"/>
      <c r="AB331" s="96"/>
      <c r="AC331" s="96"/>
      <c r="AD331" s="96"/>
      <c r="AE331" s="96"/>
      <c r="AF331" s="96"/>
      <c r="AG331" s="96"/>
      <c r="AH331" s="96"/>
      <c r="AI331" s="96"/>
      <c r="AJ331" s="96"/>
      <c r="AK331" s="96"/>
      <c r="AL331" s="96"/>
      <c r="AM331" s="96"/>
      <c r="AN331" s="96"/>
      <c r="AO331" s="96"/>
      <c r="AP331" s="96"/>
      <c r="AQ331" s="96"/>
      <c r="AR331" s="96"/>
    </row>
    <row r="332" spans="1:44" s="272" customFormat="1" ht="12" customHeight="1">
      <c r="A332" s="96"/>
      <c r="P332" s="146"/>
      <c r="X332" s="96"/>
      <c r="Y332" s="96"/>
      <c r="Z332" s="1255"/>
      <c r="AA332" s="96"/>
      <c r="AB332" s="96"/>
      <c r="AC332" s="96"/>
      <c r="AD332" s="96"/>
      <c r="AE332" s="96"/>
      <c r="AF332" s="96"/>
      <c r="AG332" s="96"/>
      <c r="AH332" s="96"/>
      <c r="AI332" s="96"/>
      <c r="AJ332" s="96"/>
      <c r="AK332" s="96"/>
      <c r="AL332" s="96"/>
      <c r="AM332" s="96"/>
      <c r="AN332" s="96"/>
      <c r="AO332" s="96"/>
      <c r="AP332" s="96"/>
      <c r="AQ332" s="96"/>
      <c r="AR332" s="96"/>
    </row>
    <row r="333" spans="1:44" s="272" customFormat="1" ht="12" customHeight="1">
      <c r="A333" s="96"/>
      <c r="P333" s="146"/>
      <c r="X333" s="96"/>
      <c r="Y333" s="96"/>
      <c r="Z333" s="1255"/>
      <c r="AA333" s="96"/>
      <c r="AB333" s="96"/>
      <c r="AC333" s="96"/>
      <c r="AD333" s="96"/>
      <c r="AE333" s="96"/>
      <c r="AF333" s="96"/>
      <c r="AG333" s="96"/>
      <c r="AH333" s="96"/>
      <c r="AI333" s="96"/>
      <c r="AJ333" s="96"/>
      <c r="AK333" s="96"/>
      <c r="AL333" s="96"/>
      <c r="AM333" s="96"/>
      <c r="AN333" s="96"/>
      <c r="AO333" s="96"/>
      <c r="AP333" s="96"/>
      <c r="AQ333" s="96"/>
      <c r="AR333" s="96"/>
    </row>
    <row r="334" spans="1:44" s="272" customFormat="1" ht="12" customHeight="1">
      <c r="A334" s="96"/>
      <c r="P334" s="146"/>
      <c r="X334" s="96"/>
      <c r="Y334" s="96"/>
      <c r="Z334" s="1255"/>
      <c r="AA334" s="96"/>
      <c r="AB334" s="96"/>
      <c r="AC334" s="96"/>
      <c r="AD334" s="96"/>
      <c r="AE334" s="96"/>
      <c r="AF334" s="96"/>
      <c r="AG334" s="96"/>
      <c r="AH334" s="96"/>
      <c r="AI334" s="96"/>
      <c r="AJ334" s="96"/>
      <c r="AK334" s="96"/>
      <c r="AL334" s="96"/>
      <c r="AM334" s="96"/>
      <c r="AN334" s="96"/>
      <c r="AO334" s="96"/>
      <c r="AP334" s="96"/>
      <c r="AQ334" s="96"/>
      <c r="AR334" s="96"/>
    </row>
    <row r="335" spans="1:44" s="272" customFormat="1" ht="12" customHeight="1">
      <c r="A335" s="96"/>
      <c r="P335" s="146"/>
      <c r="X335" s="96"/>
      <c r="Y335" s="96"/>
      <c r="Z335" s="1255"/>
      <c r="AA335" s="96"/>
      <c r="AB335" s="96"/>
      <c r="AC335" s="96"/>
      <c r="AD335" s="96"/>
      <c r="AE335" s="96"/>
      <c r="AF335" s="96"/>
      <c r="AG335" s="96"/>
      <c r="AH335" s="96"/>
      <c r="AI335" s="96"/>
      <c r="AJ335" s="96"/>
      <c r="AK335" s="96"/>
      <c r="AL335" s="96"/>
      <c r="AM335" s="96"/>
      <c r="AN335" s="96"/>
      <c r="AO335" s="96"/>
      <c r="AP335" s="96"/>
      <c r="AQ335" s="96"/>
      <c r="AR335" s="96"/>
    </row>
    <row r="336" spans="1:44" s="272" customFormat="1" ht="12" customHeight="1">
      <c r="A336" s="96"/>
      <c r="P336" s="146"/>
      <c r="X336" s="96"/>
      <c r="Y336" s="96"/>
      <c r="Z336" s="1255"/>
      <c r="AA336" s="96"/>
      <c r="AB336" s="96"/>
      <c r="AC336" s="96"/>
      <c r="AD336" s="96"/>
      <c r="AE336" s="96"/>
      <c r="AF336" s="96"/>
      <c r="AG336" s="96"/>
      <c r="AH336" s="96"/>
      <c r="AI336" s="96"/>
      <c r="AJ336" s="96"/>
      <c r="AK336" s="96"/>
      <c r="AL336" s="96"/>
      <c r="AM336" s="96"/>
      <c r="AN336" s="96"/>
      <c r="AO336" s="96"/>
      <c r="AP336" s="96"/>
      <c r="AQ336" s="96"/>
      <c r="AR336" s="96"/>
    </row>
    <row r="337" spans="1:44" s="272" customFormat="1" ht="12" customHeight="1">
      <c r="A337" s="96"/>
      <c r="P337" s="146"/>
      <c r="X337" s="96"/>
      <c r="Y337" s="96"/>
      <c r="Z337" s="1255"/>
      <c r="AA337" s="96"/>
      <c r="AB337" s="96"/>
      <c r="AC337" s="96"/>
      <c r="AD337" s="96"/>
      <c r="AE337" s="96"/>
      <c r="AF337" s="96"/>
      <c r="AG337" s="96"/>
      <c r="AH337" s="96"/>
      <c r="AI337" s="96"/>
      <c r="AJ337" s="96"/>
      <c r="AK337" s="96"/>
      <c r="AL337" s="96"/>
      <c r="AM337" s="96"/>
      <c r="AN337" s="96"/>
      <c r="AO337" s="96"/>
      <c r="AP337" s="96"/>
      <c r="AQ337" s="96"/>
      <c r="AR337" s="96"/>
    </row>
    <row r="338" spans="1:44" s="272" customFormat="1" ht="12" customHeight="1">
      <c r="A338" s="96"/>
      <c r="P338" s="146"/>
      <c r="X338" s="96"/>
      <c r="Y338" s="96"/>
      <c r="Z338" s="1255"/>
      <c r="AA338" s="96"/>
      <c r="AB338" s="96"/>
      <c r="AC338" s="96"/>
      <c r="AD338" s="96"/>
      <c r="AE338" s="96"/>
      <c r="AF338" s="96"/>
      <c r="AG338" s="96"/>
      <c r="AH338" s="96"/>
      <c r="AI338" s="96"/>
      <c r="AJ338" s="96"/>
      <c r="AK338" s="96"/>
      <c r="AL338" s="96"/>
      <c r="AM338" s="96"/>
      <c r="AN338" s="96"/>
      <c r="AO338" s="96"/>
      <c r="AP338" s="96"/>
      <c r="AQ338" s="96"/>
      <c r="AR338" s="96"/>
    </row>
    <row r="339" spans="1:44" s="272" customFormat="1" ht="12" customHeight="1">
      <c r="A339" s="96"/>
      <c r="P339" s="146"/>
      <c r="X339" s="96"/>
      <c r="Y339" s="96"/>
      <c r="Z339" s="1255"/>
      <c r="AA339" s="96"/>
      <c r="AB339" s="96"/>
      <c r="AC339" s="96"/>
      <c r="AD339" s="96"/>
      <c r="AE339" s="96"/>
      <c r="AF339" s="96"/>
      <c r="AG339" s="96"/>
      <c r="AH339" s="96"/>
      <c r="AI339" s="96"/>
      <c r="AJ339" s="96"/>
      <c r="AK339" s="96"/>
      <c r="AL339" s="96"/>
      <c r="AM339" s="96"/>
      <c r="AN339" s="96"/>
      <c r="AO339" s="96"/>
      <c r="AP339" s="96"/>
      <c r="AQ339" s="96"/>
      <c r="AR339" s="96"/>
    </row>
    <row r="340" spans="1:44" s="272" customFormat="1" ht="12" customHeight="1">
      <c r="A340" s="96"/>
      <c r="P340" s="146"/>
      <c r="X340" s="96"/>
      <c r="Y340" s="96"/>
      <c r="Z340" s="1255"/>
      <c r="AA340" s="96"/>
      <c r="AB340" s="96"/>
      <c r="AC340" s="96"/>
      <c r="AD340" s="96"/>
      <c r="AE340" s="96"/>
      <c r="AF340" s="96"/>
      <c r="AG340" s="96"/>
      <c r="AH340" s="96"/>
      <c r="AI340" s="96"/>
      <c r="AJ340" s="96"/>
      <c r="AK340" s="96"/>
      <c r="AL340" s="96"/>
      <c r="AM340" s="96"/>
      <c r="AN340" s="96"/>
      <c r="AO340" s="96"/>
      <c r="AP340" s="96"/>
      <c r="AQ340" s="96"/>
      <c r="AR340" s="96"/>
    </row>
    <row r="341" spans="1:44" s="272" customFormat="1" ht="12" customHeight="1">
      <c r="A341" s="96"/>
      <c r="P341" s="146"/>
      <c r="X341" s="96"/>
      <c r="Y341" s="96"/>
      <c r="Z341" s="1255"/>
      <c r="AA341" s="96"/>
      <c r="AB341" s="96"/>
      <c r="AC341" s="96"/>
      <c r="AD341" s="96"/>
      <c r="AE341" s="96"/>
      <c r="AF341" s="96"/>
      <c r="AG341" s="96"/>
      <c r="AH341" s="96"/>
      <c r="AI341" s="96"/>
      <c r="AJ341" s="96"/>
      <c r="AK341" s="96"/>
      <c r="AL341" s="96"/>
      <c r="AM341" s="96"/>
      <c r="AN341" s="96"/>
      <c r="AO341" s="96"/>
      <c r="AP341" s="96"/>
      <c r="AQ341" s="96"/>
      <c r="AR341" s="96"/>
    </row>
    <row r="342" spans="1:44" s="272" customFormat="1" ht="12" customHeight="1">
      <c r="A342" s="96"/>
      <c r="P342" s="146"/>
      <c r="X342" s="96"/>
      <c r="Y342" s="96"/>
      <c r="Z342" s="1255"/>
      <c r="AA342" s="96"/>
      <c r="AB342" s="96"/>
      <c r="AC342" s="96"/>
      <c r="AD342" s="96"/>
      <c r="AE342" s="96"/>
      <c r="AF342" s="96"/>
      <c r="AG342" s="96"/>
      <c r="AH342" s="96"/>
      <c r="AI342" s="96"/>
      <c r="AJ342" s="96"/>
      <c r="AK342" s="96"/>
      <c r="AL342" s="96"/>
      <c r="AM342" s="96"/>
      <c r="AN342" s="96"/>
      <c r="AO342" s="96"/>
      <c r="AP342" s="96"/>
      <c r="AQ342" s="96"/>
      <c r="AR342" s="96"/>
    </row>
    <row r="343" spans="1:44" s="272" customFormat="1" ht="12" customHeight="1">
      <c r="A343" s="96"/>
      <c r="P343" s="300"/>
      <c r="X343" s="96"/>
      <c r="Y343" s="96"/>
      <c r="Z343" s="1255"/>
      <c r="AA343" s="96"/>
      <c r="AB343" s="96"/>
      <c r="AC343" s="96"/>
      <c r="AD343" s="96"/>
      <c r="AE343" s="96"/>
      <c r="AF343" s="96"/>
      <c r="AG343" s="96"/>
      <c r="AH343" s="96"/>
      <c r="AI343" s="96"/>
      <c r="AJ343" s="96"/>
      <c r="AK343" s="96"/>
      <c r="AL343" s="96"/>
      <c r="AM343" s="96"/>
      <c r="AN343" s="96"/>
      <c r="AO343" s="96"/>
      <c r="AP343" s="96"/>
      <c r="AQ343" s="96"/>
      <c r="AR343" s="96"/>
    </row>
    <row r="344" spans="1:44" s="272" customFormat="1" ht="12" customHeight="1">
      <c r="A344" s="96"/>
      <c r="P344" s="146"/>
      <c r="X344" s="96"/>
      <c r="Y344" s="96"/>
      <c r="Z344" s="1255"/>
      <c r="AA344" s="96"/>
      <c r="AB344" s="96"/>
      <c r="AC344" s="96"/>
      <c r="AD344" s="96"/>
      <c r="AE344" s="96"/>
      <c r="AF344" s="96"/>
      <c r="AG344" s="96"/>
      <c r="AH344" s="96"/>
      <c r="AI344" s="96"/>
      <c r="AJ344" s="96"/>
      <c r="AK344" s="96"/>
      <c r="AL344" s="96"/>
      <c r="AM344" s="96"/>
      <c r="AN344" s="96"/>
      <c r="AO344" s="96"/>
      <c r="AP344" s="96"/>
      <c r="AQ344" s="96"/>
      <c r="AR344" s="96"/>
    </row>
    <row r="345" spans="1:44" s="272" customFormat="1" ht="12" customHeight="1">
      <c r="A345" s="96"/>
      <c r="P345" s="146"/>
      <c r="X345" s="96"/>
      <c r="Y345" s="96"/>
      <c r="Z345" s="1255"/>
      <c r="AA345" s="96"/>
      <c r="AB345" s="96"/>
      <c r="AC345" s="96"/>
      <c r="AD345" s="96"/>
      <c r="AE345" s="96"/>
      <c r="AF345" s="96"/>
      <c r="AG345" s="96"/>
      <c r="AH345" s="96"/>
      <c r="AI345" s="96"/>
      <c r="AJ345" s="96"/>
      <c r="AK345" s="96"/>
      <c r="AL345" s="96"/>
      <c r="AM345" s="96"/>
      <c r="AN345" s="96"/>
      <c r="AO345" s="96"/>
      <c r="AP345" s="96"/>
      <c r="AQ345" s="96"/>
      <c r="AR345" s="96"/>
    </row>
    <row r="346" spans="1:44" s="272" customFormat="1" ht="12" customHeight="1">
      <c r="A346" s="96"/>
      <c r="P346" s="146"/>
      <c r="X346" s="96"/>
      <c r="Y346" s="96"/>
      <c r="Z346" s="1255"/>
      <c r="AA346" s="96"/>
      <c r="AB346" s="96"/>
      <c r="AC346" s="96"/>
      <c r="AD346" s="96"/>
      <c r="AE346" s="96"/>
      <c r="AF346" s="96"/>
      <c r="AG346" s="96"/>
      <c r="AH346" s="96"/>
      <c r="AI346" s="96"/>
      <c r="AJ346" s="96"/>
      <c r="AK346" s="96"/>
      <c r="AL346" s="96"/>
      <c r="AM346" s="96"/>
      <c r="AN346" s="96"/>
      <c r="AO346" s="96"/>
      <c r="AP346" s="96"/>
      <c r="AQ346" s="96"/>
      <c r="AR346" s="96"/>
    </row>
    <row r="347" spans="1:44" s="272" customFormat="1" ht="12" customHeight="1">
      <c r="A347" s="96"/>
      <c r="P347" s="146"/>
      <c r="X347" s="96"/>
      <c r="Y347" s="96"/>
      <c r="Z347" s="1255"/>
      <c r="AA347" s="96"/>
      <c r="AB347" s="96"/>
      <c r="AC347" s="96"/>
      <c r="AD347" s="96"/>
      <c r="AE347" s="96"/>
      <c r="AF347" s="96"/>
      <c r="AG347" s="96"/>
      <c r="AH347" s="96"/>
      <c r="AI347" s="96"/>
      <c r="AJ347" s="96"/>
      <c r="AK347" s="96"/>
      <c r="AL347" s="96"/>
      <c r="AM347" s="96"/>
      <c r="AN347" s="96"/>
      <c r="AO347" s="96"/>
      <c r="AP347" s="96"/>
      <c r="AQ347" s="96"/>
      <c r="AR347" s="96"/>
    </row>
    <row r="348" spans="1:44" s="272" customFormat="1" ht="12" customHeight="1">
      <c r="A348" s="96"/>
      <c r="P348" s="146"/>
      <c r="X348" s="96"/>
      <c r="Y348" s="96"/>
      <c r="Z348" s="1255"/>
      <c r="AA348" s="96"/>
      <c r="AB348" s="96"/>
      <c r="AC348" s="96"/>
      <c r="AD348" s="96"/>
      <c r="AE348" s="96"/>
      <c r="AF348" s="96"/>
      <c r="AG348" s="96"/>
      <c r="AH348" s="96"/>
      <c r="AI348" s="96"/>
      <c r="AJ348" s="96"/>
      <c r="AK348" s="96"/>
      <c r="AL348" s="96"/>
      <c r="AM348" s="96"/>
      <c r="AN348" s="96"/>
      <c r="AO348" s="96"/>
      <c r="AP348" s="96"/>
      <c r="AQ348" s="96"/>
      <c r="AR348" s="96"/>
    </row>
    <row r="349" spans="1:44" s="272" customFormat="1" ht="12" customHeight="1">
      <c r="A349" s="96"/>
      <c r="P349" s="146"/>
      <c r="X349" s="96"/>
      <c r="Y349" s="96"/>
      <c r="Z349" s="1255"/>
      <c r="AA349" s="96"/>
      <c r="AB349" s="96"/>
      <c r="AC349" s="96"/>
      <c r="AD349" s="96"/>
      <c r="AE349" s="96"/>
      <c r="AF349" s="96"/>
      <c r="AG349" s="96"/>
      <c r="AH349" s="96"/>
      <c r="AI349" s="96"/>
      <c r="AJ349" s="96"/>
      <c r="AK349" s="96"/>
      <c r="AL349" s="96"/>
      <c r="AM349" s="96"/>
      <c r="AN349" s="96"/>
      <c r="AO349" s="96"/>
      <c r="AP349" s="96"/>
      <c r="AQ349" s="96"/>
      <c r="AR349" s="96"/>
    </row>
    <row r="350" spans="1:44" s="272" customFormat="1" ht="12" customHeight="1">
      <c r="A350" s="96"/>
      <c r="P350" s="146"/>
      <c r="X350" s="96"/>
      <c r="Y350" s="96"/>
      <c r="Z350" s="1255"/>
      <c r="AA350" s="96"/>
      <c r="AB350" s="96"/>
      <c r="AC350" s="96"/>
      <c r="AD350" s="96"/>
      <c r="AE350" s="96"/>
      <c r="AF350" s="96"/>
      <c r="AG350" s="96"/>
      <c r="AH350" s="96"/>
      <c r="AI350" s="96"/>
      <c r="AJ350" s="96"/>
      <c r="AK350" s="96"/>
      <c r="AL350" s="96"/>
      <c r="AM350" s="96"/>
      <c r="AN350" s="96"/>
      <c r="AO350" s="96"/>
      <c r="AP350" s="96"/>
      <c r="AQ350" s="96"/>
      <c r="AR350" s="96"/>
    </row>
    <row r="351" spans="1:44" s="272" customFormat="1" ht="12" customHeight="1">
      <c r="A351" s="96"/>
      <c r="P351" s="146"/>
      <c r="X351" s="96"/>
      <c r="Y351" s="96"/>
      <c r="Z351" s="1255"/>
      <c r="AA351" s="96"/>
      <c r="AB351" s="96"/>
      <c r="AC351" s="96"/>
      <c r="AD351" s="96"/>
      <c r="AE351" s="96"/>
      <c r="AF351" s="96"/>
      <c r="AG351" s="96"/>
      <c r="AH351" s="96"/>
      <c r="AI351" s="96"/>
      <c r="AJ351" s="96"/>
      <c r="AK351" s="96"/>
      <c r="AL351" s="96"/>
      <c r="AM351" s="96"/>
      <c r="AN351" s="96"/>
      <c r="AO351" s="96"/>
      <c r="AP351" s="96"/>
      <c r="AQ351" s="96"/>
      <c r="AR351" s="96"/>
    </row>
    <row r="352" spans="1:44" s="272" customFormat="1" ht="12" customHeight="1">
      <c r="A352" s="96"/>
      <c r="P352" s="300"/>
      <c r="X352" s="96"/>
      <c r="Y352" s="96"/>
      <c r="Z352" s="1255"/>
      <c r="AA352" s="96"/>
      <c r="AB352" s="96"/>
      <c r="AC352" s="96"/>
      <c r="AD352" s="96"/>
      <c r="AE352" s="96"/>
      <c r="AF352" s="96"/>
      <c r="AG352" s="96"/>
      <c r="AH352" s="96"/>
      <c r="AI352" s="96"/>
      <c r="AJ352" s="96"/>
      <c r="AK352" s="96"/>
      <c r="AL352" s="96"/>
      <c r="AM352" s="96"/>
      <c r="AN352" s="96"/>
      <c r="AO352" s="96"/>
      <c r="AP352" s="96"/>
      <c r="AQ352" s="96"/>
      <c r="AR352" s="96"/>
    </row>
    <row r="353" spans="1:44" s="272" customFormat="1" ht="12" customHeight="1">
      <c r="A353" s="96"/>
      <c r="P353" s="300"/>
      <c r="X353" s="96"/>
      <c r="Y353" s="96"/>
      <c r="Z353" s="1255"/>
      <c r="AA353" s="96"/>
      <c r="AB353" s="96"/>
      <c r="AC353" s="96"/>
      <c r="AD353" s="96"/>
      <c r="AE353" s="96"/>
      <c r="AF353" s="96"/>
      <c r="AG353" s="96"/>
      <c r="AH353" s="96"/>
      <c r="AI353" s="96"/>
      <c r="AJ353" s="96"/>
      <c r="AK353" s="96"/>
      <c r="AL353" s="96"/>
      <c r="AM353" s="96"/>
      <c r="AN353" s="96"/>
      <c r="AO353" s="96"/>
      <c r="AP353" s="96"/>
      <c r="AQ353" s="96"/>
      <c r="AR353" s="96"/>
    </row>
    <row r="354" spans="1:44" s="272" customFormat="1" ht="12" customHeight="1">
      <c r="A354" s="96"/>
      <c r="P354" s="146"/>
      <c r="X354" s="96"/>
      <c r="Y354" s="96"/>
      <c r="Z354" s="1255"/>
      <c r="AA354" s="96"/>
      <c r="AB354" s="96"/>
      <c r="AC354" s="96"/>
      <c r="AD354" s="96"/>
      <c r="AE354" s="96"/>
      <c r="AF354" s="96"/>
      <c r="AG354" s="96"/>
      <c r="AH354" s="96"/>
      <c r="AI354" s="96"/>
      <c r="AJ354" s="96"/>
      <c r="AK354" s="96"/>
      <c r="AL354" s="96"/>
      <c r="AM354" s="96"/>
      <c r="AN354" s="96"/>
      <c r="AO354" s="96"/>
      <c r="AP354" s="96"/>
      <c r="AQ354" s="96"/>
      <c r="AR354" s="96"/>
    </row>
    <row r="355" spans="1:44" s="272" customFormat="1" ht="12" customHeight="1">
      <c r="A355" s="96"/>
      <c r="P355" s="146"/>
      <c r="X355" s="96"/>
      <c r="Y355" s="96"/>
      <c r="Z355" s="1255"/>
      <c r="AA355" s="96"/>
      <c r="AB355" s="96"/>
      <c r="AC355" s="96"/>
      <c r="AD355" s="96"/>
      <c r="AE355" s="96"/>
      <c r="AF355" s="96"/>
      <c r="AG355" s="96"/>
      <c r="AH355" s="96"/>
      <c r="AI355" s="96"/>
      <c r="AJ355" s="96"/>
      <c r="AK355" s="96"/>
      <c r="AL355" s="96"/>
      <c r="AM355" s="96"/>
      <c r="AN355" s="96"/>
      <c r="AO355" s="96"/>
      <c r="AP355" s="96"/>
      <c r="AQ355" s="96"/>
      <c r="AR355" s="96"/>
    </row>
    <row r="356" spans="1:44" s="272" customFormat="1" ht="12" customHeight="1">
      <c r="A356" s="96"/>
      <c r="P356" s="146"/>
      <c r="X356" s="96"/>
      <c r="Y356" s="96"/>
      <c r="Z356" s="1255"/>
      <c r="AA356" s="96"/>
      <c r="AB356" s="96"/>
      <c r="AC356" s="96"/>
      <c r="AD356" s="96"/>
      <c r="AE356" s="96"/>
      <c r="AF356" s="96"/>
      <c r="AG356" s="96"/>
      <c r="AH356" s="96"/>
      <c r="AI356" s="96"/>
      <c r="AJ356" s="96"/>
      <c r="AK356" s="96"/>
      <c r="AL356" s="96"/>
      <c r="AM356" s="96"/>
      <c r="AN356" s="96"/>
      <c r="AO356" s="96"/>
      <c r="AP356" s="96"/>
      <c r="AQ356" s="96"/>
      <c r="AR356" s="96"/>
    </row>
    <row r="357" spans="1:44" s="272" customFormat="1" ht="12" customHeight="1">
      <c r="A357" s="96"/>
      <c r="P357" s="146"/>
      <c r="X357" s="96"/>
      <c r="Y357" s="96"/>
      <c r="Z357" s="1255"/>
      <c r="AA357" s="96"/>
      <c r="AB357" s="96"/>
      <c r="AC357" s="96"/>
      <c r="AD357" s="96"/>
      <c r="AE357" s="96"/>
      <c r="AF357" s="96"/>
      <c r="AG357" s="96"/>
      <c r="AH357" s="96"/>
      <c r="AI357" s="96"/>
      <c r="AJ357" s="96"/>
      <c r="AK357" s="96"/>
      <c r="AL357" s="96"/>
      <c r="AM357" s="96"/>
      <c r="AN357" s="96"/>
      <c r="AO357" s="96"/>
      <c r="AP357" s="96"/>
      <c r="AQ357" s="96"/>
      <c r="AR357" s="96"/>
    </row>
    <row r="358" spans="1:44" s="272" customFormat="1" ht="12" customHeight="1">
      <c r="A358" s="96"/>
      <c r="P358" s="146"/>
      <c r="X358" s="96"/>
      <c r="Y358" s="96"/>
      <c r="Z358" s="1255"/>
      <c r="AA358" s="96"/>
      <c r="AB358" s="96"/>
      <c r="AC358" s="96"/>
      <c r="AD358" s="96"/>
      <c r="AE358" s="96"/>
      <c r="AF358" s="96"/>
      <c r="AG358" s="96"/>
      <c r="AH358" s="96"/>
      <c r="AI358" s="96"/>
      <c r="AJ358" s="96"/>
      <c r="AK358" s="96"/>
      <c r="AL358" s="96"/>
      <c r="AM358" s="96"/>
      <c r="AN358" s="96"/>
      <c r="AO358" s="96"/>
      <c r="AP358" s="96"/>
      <c r="AQ358" s="96"/>
      <c r="AR358" s="96"/>
    </row>
    <row r="359" spans="1:44" s="272" customFormat="1" ht="12" customHeight="1">
      <c r="A359" s="96"/>
      <c r="P359" s="146"/>
      <c r="X359" s="96"/>
      <c r="Y359" s="96"/>
      <c r="Z359" s="1255"/>
      <c r="AA359" s="96"/>
      <c r="AB359" s="96"/>
      <c r="AC359" s="96"/>
      <c r="AD359" s="96"/>
      <c r="AE359" s="96"/>
      <c r="AF359" s="96"/>
      <c r="AG359" s="96"/>
      <c r="AH359" s="96"/>
      <c r="AI359" s="96"/>
      <c r="AJ359" s="96"/>
      <c r="AK359" s="96"/>
      <c r="AL359" s="96"/>
      <c r="AM359" s="96"/>
      <c r="AN359" s="96"/>
      <c r="AO359" s="96"/>
      <c r="AP359" s="96"/>
      <c r="AQ359" s="96"/>
      <c r="AR359" s="96"/>
    </row>
    <row r="360" spans="1:44" s="272" customFormat="1" ht="12" customHeight="1">
      <c r="A360" s="96"/>
      <c r="P360" s="146"/>
      <c r="X360" s="96"/>
      <c r="Y360" s="96"/>
      <c r="Z360" s="1255"/>
      <c r="AA360" s="96"/>
      <c r="AB360" s="96"/>
      <c r="AC360" s="96"/>
      <c r="AD360" s="96"/>
      <c r="AE360" s="96"/>
      <c r="AF360" s="96"/>
      <c r="AG360" s="96"/>
      <c r="AH360" s="96"/>
      <c r="AI360" s="96"/>
      <c r="AJ360" s="96"/>
      <c r="AK360" s="96"/>
      <c r="AL360" s="96"/>
      <c r="AM360" s="96"/>
      <c r="AN360" s="96"/>
      <c r="AO360" s="96"/>
      <c r="AP360" s="96"/>
      <c r="AQ360" s="96"/>
      <c r="AR360" s="96"/>
    </row>
    <row r="361" spans="1:44" s="272" customFormat="1" ht="12" customHeight="1">
      <c r="A361" s="96"/>
      <c r="P361" s="146"/>
      <c r="X361" s="96"/>
      <c r="Y361" s="96"/>
      <c r="Z361" s="1255"/>
      <c r="AA361" s="96"/>
      <c r="AB361" s="96"/>
      <c r="AC361" s="96"/>
      <c r="AD361" s="96"/>
      <c r="AE361" s="96"/>
      <c r="AF361" s="96"/>
      <c r="AG361" s="96"/>
      <c r="AH361" s="96"/>
      <c r="AI361" s="96"/>
      <c r="AJ361" s="96"/>
      <c r="AK361" s="96"/>
      <c r="AL361" s="96"/>
      <c r="AM361" s="96"/>
      <c r="AN361" s="96"/>
      <c r="AO361" s="96"/>
      <c r="AP361" s="96"/>
      <c r="AQ361" s="96"/>
      <c r="AR361" s="96"/>
    </row>
    <row r="362" spans="1:44" s="272" customFormat="1" ht="12" customHeight="1">
      <c r="A362" s="96"/>
      <c r="P362" s="146"/>
      <c r="X362" s="96"/>
      <c r="Y362" s="96"/>
      <c r="Z362" s="1255"/>
      <c r="AA362" s="96"/>
      <c r="AB362" s="96"/>
      <c r="AC362" s="96"/>
      <c r="AD362" s="96"/>
      <c r="AE362" s="96"/>
      <c r="AF362" s="96"/>
      <c r="AG362" s="96"/>
      <c r="AH362" s="96"/>
      <c r="AI362" s="96"/>
      <c r="AJ362" s="96"/>
      <c r="AK362" s="96"/>
      <c r="AL362" s="96"/>
      <c r="AM362" s="96"/>
      <c r="AN362" s="96"/>
      <c r="AO362" s="96"/>
      <c r="AP362" s="96"/>
      <c r="AQ362" s="96"/>
      <c r="AR362" s="96"/>
    </row>
    <row r="363" spans="1:44" s="272" customFormat="1" ht="12" customHeight="1">
      <c r="A363" s="96"/>
      <c r="P363" s="300"/>
      <c r="X363" s="96"/>
      <c r="Y363" s="96"/>
      <c r="Z363" s="1255"/>
      <c r="AA363" s="96"/>
      <c r="AB363" s="96"/>
      <c r="AC363" s="96"/>
      <c r="AD363" s="96"/>
      <c r="AE363" s="96"/>
      <c r="AF363" s="96"/>
      <c r="AG363" s="96"/>
      <c r="AH363" s="96"/>
      <c r="AI363" s="96"/>
      <c r="AJ363" s="96"/>
      <c r="AK363" s="96"/>
      <c r="AL363" s="96"/>
      <c r="AM363" s="96"/>
      <c r="AN363" s="96"/>
      <c r="AO363" s="96"/>
      <c r="AP363" s="96"/>
      <c r="AQ363" s="96"/>
      <c r="AR363" s="96"/>
    </row>
    <row r="364" spans="1:44" s="272" customFormat="1" ht="12" customHeight="1">
      <c r="A364" s="96"/>
      <c r="P364" s="146"/>
      <c r="X364" s="96"/>
      <c r="Y364" s="96"/>
      <c r="Z364" s="1255"/>
      <c r="AA364" s="96"/>
      <c r="AB364" s="96"/>
      <c r="AC364" s="96"/>
      <c r="AD364" s="96"/>
      <c r="AE364" s="96"/>
      <c r="AF364" s="96"/>
      <c r="AG364" s="96"/>
      <c r="AH364" s="96"/>
      <c r="AI364" s="96"/>
      <c r="AJ364" s="96"/>
      <c r="AK364" s="96"/>
      <c r="AL364" s="96"/>
      <c r="AM364" s="96"/>
      <c r="AN364" s="96"/>
      <c r="AO364" s="96"/>
      <c r="AP364" s="96"/>
      <c r="AQ364" s="96"/>
      <c r="AR364" s="96"/>
    </row>
    <row r="365" spans="1:44" s="272" customFormat="1" ht="12" customHeight="1">
      <c r="A365" s="96"/>
      <c r="P365" s="300"/>
      <c r="X365" s="96"/>
      <c r="Y365" s="96"/>
      <c r="Z365" s="1255"/>
      <c r="AA365" s="96"/>
      <c r="AB365" s="96"/>
      <c r="AC365" s="96"/>
      <c r="AD365" s="96"/>
      <c r="AE365" s="96"/>
      <c r="AF365" s="96"/>
      <c r="AG365" s="96"/>
      <c r="AH365" s="96"/>
      <c r="AI365" s="96"/>
      <c r="AJ365" s="96"/>
      <c r="AK365" s="96"/>
      <c r="AL365" s="96"/>
      <c r="AM365" s="96"/>
      <c r="AN365" s="96"/>
      <c r="AO365" s="96"/>
      <c r="AP365" s="96"/>
      <c r="AQ365" s="96"/>
      <c r="AR365" s="96"/>
    </row>
    <row r="366" spans="1:44" s="272" customFormat="1" ht="12" customHeight="1">
      <c r="A366" s="96"/>
      <c r="P366" s="300"/>
      <c r="X366" s="96"/>
      <c r="Y366" s="96"/>
      <c r="Z366" s="1255"/>
      <c r="AA366" s="96"/>
      <c r="AB366" s="96"/>
      <c r="AC366" s="96"/>
      <c r="AD366" s="96"/>
      <c r="AE366" s="96"/>
      <c r="AF366" s="96"/>
      <c r="AG366" s="96"/>
      <c r="AH366" s="96"/>
      <c r="AI366" s="96"/>
      <c r="AJ366" s="96"/>
      <c r="AK366" s="96"/>
      <c r="AL366" s="96"/>
      <c r="AM366" s="96"/>
      <c r="AN366" s="96"/>
      <c r="AO366" s="96"/>
      <c r="AP366" s="96"/>
      <c r="AQ366" s="96"/>
      <c r="AR366" s="96"/>
    </row>
    <row r="367" spans="1:44" s="272" customFormat="1" ht="12" customHeight="1">
      <c r="A367" s="96"/>
      <c r="P367" s="146"/>
      <c r="X367" s="96"/>
      <c r="Y367" s="96"/>
      <c r="Z367" s="1255"/>
      <c r="AA367" s="96"/>
      <c r="AB367" s="96"/>
      <c r="AC367" s="96"/>
      <c r="AD367" s="96"/>
      <c r="AE367" s="96"/>
      <c r="AF367" s="96"/>
      <c r="AG367" s="96"/>
      <c r="AH367" s="96"/>
      <c r="AI367" s="96"/>
      <c r="AJ367" s="96"/>
      <c r="AK367" s="96"/>
      <c r="AL367" s="96"/>
      <c r="AM367" s="96"/>
      <c r="AN367" s="96"/>
      <c r="AO367" s="96"/>
      <c r="AP367" s="96"/>
      <c r="AQ367" s="96"/>
      <c r="AR367" s="96"/>
    </row>
    <row r="368" spans="1:44" s="272" customFormat="1" ht="12" customHeight="1">
      <c r="A368" s="96"/>
      <c r="P368" s="146"/>
      <c r="X368" s="96"/>
      <c r="Y368" s="96"/>
      <c r="Z368" s="1255"/>
      <c r="AA368" s="96"/>
      <c r="AB368" s="96"/>
      <c r="AC368" s="96"/>
      <c r="AD368" s="96"/>
      <c r="AE368" s="96"/>
      <c r="AF368" s="96"/>
      <c r="AG368" s="96"/>
      <c r="AH368" s="96"/>
      <c r="AI368" s="96"/>
      <c r="AJ368" s="96"/>
      <c r="AK368" s="96"/>
      <c r="AL368" s="96"/>
      <c r="AM368" s="96"/>
      <c r="AN368" s="96"/>
      <c r="AO368" s="96"/>
      <c r="AP368" s="96"/>
      <c r="AQ368" s="96"/>
      <c r="AR368" s="96"/>
    </row>
    <row r="369" spans="1:44" s="272" customFormat="1" ht="12" customHeight="1">
      <c r="A369" s="96"/>
      <c r="P369" s="146"/>
      <c r="X369" s="96"/>
      <c r="Y369" s="96"/>
      <c r="Z369" s="1255"/>
      <c r="AA369" s="96"/>
      <c r="AB369" s="96"/>
      <c r="AC369" s="96"/>
      <c r="AD369" s="96"/>
      <c r="AE369" s="96"/>
      <c r="AF369" s="96"/>
      <c r="AG369" s="96"/>
      <c r="AH369" s="96"/>
      <c r="AI369" s="96"/>
      <c r="AJ369" s="96"/>
      <c r="AK369" s="96"/>
      <c r="AL369" s="96"/>
      <c r="AM369" s="96"/>
      <c r="AN369" s="96"/>
      <c r="AO369" s="96"/>
      <c r="AP369" s="96"/>
      <c r="AQ369" s="96"/>
      <c r="AR369" s="96"/>
    </row>
    <row r="370" spans="1:44" s="272" customFormat="1" ht="12" customHeight="1">
      <c r="A370" s="96"/>
      <c r="P370" s="146"/>
      <c r="X370" s="96"/>
      <c r="Y370" s="96"/>
      <c r="Z370" s="1255"/>
      <c r="AA370" s="96"/>
      <c r="AB370" s="96"/>
      <c r="AC370" s="96"/>
      <c r="AD370" s="96"/>
      <c r="AE370" s="96"/>
      <c r="AF370" s="96"/>
      <c r="AG370" s="96"/>
      <c r="AH370" s="96"/>
      <c r="AI370" s="96"/>
      <c r="AJ370" s="96"/>
      <c r="AK370" s="96"/>
      <c r="AL370" s="96"/>
      <c r="AM370" s="96"/>
      <c r="AN370" s="96"/>
      <c r="AO370" s="96"/>
      <c r="AP370" s="96"/>
      <c r="AQ370" s="96"/>
      <c r="AR370" s="96"/>
    </row>
    <row r="371" spans="1:44" s="272" customFormat="1" ht="12" customHeight="1">
      <c r="A371" s="96"/>
      <c r="P371" s="146"/>
      <c r="X371" s="96"/>
      <c r="Y371" s="96"/>
      <c r="Z371" s="1255"/>
      <c r="AA371" s="96"/>
      <c r="AB371" s="96"/>
      <c r="AC371" s="96"/>
      <c r="AD371" s="96"/>
      <c r="AE371" s="96"/>
      <c r="AF371" s="96"/>
      <c r="AG371" s="96"/>
      <c r="AH371" s="96"/>
      <c r="AI371" s="96"/>
      <c r="AJ371" s="96"/>
      <c r="AK371" s="96"/>
      <c r="AL371" s="96"/>
      <c r="AM371" s="96"/>
      <c r="AN371" s="96"/>
      <c r="AO371" s="96"/>
      <c r="AP371" s="96"/>
      <c r="AQ371" s="96"/>
      <c r="AR371" s="96"/>
    </row>
    <row r="372" spans="1:44" s="272" customFormat="1" ht="12" customHeight="1">
      <c r="A372" s="96"/>
      <c r="P372" s="146"/>
      <c r="X372" s="96"/>
      <c r="Y372" s="96"/>
      <c r="Z372" s="1255"/>
      <c r="AA372" s="96"/>
      <c r="AB372" s="96"/>
      <c r="AC372" s="96"/>
      <c r="AD372" s="96"/>
      <c r="AE372" s="96"/>
      <c r="AF372" s="96"/>
      <c r="AG372" s="96"/>
      <c r="AH372" s="96"/>
      <c r="AI372" s="96"/>
      <c r="AJ372" s="96"/>
      <c r="AK372" s="96"/>
      <c r="AL372" s="96"/>
      <c r="AM372" s="96"/>
      <c r="AN372" s="96"/>
      <c r="AO372" s="96"/>
      <c r="AP372" s="96"/>
      <c r="AQ372" s="96"/>
      <c r="AR372" s="96"/>
    </row>
    <row r="373" spans="1:44" s="272" customFormat="1" ht="12" customHeight="1">
      <c r="A373" s="96"/>
      <c r="P373" s="146"/>
      <c r="X373" s="96"/>
      <c r="Y373" s="96"/>
      <c r="Z373" s="1255"/>
      <c r="AA373" s="96"/>
      <c r="AB373" s="96"/>
      <c r="AC373" s="96"/>
      <c r="AD373" s="96"/>
      <c r="AE373" s="96"/>
      <c r="AF373" s="96"/>
      <c r="AG373" s="96"/>
      <c r="AH373" s="96"/>
      <c r="AI373" s="96"/>
      <c r="AJ373" s="96"/>
      <c r="AK373" s="96"/>
      <c r="AL373" s="96"/>
      <c r="AM373" s="96"/>
      <c r="AN373" s="96"/>
      <c r="AO373" s="96"/>
      <c r="AP373" s="96"/>
      <c r="AQ373" s="96"/>
      <c r="AR373" s="96"/>
    </row>
    <row r="374" spans="1:44" s="272" customFormat="1" ht="12" customHeight="1">
      <c r="A374" s="96"/>
      <c r="P374" s="146"/>
      <c r="X374" s="96"/>
      <c r="Y374" s="96"/>
      <c r="Z374" s="1255"/>
      <c r="AA374" s="96"/>
      <c r="AB374" s="96"/>
      <c r="AC374" s="96"/>
      <c r="AD374" s="96"/>
      <c r="AE374" s="96"/>
      <c r="AF374" s="96"/>
      <c r="AG374" s="96"/>
      <c r="AH374" s="96"/>
      <c r="AI374" s="96"/>
      <c r="AJ374" s="96"/>
      <c r="AK374" s="96"/>
      <c r="AL374" s="96"/>
      <c r="AM374" s="96"/>
      <c r="AN374" s="96"/>
      <c r="AO374" s="96"/>
      <c r="AP374" s="96"/>
      <c r="AQ374" s="96"/>
      <c r="AR374" s="96"/>
    </row>
    <row r="375" spans="1:44" s="272" customFormat="1" ht="12" customHeight="1">
      <c r="A375" s="96"/>
      <c r="P375" s="146"/>
      <c r="X375" s="96"/>
      <c r="Y375" s="96"/>
      <c r="Z375" s="1255"/>
      <c r="AA375" s="96"/>
      <c r="AB375" s="96"/>
      <c r="AC375" s="96"/>
      <c r="AD375" s="96"/>
      <c r="AE375" s="96"/>
      <c r="AF375" s="96"/>
      <c r="AG375" s="96"/>
      <c r="AH375" s="96"/>
      <c r="AI375" s="96"/>
      <c r="AJ375" s="96"/>
      <c r="AK375" s="96"/>
      <c r="AL375" s="96"/>
      <c r="AM375" s="96"/>
      <c r="AN375" s="96"/>
      <c r="AO375" s="96"/>
      <c r="AP375" s="96"/>
      <c r="AQ375" s="96"/>
      <c r="AR375" s="96"/>
    </row>
    <row r="376" spans="1:44" s="272" customFormat="1" ht="12" customHeight="1">
      <c r="A376" s="96"/>
      <c r="P376" s="146"/>
      <c r="X376" s="96"/>
      <c r="Y376" s="96"/>
      <c r="Z376" s="1255"/>
      <c r="AA376" s="96"/>
      <c r="AB376" s="96"/>
      <c r="AC376" s="96"/>
      <c r="AD376" s="96"/>
      <c r="AE376" s="96"/>
      <c r="AF376" s="96"/>
      <c r="AG376" s="96"/>
      <c r="AH376" s="96"/>
      <c r="AI376" s="96"/>
      <c r="AJ376" s="96"/>
      <c r="AK376" s="96"/>
      <c r="AL376" s="96"/>
      <c r="AM376" s="96"/>
      <c r="AN376" s="96"/>
      <c r="AO376" s="96"/>
      <c r="AP376" s="96"/>
      <c r="AQ376" s="96"/>
      <c r="AR376" s="96"/>
    </row>
    <row r="377" spans="1:44" s="272" customFormat="1" ht="12" customHeight="1">
      <c r="A377" s="96"/>
      <c r="P377" s="146"/>
      <c r="X377" s="96"/>
      <c r="Y377" s="96"/>
      <c r="Z377" s="1255"/>
      <c r="AA377" s="96"/>
      <c r="AB377" s="96"/>
      <c r="AC377" s="96"/>
      <c r="AD377" s="96"/>
      <c r="AE377" s="96"/>
      <c r="AF377" s="96"/>
      <c r="AG377" s="96"/>
      <c r="AH377" s="96"/>
      <c r="AI377" s="96"/>
      <c r="AJ377" s="96"/>
      <c r="AK377" s="96"/>
      <c r="AL377" s="96"/>
      <c r="AM377" s="96"/>
      <c r="AN377" s="96"/>
      <c r="AO377" s="96"/>
      <c r="AP377" s="96"/>
      <c r="AQ377" s="96"/>
      <c r="AR377" s="96"/>
    </row>
    <row r="378" spans="1:44" s="272" customFormat="1" ht="12" customHeight="1">
      <c r="A378" s="96"/>
      <c r="P378" s="146"/>
      <c r="X378" s="96"/>
      <c r="Y378" s="96"/>
      <c r="Z378" s="1255"/>
      <c r="AA378" s="96"/>
      <c r="AB378" s="96"/>
      <c r="AC378" s="96"/>
      <c r="AD378" s="96"/>
      <c r="AE378" s="96"/>
      <c r="AF378" s="96"/>
      <c r="AG378" s="96"/>
      <c r="AH378" s="96"/>
      <c r="AI378" s="96"/>
      <c r="AJ378" s="96"/>
      <c r="AK378" s="96"/>
      <c r="AL378" s="96"/>
      <c r="AM378" s="96"/>
      <c r="AN378" s="96"/>
      <c r="AO378" s="96"/>
      <c r="AP378" s="96"/>
      <c r="AQ378" s="96"/>
      <c r="AR378" s="96"/>
    </row>
    <row r="379" spans="1:44" s="272" customFormat="1" ht="12" customHeight="1">
      <c r="A379" s="96"/>
      <c r="P379" s="146"/>
      <c r="X379" s="96"/>
      <c r="Y379" s="96"/>
      <c r="Z379" s="1255"/>
      <c r="AA379" s="96"/>
      <c r="AB379" s="96"/>
      <c r="AC379" s="96"/>
      <c r="AD379" s="96"/>
      <c r="AE379" s="96"/>
      <c r="AF379" s="96"/>
      <c r="AG379" s="96"/>
      <c r="AH379" s="96"/>
      <c r="AI379" s="96"/>
      <c r="AJ379" s="96"/>
      <c r="AK379" s="96"/>
      <c r="AL379" s="96"/>
      <c r="AM379" s="96"/>
      <c r="AN379" s="96"/>
      <c r="AO379" s="96"/>
      <c r="AP379" s="96"/>
      <c r="AQ379" s="96"/>
      <c r="AR379" s="96"/>
    </row>
    <row r="380" spans="1:44" s="272" customFormat="1" ht="12" customHeight="1">
      <c r="A380" s="96"/>
      <c r="P380" s="146"/>
      <c r="X380" s="96"/>
      <c r="Y380" s="96"/>
      <c r="Z380" s="1255"/>
      <c r="AA380" s="96"/>
      <c r="AB380" s="96"/>
      <c r="AC380" s="96"/>
      <c r="AD380" s="96"/>
      <c r="AE380" s="96"/>
      <c r="AF380" s="96"/>
      <c r="AG380" s="96"/>
      <c r="AH380" s="96"/>
      <c r="AI380" s="96"/>
      <c r="AJ380" s="96"/>
      <c r="AK380" s="96"/>
      <c r="AL380" s="96"/>
      <c r="AM380" s="96"/>
      <c r="AN380" s="96"/>
      <c r="AO380" s="96"/>
      <c r="AP380" s="96"/>
      <c r="AQ380" s="96"/>
      <c r="AR380" s="96"/>
    </row>
    <row r="381" spans="1:44" s="272" customFormat="1" ht="12" customHeight="1">
      <c r="A381" s="96"/>
      <c r="P381" s="300"/>
      <c r="X381" s="96"/>
      <c r="Y381" s="96"/>
      <c r="Z381" s="1255"/>
      <c r="AA381" s="96"/>
      <c r="AB381" s="96"/>
      <c r="AC381" s="96"/>
      <c r="AD381" s="96"/>
      <c r="AE381" s="96"/>
      <c r="AF381" s="96"/>
      <c r="AG381" s="96"/>
      <c r="AH381" s="96"/>
      <c r="AI381" s="96"/>
      <c r="AJ381" s="96"/>
      <c r="AK381" s="96"/>
      <c r="AL381" s="96"/>
      <c r="AM381" s="96"/>
      <c r="AN381" s="96"/>
      <c r="AO381" s="96"/>
      <c r="AP381" s="96"/>
      <c r="AQ381" s="96"/>
      <c r="AR381" s="96"/>
    </row>
    <row r="382" spans="1:44" s="272" customFormat="1" ht="12" customHeight="1">
      <c r="A382" s="96"/>
      <c r="P382" s="146"/>
      <c r="X382" s="96"/>
      <c r="Y382" s="96"/>
      <c r="Z382" s="1255"/>
      <c r="AA382" s="96"/>
      <c r="AB382" s="96"/>
      <c r="AC382" s="96"/>
      <c r="AD382" s="96"/>
      <c r="AE382" s="96"/>
      <c r="AF382" s="96"/>
      <c r="AG382" s="96"/>
      <c r="AH382" s="96"/>
      <c r="AI382" s="96"/>
      <c r="AJ382" s="96"/>
      <c r="AK382" s="96"/>
      <c r="AL382" s="96"/>
      <c r="AM382" s="96"/>
      <c r="AN382" s="96"/>
      <c r="AO382" s="96"/>
      <c r="AP382" s="96"/>
      <c r="AQ382" s="96"/>
      <c r="AR382" s="96"/>
    </row>
    <row r="383" spans="1:44" s="272" customFormat="1" ht="12" customHeight="1">
      <c r="A383" s="96"/>
      <c r="P383" s="146"/>
      <c r="X383" s="96"/>
      <c r="Y383" s="96"/>
      <c r="Z383" s="1255"/>
      <c r="AA383" s="96"/>
      <c r="AB383" s="96"/>
      <c r="AC383" s="96"/>
      <c r="AD383" s="96"/>
      <c r="AE383" s="96"/>
      <c r="AF383" s="96"/>
      <c r="AG383" s="96"/>
      <c r="AH383" s="96"/>
      <c r="AI383" s="96"/>
      <c r="AJ383" s="96"/>
      <c r="AK383" s="96"/>
      <c r="AL383" s="96"/>
      <c r="AM383" s="96"/>
      <c r="AN383" s="96"/>
      <c r="AO383" s="96"/>
      <c r="AP383" s="96"/>
      <c r="AQ383" s="96"/>
      <c r="AR383" s="96"/>
    </row>
    <row r="384" spans="1:44" s="272" customFormat="1" ht="12" customHeight="1">
      <c r="A384" s="96"/>
      <c r="P384" s="146"/>
      <c r="X384" s="96"/>
      <c r="Y384" s="96"/>
      <c r="Z384" s="1255"/>
      <c r="AA384" s="96"/>
      <c r="AB384" s="96"/>
      <c r="AC384" s="96"/>
      <c r="AD384" s="96"/>
      <c r="AE384" s="96"/>
      <c r="AF384" s="96"/>
      <c r="AG384" s="96"/>
      <c r="AH384" s="96"/>
      <c r="AI384" s="96"/>
      <c r="AJ384" s="96"/>
      <c r="AK384" s="96"/>
      <c r="AL384" s="96"/>
      <c r="AM384" s="96"/>
      <c r="AN384" s="96"/>
      <c r="AO384" s="96"/>
      <c r="AP384" s="96"/>
      <c r="AQ384" s="96"/>
      <c r="AR384" s="96"/>
    </row>
    <row r="385" spans="1:44" s="272" customFormat="1" ht="12" customHeight="1">
      <c r="A385" s="96"/>
      <c r="P385" s="146"/>
      <c r="X385" s="96"/>
      <c r="Y385" s="96"/>
      <c r="Z385" s="1255"/>
      <c r="AA385" s="96"/>
      <c r="AB385" s="96"/>
      <c r="AC385" s="96"/>
      <c r="AD385" s="96"/>
      <c r="AE385" s="96"/>
      <c r="AF385" s="96"/>
      <c r="AG385" s="96"/>
      <c r="AH385" s="96"/>
      <c r="AI385" s="96"/>
      <c r="AJ385" s="96"/>
      <c r="AK385" s="96"/>
      <c r="AL385" s="96"/>
      <c r="AM385" s="96"/>
      <c r="AN385" s="96"/>
      <c r="AO385" s="96"/>
      <c r="AP385" s="96"/>
      <c r="AQ385" s="96"/>
      <c r="AR385" s="96"/>
    </row>
    <row r="386" spans="1:44" s="272" customFormat="1" ht="12" customHeight="1">
      <c r="A386" s="96"/>
      <c r="P386" s="146"/>
      <c r="X386" s="96"/>
      <c r="Y386" s="96"/>
      <c r="Z386" s="1255"/>
      <c r="AA386" s="96"/>
      <c r="AB386" s="96"/>
      <c r="AC386" s="96"/>
      <c r="AD386" s="96"/>
      <c r="AE386" s="96"/>
      <c r="AF386" s="96"/>
      <c r="AG386" s="96"/>
      <c r="AH386" s="96"/>
      <c r="AI386" s="96"/>
      <c r="AJ386" s="96"/>
      <c r="AK386" s="96"/>
      <c r="AL386" s="96"/>
      <c r="AM386" s="96"/>
      <c r="AN386" s="96"/>
      <c r="AO386" s="96"/>
      <c r="AP386" s="96"/>
      <c r="AQ386" s="96"/>
      <c r="AR386" s="96"/>
    </row>
    <row r="387" spans="1:44" s="272" customFormat="1" ht="12" customHeight="1">
      <c r="A387" s="96"/>
      <c r="P387" s="146"/>
      <c r="X387" s="96"/>
      <c r="Y387" s="96"/>
      <c r="Z387" s="1255"/>
      <c r="AA387" s="96"/>
      <c r="AB387" s="96"/>
      <c r="AC387" s="96"/>
      <c r="AD387" s="96"/>
      <c r="AE387" s="96"/>
      <c r="AF387" s="96"/>
      <c r="AG387" s="96"/>
      <c r="AH387" s="96"/>
      <c r="AI387" s="96"/>
      <c r="AJ387" s="96"/>
      <c r="AK387" s="96"/>
      <c r="AL387" s="96"/>
      <c r="AM387" s="96"/>
      <c r="AN387" s="96"/>
      <c r="AO387" s="96"/>
      <c r="AP387" s="96"/>
      <c r="AQ387" s="96"/>
      <c r="AR387" s="96"/>
    </row>
    <row r="388" spans="1:44" s="272" customFormat="1" ht="12" customHeight="1">
      <c r="A388" s="96"/>
      <c r="P388" s="146"/>
      <c r="X388" s="96"/>
      <c r="Y388" s="96"/>
      <c r="Z388" s="1255"/>
      <c r="AA388" s="96"/>
      <c r="AB388" s="96"/>
      <c r="AC388" s="96"/>
      <c r="AD388" s="96"/>
      <c r="AE388" s="96"/>
      <c r="AF388" s="96"/>
      <c r="AG388" s="96"/>
      <c r="AH388" s="96"/>
      <c r="AI388" s="96"/>
      <c r="AJ388" s="96"/>
      <c r="AK388" s="96"/>
      <c r="AL388" s="96"/>
      <c r="AM388" s="96"/>
      <c r="AN388" s="96"/>
      <c r="AO388" s="96"/>
      <c r="AP388" s="96"/>
      <c r="AQ388" s="96"/>
      <c r="AR388" s="96"/>
    </row>
    <row r="389" spans="1:44" s="272" customFormat="1" ht="12" customHeight="1">
      <c r="A389" s="96"/>
      <c r="P389" s="146"/>
      <c r="X389" s="96"/>
      <c r="Y389" s="96"/>
      <c r="Z389" s="1255"/>
      <c r="AA389" s="96"/>
      <c r="AB389" s="96"/>
      <c r="AC389" s="96"/>
      <c r="AD389" s="96"/>
      <c r="AE389" s="96"/>
      <c r="AF389" s="96"/>
      <c r="AG389" s="96"/>
      <c r="AH389" s="96"/>
      <c r="AI389" s="96"/>
      <c r="AJ389" s="96"/>
      <c r="AK389" s="96"/>
      <c r="AL389" s="96"/>
      <c r="AM389" s="96"/>
      <c r="AN389" s="96"/>
      <c r="AO389" s="96"/>
      <c r="AP389" s="96"/>
      <c r="AQ389" s="96"/>
      <c r="AR389" s="96"/>
    </row>
    <row r="390" spans="1:44" s="272" customFormat="1" ht="12" customHeight="1">
      <c r="A390" s="96"/>
      <c r="P390" s="300"/>
      <c r="X390" s="96"/>
      <c r="Y390" s="96"/>
      <c r="Z390" s="1255"/>
      <c r="AA390" s="96"/>
      <c r="AB390" s="96"/>
      <c r="AC390" s="96"/>
      <c r="AD390" s="96"/>
      <c r="AE390" s="96"/>
      <c r="AF390" s="96"/>
      <c r="AG390" s="96"/>
      <c r="AH390" s="96"/>
      <c r="AI390" s="96"/>
      <c r="AJ390" s="96"/>
      <c r="AK390" s="96"/>
      <c r="AL390" s="96"/>
      <c r="AM390" s="96"/>
      <c r="AN390" s="96"/>
      <c r="AO390" s="96"/>
      <c r="AP390" s="96"/>
      <c r="AQ390" s="96"/>
      <c r="AR390" s="96"/>
    </row>
    <row r="391" spans="1:44" s="272" customFormat="1" ht="12" customHeight="1">
      <c r="A391" s="96"/>
      <c r="P391" s="146"/>
      <c r="X391" s="96"/>
      <c r="Y391" s="96"/>
      <c r="Z391" s="1255"/>
      <c r="AA391" s="96"/>
      <c r="AB391" s="96"/>
      <c r="AC391" s="96"/>
      <c r="AD391" s="96"/>
      <c r="AE391" s="96"/>
      <c r="AF391" s="96"/>
      <c r="AG391" s="96"/>
      <c r="AH391" s="96"/>
      <c r="AI391" s="96"/>
      <c r="AJ391" s="96"/>
      <c r="AK391" s="96"/>
      <c r="AL391" s="96"/>
      <c r="AM391" s="96"/>
      <c r="AN391" s="96"/>
      <c r="AO391" s="96"/>
      <c r="AP391" s="96"/>
      <c r="AQ391" s="96"/>
      <c r="AR391" s="96"/>
    </row>
    <row r="392" spans="1:44" s="272" customFormat="1" ht="12" customHeight="1">
      <c r="A392" s="96"/>
      <c r="P392" s="146"/>
      <c r="X392" s="96"/>
      <c r="Y392" s="96"/>
      <c r="Z392" s="1255"/>
      <c r="AA392" s="96"/>
      <c r="AB392" s="96"/>
      <c r="AC392" s="96"/>
      <c r="AD392" s="96"/>
      <c r="AE392" s="96"/>
      <c r="AF392" s="96"/>
      <c r="AG392" s="96"/>
      <c r="AH392" s="96"/>
      <c r="AI392" s="96"/>
      <c r="AJ392" s="96"/>
      <c r="AK392" s="96"/>
      <c r="AL392" s="96"/>
      <c r="AM392" s="96"/>
      <c r="AN392" s="96"/>
      <c r="AO392" s="96"/>
      <c r="AP392" s="96"/>
      <c r="AQ392" s="96"/>
      <c r="AR392" s="96"/>
    </row>
    <row r="393" spans="1:44" s="272" customFormat="1" ht="12" customHeight="1">
      <c r="A393" s="96"/>
      <c r="P393" s="146"/>
      <c r="X393" s="96"/>
      <c r="Y393" s="96"/>
      <c r="Z393" s="1255"/>
      <c r="AA393" s="96"/>
      <c r="AB393" s="96"/>
      <c r="AC393" s="96"/>
      <c r="AD393" s="96"/>
      <c r="AE393" s="96"/>
      <c r="AF393" s="96"/>
      <c r="AG393" s="96"/>
      <c r="AH393" s="96"/>
      <c r="AI393" s="96"/>
      <c r="AJ393" s="96"/>
      <c r="AK393" s="96"/>
      <c r="AL393" s="96"/>
      <c r="AM393" s="96"/>
      <c r="AN393" s="96"/>
      <c r="AO393" s="96"/>
      <c r="AP393" s="96"/>
      <c r="AQ393" s="96"/>
      <c r="AR393" s="96"/>
    </row>
    <row r="394" spans="1:44" s="272" customFormat="1" ht="12" customHeight="1">
      <c r="A394" s="96"/>
      <c r="P394" s="146"/>
      <c r="X394" s="96"/>
      <c r="Y394" s="96"/>
      <c r="Z394" s="1255"/>
      <c r="AA394" s="96"/>
      <c r="AB394" s="96"/>
      <c r="AC394" s="96"/>
      <c r="AD394" s="96"/>
      <c r="AE394" s="96"/>
      <c r="AF394" s="96"/>
      <c r="AG394" s="96"/>
      <c r="AH394" s="96"/>
      <c r="AI394" s="96"/>
      <c r="AJ394" s="96"/>
      <c r="AK394" s="96"/>
      <c r="AL394" s="96"/>
      <c r="AM394" s="96"/>
      <c r="AN394" s="96"/>
      <c r="AO394" s="96"/>
      <c r="AP394" s="96"/>
      <c r="AQ394" s="96"/>
      <c r="AR394" s="96"/>
    </row>
    <row r="395" spans="1:44" s="272" customFormat="1" ht="12" customHeight="1">
      <c r="A395" s="96"/>
      <c r="P395" s="146"/>
      <c r="X395" s="96"/>
      <c r="Y395" s="96"/>
      <c r="Z395" s="1255"/>
      <c r="AA395" s="96"/>
      <c r="AB395" s="96"/>
      <c r="AC395" s="96"/>
      <c r="AD395" s="96"/>
      <c r="AE395" s="96"/>
      <c r="AF395" s="96"/>
      <c r="AG395" s="96"/>
      <c r="AH395" s="96"/>
      <c r="AI395" s="96"/>
      <c r="AJ395" s="96"/>
      <c r="AK395" s="96"/>
      <c r="AL395" s="96"/>
      <c r="AM395" s="96"/>
      <c r="AN395" s="96"/>
      <c r="AO395" s="96"/>
      <c r="AP395" s="96"/>
      <c r="AQ395" s="96"/>
      <c r="AR395" s="96"/>
    </row>
    <row r="396" spans="1:44" s="272" customFormat="1" ht="12" customHeight="1">
      <c r="A396" s="96"/>
      <c r="P396" s="146"/>
      <c r="X396" s="96"/>
      <c r="Y396" s="96"/>
      <c r="Z396" s="1255"/>
      <c r="AA396" s="96"/>
      <c r="AB396" s="96"/>
      <c r="AC396" s="96"/>
      <c r="AD396" s="96"/>
      <c r="AE396" s="96"/>
      <c r="AF396" s="96"/>
      <c r="AG396" s="96"/>
      <c r="AH396" s="96"/>
      <c r="AI396" s="96"/>
      <c r="AJ396" s="96"/>
      <c r="AK396" s="96"/>
      <c r="AL396" s="96"/>
      <c r="AM396" s="96"/>
      <c r="AN396" s="96"/>
      <c r="AO396" s="96"/>
      <c r="AP396" s="96"/>
      <c r="AQ396" s="96"/>
      <c r="AR396" s="96"/>
    </row>
    <row r="397" spans="1:44" s="272" customFormat="1" ht="12" customHeight="1">
      <c r="A397" s="96"/>
      <c r="P397" s="146"/>
      <c r="X397" s="96"/>
      <c r="Y397" s="96"/>
      <c r="Z397" s="1255"/>
      <c r="AA397" s="96"/>
      <c r="AB397" s="96"/>
      <c r="AC397" s="96"/>
      <c r="AD397" s="96"/>
      <c r="AE397" s="96"/>
      <c r="AF397" s="96"/>
      <c r="AG397" s="96"/>
      <c r="AH397" s="96"/>
      <c r="AI397" s="96"/>
      <c r="AJ397" s="96"/>
      <c r="AK397" s="96"/>
      <c r="AL397" s="96"/>
      <c r="AM397" s="96"/>
      <c r="AN397" s="96"/>
      <c r="AO397" s="96"/>
      <c r="AP397" s="96"/>
      <c r="AQ397" s="96"/>
      <c r="AR397" s="96"/>
    </row>
    <row r="398" spans="1:44" s="272" customFormat="1" ht="12" customHeight="1">
      <c r="A398" s="96"/>
      <c r="P398" s="146"/>
      <c r="X398" s="96"/>
      <c r="Y398" s="96"/>
      <c r="Z398" s="1255"/>
      <c r="AA398" s="96"/>
      <c r="AB398" s="96"/>
      <c r="AC398" s="96"/>
      <c r="AD398" s="96"/>
      <c r="AE398" s="96"/>
      <c r="AF398" s="96"/>
      <c r="AG398" s="96"/>
      <c r="AH398" s="96"/>
      <c r="AI398" s="96"/>
      <c r="AJ398" s="96"/>
      <c r="AK398" s="96"/>
      <c r="AL398" s="96"/>
      <c r="AM398" s="96"/>
      <c r="AN398" s="96"/>
      <c r="AO398" s="96"/>
      <c r="AP398" s="96"/>
      <c r="AQ398" s="96"/>
      <c r="AR398" s="96"/>
    </row>
    <row r="399" spans="1:44" s="272" customFormat="1" ht="12" customHeight="1">
      <c r="A399" s="96"/>
      <c r="P399" s="146"/>
      <c r="X399" s="96"/>
      <c r="Y399" s="96"/>
      <c r="Z399" s="1255"/>
      <c r="AA399" s="96"/>
      <c r="AB399" s="96"/>
      <c r="AC399" s="96"/>
      <c r="AD399" s="96"/>
      <c r="AE399" s="96"/>
      <c r="AF399" s="96"/>
      <c r="AG399" s="96"/>
      <c r="AH399" s="96"/>
      <c r="AI399" s="96"/>
      <c r="AJ399" s="96"/>
      <c r="AK399" s="96"/>
      <c r="AL399" s="96"/>
      <c r="AM399" s="96"/>
      <c r="AN399" s="96"/>
      <c r="AO399" s="96"/>
      <c r="AP399" s="96"/>
      <c r="AQ399" s="96"/>
      <c r="AR399" s="96"/>
    </row>
    <row r="400" spans="1:44" s="272" customFormat="1" ht="12" customHeight="1">
      <c r="A400" s="96"/>
      <c r="P400" s="146"/>
      <c r="X400" s="96"/>
      <c r="Y400" s="96"/>
      <c r="Z400" s="1255"/>
      <c r="AA400" s="96"/>
      <c r="AB400" s="96"/>
      <c r="AC400" s="96"/>
      <c r="AD400" s="96"/>
      <c r="AE400" s="96"/>
      <c r="AF400" s="96"/>
      <c r="AG400" s="96"/>
      <c r="AH400" s="96"/>
      <c r="AI400" s="96"/>
      <c r="AJ400" s="96"/>
      <c r="AK400" s="96"/>
      <c r="AL400" s="96"/>
      <c r="AM400" s="96"/>
      <c r="AN400" s="96"/>
      <c r="AO400" s="96"/>
      <c r="AP400" s="96"/>
      <c r="AQ400" s="96"/>
      <c r="AR400" s="96"/>
    </row>
    <row r="401" spans="1:44" s="272" customFormat="1" ht="12" customHeight="1">
      <c r="A401" s="96"/>
      <c r="P401" s="146"/>
      <c r="X401" s="96"/>
      <c r="Y401" s="96"/>
      <c r="Z401" s="1255"/>
      <c r="AA401" s="96"/>
      <c r="AB401" s="96"/>
      <c r="AC401" s="96"/>
      <c r="AD401" s="96"/>
      <c r="AE401" s="96"/>
      <c r="AF401" s="96"/>
      <c r="AG401" s="96"/>
      <c r="AH401" s="96"/>
      <c r="AI401" s="96"/>
      <c r="AJ401" s="96"/>
      <c r="AK401" s="96"/>
      <c r="AL401" s="96"/>
      <c r="AM401" s="96"/>
      <c r="AN401" s="96"/>
      <c r="AO401" s="96"/>
      <c r="AP401" s="96"/>
      <c r="AQ401" s="96"/>
      <c r="AR401" s="96"/>
    </row>
    <row r="402" spans="1:44" s="272" customFormat="1" ht="12" customHeight="1">
      <c r="A402" s="96"/>
      <c r="P402" s="146"/>
      <c r="X402" s="96"/>
      <c r="Y402" s="96"/>
      <c r="Z402" s="1255"/>
      <c r="AA402" s="96"/>
      <c r="AB402" s="96"/>
      <c r="AC402" s="96"/>
      <c r="AD402" s="96"/>
      <c r="AE402" s="96"/>
      <c r="AF402" s="96"/>
      <c r="AG402" s="96"/>
      <c r="AH402" s="96"/>
      <c r="AI402" s="96"/>
      <c r="AJ402" s="96"/>
      <c r="AK402" s="96"/>
      <c r="AL402" s="96"/>
      <c r="AM402" s="96"/>
      <c r="AN402" s="96"/>
      <c r="AO402" s="96"/>
      <c r="AP402" s="96"/>
      <c r="AQ402" s="96"/>
      <c r="AR402" s="96"/>
    </row>
    <row r="403" spans="1:44" s="272" customFormat="1" ht="12" customHeight="1">
      <c r="A403" s="96"/>
      <c r="P403" s="146"/>
      <c r="X403" s="96"/>
      <c r="Y403" s="96"/>
      <c r="Z403" s="1255"/>
      <c r="AA403" s="96"/>
      <c r="AB403" s="96"/>
      <c r="AC403" s="96"/>
      <c r="AD403" s="96"/>
      <c r="AE403" s="96"/>
      <c r="AF403" s="96"/>
      <c r="AG403" s="96"/>
      <c r="AH403" s="96"/>
      <c r="AI403" s="96"/>
      <c r="AJ403" s="96"/>
      <c r="AK403" s="96"/>
      <c r="AL403" s="96"/>
      <c r="AM403" s="96"/>
      <c r="AN403" s="96"/>
      <c r="AO403" s="96"/>
      <c r="AP403" s="96"/>
      <c r="AQ403" s="96"/>
      <c r="AR403" s="96"/>
    </row>
    <row r="404" spans="1:44" s="272" customFormat="1" ht="12" customHeight="1">
      <c r="A404" s="96"/>
      <c r="P404" s="146"/>
      <c r="X404" s="96"/>
      <c r="Y404" s="96"/>
      <c r="Z404" s="1255"/>
      <c r="AA404" s="96"/>
      <c r="AB404" s="96"/>
      <c r="AC404" s="96"/>
      <c r="AD404" s="96"/>
      <c r="AE404" s="96"/>
      <c r="AF404" s="96"/>
      <c r="AG404" s="96"/>
      <c r="AH404" s="96"/>
      <c r="AI404" s="96"/>
      <c r="AJ404" s="96"/>
      <c r="AK404" s="96"/>
      <c r="AL404" s="96"/>
      <c r="AM404" s="96"/>
      <c r="AN404" s="96"/>
      <c r="AO404" s="96"/>
      <c r="AP404" s="96"/>
      <c r="AQ404" s="96"/>
      <c r="AR404" s="96"/>
    </row>
    <row r="405" spans="1:44" s="272" customFormat="1" ht="12" customHeight="1">
      <c r="A405" s="96"/>
      <c r="P405" s="146"/>
      <c r="X405" s="96"/>
      <c r="Y405" s="96"/>
      <c r="Z405" s="1255"/>
      <c r="AA405" s="96"/>
      <c r="AB405" s="96"/>
      <c r="AC405" s="96"/>
      <c r="AD405" s="96"/>
      <c r="AE405" s="96"/>
      <c r="AF405" s="96"/>
      <c r="AG405" s="96"/>
      <c r="AH405" s="96"/>
      <c r="AI405" s="96"/>
      <c r="AJ405" s="96"/>
      <c r="AK405" s="96"/>
      <c r="AL405" s="96"/>
      <c r="AM405" s="96"/>
      <c r="AN405" s="96"/>
      <c r="AO405" s="96"/>
      <c r="AP405" s="96"/>
      <c r="AQ405" s="96"/>
      <c r="AR405" s="96"/>
    </row>
    <row r="406" spans="1:44" s="272" customFormat="1" ht="12" customHeight="1">
      <c r="A406" s="96"/>
      <c r="P406" s="146"/>
      <c r="X406" s="96"/>
      <c r="Y406" s="96"/>
      <c r="Z406" s="1255"/>
      <c r="AA406" s="96"/>
      <c r="AB406" s="96"/>
      <c r="AC406" s="96"/>
      <c r="AD406" s="96"/>
      <c r="AE406" s="96"/>
      <c r="AF406" s="96"/>
      <c r="AG406" s="96"/>
      <c r="AH406" s="96"/>
      <c r="AI406" s="96"/>
      <c r="AJ406" s="96"/>
      <c r="AK406" s="96"/>
      <c r="AL406" s="96"/>
      <c r="AM406" s="96"/>
      <c r="AN406" s="96"/>
      <c r="AO406" s="96"/>
      <c r="AP406" s="96"/>
      <c r="AQ406" s="96"/>
      <c r="AR406" s="96"/>
    </row>
    <row r="407" spans="1:44" s="272" customFormat="1" ht="12" customHeight="1">
      <c r="A407" s="96"/>
      <c r="P407" s="146"/>
      <c r="X407" s="96"/>
      <c r="Y407" s="96"/>
      <c r="Z407" s="1255"/>
      <c r="AA407" s="96"/>
      <c r="AB407" s="96"/>
      <c r="AC407" s="96"/>
      <c r="AD407" s="96"/>
      <c r="AE407" s="96"/>
      <c r="AF407" s="96"/>
      <c r="AG407" s="96"/>
      <c r="AH407" s="96"/>
      <c r="AI407" s="96"/>
      <c r="AJ407" s="96"/>
      <c r="AK407" s="96"/>
      <c r="AL407" s="96"/>
      <c r="AM407" s="96"/>
      <c r="AN407" s="96"/>
      <c r="AO407" s="96"/>
      <c r="AP407" s="96"/>
      <c r="AQ407" s="96"/>
      <c r="AR407" s="96"/>
    </row>
    <row r="408" spans="1:44" s="272" customFormat="1" ht="12" customHeight="1">
      <c r="A408" s="96"/>
      <c r="P408" s="300"/>
      <c r="X408" s="96"/>
      <c r="Y408" s="96"/>
      <c r="Z408" s="1255"/>
      <c r="AA408" s="96"/>
      <c r="AB408" s="96"/>
      <c r="AC408" s="96"/>
      <c r="AD408" s="96"/>
      <c r="AE408" s="96"/>
      <c r="AF408" s="96"/>
      <c r="AG408" s="96"/>
      <c r="AH408" s="96"/>
      <c r="AI408" s="96"/>
      <c r="AJ408" s="96"/>
      <c r="AK408" s="96"/>
      <c r="AL408" s="96"/>
      <c r="AM408" s="96"/>
      <c r="AN408" s="96"/>
      <c r="AO408" s="96"/>
      <c r="AP408" s="96"/>
      <c r="AQ408" s="96"/>
      <c r="AR408" s="96"/>
    </row>
    <row r="409" spans="1:44" s="272" customFormat="1" ht="12" customHeight="1">
      <c r="A409" s="96"/>
      <c r="P409" s="146"/>
      <c r="X409" s="96"/>
      <c r="Y409" s="96"/>
      <c r="Z409" s="1255"/>
      <c r="AA409" s="96"/>
      <c r="AB409" s="96"/>
      <c r="AC409" s="96"/>
      <c r="AD409" s="96"/>
      <c r="AE409" s="96"/>
      <c r="AF409" s="96"/>
      <c r="AG409" s="96"/>
      <c r="AH409" s="96"/>
      <c r="AI409" s="96"/>
      <c r="AJ409" s="96"/>
      <c r="AK409" s="96"/>
      <c r="AL409" s="96"/>
      <c r="AM409" s="96"/>
      <c r="AN409" s="96"/>
      <c r="AO409" s="96"/>
      <c r="AP409" s="96"/>
      <c r="AQ409" s="96"/>
      <c r="AR409" s="96"/>
    </row>
    <row r="410" spans="1:44" s="272" customFormat="1" ht="12" customHeight="1">
      <c r="A410" s="96"/>
      <c r="P410" s="146"/>
      <c r="X410" s="96"/>
      <c r="Y410" s="96"/>
      <c r="Z410" s="1255"/>
      <c r="AA410" s="96"/>
      <c r="AB410" s="96"/>
      <c r="AC410" s="96"/>
      <c r="AD410" s="96"/>
      <c r="AE410" s="96"/>
      <c r="AF410" s="96"/>
      <c r="AG410" s="96"/>
      <c r="AH410" s="96"/>
      <c r="AI410" s="96"/>
      <c r="AJ410" s="96"/>
      <c r="AK410" s="96"/>
      <c r="AL410" s="96"/>
      <c r="AM410" s="96"/>
      <c r="AN410" s="96"/>
      <c r="AO410" s="96"/>
      <c r="AP410" s="96"/>
      <c r="AQ410" s="96"/>
      <c r="AR410" s="96"/>
    </row>
    <row r="411" spans="1:44" s="272" customFormat="1" ht="12" customHeight="1">
      <c r="A411" s="96"/>
      <c r="P411" s="146"/>
      <c r="X411" s="96"/>
      <c r="Y411" s="96"/>
      <c r="Z411" s="1255"/>
      <c r="AA411" s="96"/>
      <c r="AB411" s="96"/>
      <c r="AC411" s="96"/>
      <c r="AD411" s="96"/>
      <c r="AE411" s="96"/>
      <c r="AF411" s="96"/>
      <c r="AG411" s="96"/>
      <c r="AH411" s="96"/>
      <c r="AI411" s="96"/>
      <c r="AJ411" s="96"/>
      <c r="AK411" s="96"/>
      <c r="AL411" s="96"/>
      <c r="AM411" s="96"/>
      <c r="AN411" s="96"/>
      <c r="AO411" s="96"/>
      <c r="AP411" s="96"/>
      <c r="AQ411" s="96"/>
      <c r="AR411" s="96"/>
    </row>
    <row r="412" spans="1:44" s="272" customFormat="1" ht="12" customHeight="1">
      <c r="A412" s="96"/>
      <c r="P412" s="146"/>
      <c r="X412" s="96"/>
      <c r="Y412" s="96"/>
      <c r="Z412" s="1255"/>
      <c r="AA412" s="96"/>
      <c r="AB412" s="96"/>
      <c r="AC412" s="96"/>
      <c r="AD412" s="96"/>
      <c r="AE412" s="96"/>
      <c r="AF412" s="96"/>
      <c r="AG412" s="96"/>
      <c r="AH412" s="96"/>
      <c r="AI412" s="96"/>
      <c r="AJ412" s="96"/>
      <c r="AK412" s="96"/>
      <c r="AL412" s="96"/>
      <c r="AM412" s="96"/>
      <c r="AN412" s="96"/>
      <c r="AO412" s="96"/>
      <c r="AP412" s="96"/>
      <c r="AQ412" s="96"/>
      <c r="AR412" s="96"/>
    </row>
    <row r="413" spans="1:44" s="272" customFormat="1" ht="12" customHeight="1">
      <c r="A413" s="96"/>
      <c r="P413" s="300"/>
      <c r="X413" s="96"/>
      <c r="Y413" s="96"/>
      <c r="Z413" s="1255"/>
      <c r="AA413" s="96"/>
      <c r="AB413" s="96"/>
      <c r="AC413" s="96"/>
      <c r="AD413" s="96"/>
      <c r="AE413" s="96"/>
      <c r="AF413" s="96"/>
      <c r="AG413" s="96"/>
      <c r="AH413" s="96"/>
      <c r="AI413" s="96"/>
      <c r="AJ413" s="96"/>
      <c r="AK413" s="96"/>
      <c r="AL413" s="96"/>
      <c r="AM413" s="96"/>
      <c r="AN413" s="96"/>
      <c r="AO413" s="96"/>
      <c r="AP413" s="96"/>
      <c r="AQ413" s="96"/>
      <c r="AR413" s="96"/>
    </row>
    <row r="414" spans="1:44" s="272" customFormat="1" ht="12" customHeight="1">
      <c r="A414" s="96"/>
      <c r="P414" s="146"/>
      <c r="X414" s="96"/>
      <c r="Y414" s="96"/>
      <c r="Z414" s="1255"/>
      <c r="AA414" s="96"/>
      <c r="AB414" s="96"/>
      <c r="AC414" s="96"/>
      <c r="AD414" s="96"/>
      <c r="AE414" s="96"/>
      <c r="AF414" s="96"/>
      <c r="AG414" s="96"/>
      <c r="AH414" s="96"/>
      <c r="AI414" s="96"/>
      <c r="AJ414" s="96"/>
      <c r="AK414" s="96"/>
      <c r="AL414" s="96"/>
      <c r="AM414" s="96"/>
      <c r="AN414" s="96"/>
      <c r="AO414" s="96"/>
      <c r="AP414" s="96"/>
      <c r="AQ414" s="96"/>
      <c r="AR414" s="96"/>
    </row>
    <row r="415" spans="1:44" s="272" customFormat="1" ht="12" customHeight="1">
      <c r="A415" s="96"/>
      <c r="P415" s="146"/>
      <c r="X415" s="96"/>
      <c r="Y415" s="96"/>
      <c r="Z415" s="1255"/>
      <c r="AA415" s="96"/>
      <c r="AB415" s="96"/>
      <c r="AC415" s="96"/>
      <c r="AD415" s="96"/>
      <c r="AE415" s="96"/>
      <c r="AF415" s="96"/>
      <c r="AG415" s="96"/>
      <c r="AH415" s="96"/>
      <c r="AI415" s="96"/>
      <c r="AJ415" s="96"/>
      <c r="AK415" s="96"/>
      <c r="AL415" s="96"/>
      <c r="AM415" s="96"/>
      <c r="AN415" s="96"/>
      <c r="AO415" s="96"/>
      <c r="AP415" s="96"/>
      <c r="AQ415" s="96"/>
      <c r="AR415" s="96"/>
    </row>
    <row r="416" spans="1:44" s="272" customFormat="1" ht="12" customHeight="1">
      <c r="A416" s="96"/>
      <c r="P416" s="300"/>
      <c r="X416" s="96"/>
      <c r="Y416" s="96"/>
      <c r="Z416" s="1255"/>
      <c r="AA416" s="96"/>
      <c r="AB416" s="96"/>
      <c r="AC416" s="96"/>
      <c r="AD416" s="96"/>
      <c r="AE416" s="96"/>
      <c r="AF416" s="96"/>
      <c r="AG416" s="96"/>
      <c r="AH416" s="96"/>
      <c r="AI416" s="96"/>
      <c r="AJ416" s="96"/>
      <c r="AK416" s="96"/>
      <c r="AL416" s="96"/>
      <c r="AM416" s="96"/>
      <c r="AN416" s="96"/>
      <c r="AO416" s="96"/>
      <c r="AP416" s="96"/>
      <c r="AQ416" s="96"/>
      <c r="AR416" s="96"/>
    </row>
    <row r="417" spans="1:44" s="272" customFormat="1" ht="12" customHeight="1">
      <c r="A417" s="96"/>
      <c r="P417" s="146"/>
      <c r="X417" s="96"/>
      <c r="Y417" s="96"/>
      <c r="Z417" s="1255"/>
      <c r="AA417" s="96"/>
      <c r="AB417" s="96"/>
      <c r="AC417" s="96"/>
      <c r="AD417" s="96"/>
      <c r="AE417" s="96"/>
      <c r="AF417" s="96"/>
      <c r="AG417" s="96"/>
      <c r="AH417" s="96"/>
      <c r="AI417" s="96"/>
      <c r="AJ417" s="96"/>
      <c r="AK417" s="96"/>
      <c r="AL417" s="96"/>
      <c r="AM417" s="96"/>
      <c r="AN417" s="96"/>
      <c r="AO417" s="96"/>
      <c r="AP417" s="96"/>
      <c r="AQ417" s="96"/>
      <c r="AR417" s="96"/>
    </row>
    <row r="418" spans="1:44" s="272" customFormat="1" ht="12" customHeight="1">
      <c r="A418" s="96"/>
      <c r="P418" s="146"/>
      <c r="X418" s="96"/>
      <c r="Y418" s="96"/>
      <c r="Z418" s="1255"/>
      <c r="AA418" s="96"/>
      <c r="AB418" s="96"/>
      <c r="AC418" s="96"/>
      <c r="AD418" s="96"/>
      <c r="AE418" s="96"/>
      <c r="AF418" s="96"/>
      <c r="AG418" s="96"/>
      <c r="AH418" s="96"/>
      <c r="AI418" s="96"/>
      <c r="AJ418" s="96"/>
      <c r="AK418" s="96"/>
      <c r="AL418" s="96"/>
      <c r="AM418" s="96"/>
      <c r="AN418" s="96"/>
      <c r="AO418" s="96"/>
      <c r="AP418" s="96"/>
      <c r="AQ418" s="96"/>
      <c r="AR418" s="96"/>
    </row>
    <row r="419" spans="1:44" s="272" customFormat="1" ht="12" customHeight="1">
      <c r="A419" s="96"/>
      <c r="P419" s="146"/>
      <c r="X419" s="96"/>
      <c r="Y419" s="96"/>
      <c r="Z419" s="1255"/>
      <c r="AA419" s="96"/>
      <c r="AB419" s="96"/>
      <c r="AC419" s="96"/>
      <c r="AD419" s="96"/>
      <c r="AE419" s="96"/>
      <c r="AF419" s="96"/>
      <c r="AG419" s="96"/>
      <c r="AH419" s="96"/>
      <c r="AI419" s="96"/>
      <c r="AJ419" s="96"/>
      <c r="AK419" s="96"/>
      <c r="AL419" s="96"/>
      <c r="AM419" s="96"/>
      <c r="AN419" s="96"/>
      <c r="AO419" s="96"/>
      <c r="AP419" s="96"/>
      <c r="AQ419" s="96"/>
      <c r="AR419" s="96"/>
    </row>
    <row r="420" spans="1:44" s="272" customFormat="1" ht="12" customHeight="1">
      <c r="A420" s="96"/>
      <c r="P420" s="146"/>
      <c r="X420" s="96"/>
      <c r="Y420" s="96"/>
      <c r="Z420" s="1255"/>
      <c r="AA420" s="96"/>
      <c r="AB420" s="96"/>
      <c r="AC420" s="96"/>
      <c r="AD420" s="96"/>
      <c r="AE420" s="96"/>
      <c r="AF420" s="96"/>
      <c r="AG420" s="96"/>
      <c r="AH420" s="96"/>
      <c r="AI420" s="96"/>
      <c r="AJ420" s="96"/>
      <c r="AK420" s="96"/>
      <c r="AL420" s="96"/>
      <c r="AM420" s="96"/>
      <c r="AN420" s="96"/>
      <c r="AO420" s="96"/>
      <c r="AP420" s="96"/>
      <c r="AQ420" s="96"/>
      <c r="AR420" s="96"/>
    </row>
    <row r="421" spans="1:44" s="272" customFormat="1" ht="12" customHeight="1">
      <c r="A421" s="96"/>
      <c r="P421" s="146"/>
      <c r="X421" s="96"/>
      <c r="Y421" s="96"/>
      <c r="Z421" s="1255"/>
      <c r="AA421" s="96"/>
      <c r="AB421" s="96"/>
      <c r="AC421" s="96"/>
      <c r="AD421" s="96"/>
      <c r="AE421" s="96"/>
      <c r="AF421" s="96"/>
      <c r="AG421" s="96"/>
      <c r="AH421" s="96"/>
      <c r="AI421" s="96"/>
      <c r="AJ421" s="96"/>
      <c r="AK421" s="96"/>
      <c r="AL421" s="96"/>
      <c r="AM421" s="96"/>
      <c r="AN421" s="96"/>
      <c r="AO421" s="96"/>
      <c r="AP421" s="96"/>
      <c r="AQ421" s="96"/>
      <c r="AR421" s="96"/>
    </row>
    <row r="422" spans="1:44" s="272" customFormat="1" ht="12" customHeight="1">
      <c r="A422" s="96"/>
      <c r="P422" s="146"/>
      <c r="X422" s="96"/>
      <c r="Y422" s="96"/>
      <c r="Z422" s="1255"/>
      <c r="AA422" s="96"/>
      <c r="AB422" s="96"/>
      <c r="AC422" s="96"/>
      <c r="AD422" s="96"/>
      <c r="AE422" s="96"/>
      <c r="AF422" s="96"/>
      <c r="AG422" s="96"/>
      <c r="AH422" s="96"/>
      <c r="AI422" s="96"/>
      <c r="AJ422" s="96"/>
      <c r="AK422" s="96"/>
      <c r="AL422" s="96"/>
      <c r="AM422" s="96"/>
      <c r="AN422" s="96"/>
      <c r="AO422" s="96"/>
      <c r="AP422" s="96"/>
      <c r="AQ422" s="96"/>
      <c r="AR422" s="96"/>
    </row>
    <row r="423" spans="1:44" s="272" customFormat="1" ht="12" customHeight="1">
      <c r="A423" s="96"/>
      <c r="P423" s="146"/>
      <c r="X423" s="96"/>
      <c r="Y423" s="96"/>
      <c r="Z423" s="1255"/>
      <c r="AA423" s="96"/>
      <c r="AB423" s="96"/>
      <c r="AC423" s="96"/>
      <c r="AD423" s="96"/>
      <c r="AE423" s="96"/>
      <c r="AF423" s="96"/>
      <c r="AG423" s="96"/>
      <c r="AH423" s="96"/>
      <c r="AI423" s="96"/>
      <c r="AJ423" s="96"/>
      <c r="AK423" s="96"/>
      <c r="AL423" s="96"/>
      <c r="AM423" s="96"/>
      <c r="AN423" s="96"/>
      <c r="AO423" s="96"/>
      <c r="AP423" s="96"/>
      <c r="AQ423" s="96"/>
      <c r="AR423" s="96"/>
    </row>
    <row r="424" spans="1:44" s="272" customFormat="1" ht="12" customHeight="1">
      <c r="A424" s="96"/>
      <c r="P424" s="146"/>
      <c r="X424" s="96"/>
      <c r="Y424" s="96"/>
      <c r="Z424" s="1255"/>
      <c r="AA424" s="96"/>
      <c r="AB424" s="96"/>
      <c r="AC424" s="96"/>
      <c r="AD424" s="96"/>
      <c r="AE424" s="96"/>
      <c r="AF424" s="96"/>
      <c r="AG424" s="96"/>
      <c r="AH424" s="96"/>
      <c r="AI424" s="96"/>
      <c r="AJ424" s="96"/>
      <c r="AK424" s="96"/>
      <c r="AL424" s="96"/>
      <c r="AM424" s="96"/>
      <c r="AN424" s="96"/>
      <c r="AO424" s="96"/>
      <c r="AP424" s="96"/>
      <c r="AQ424" s="96"/>
      <c r="AR424" s="96"/>
    </row>
    <row r="425" spans="1:44" s="272" customFormat="1" ht="12" customHeight="1">
      <c r="A425" s="96"/>
      <c r="P425" s="146"/>
      <c r="X425" s="96"/>
      <c r="Y425" s="96"/>
      <c r="Z425" s="1255"/>
      <c r="AA425" s="96"/>
      <c r="AB425" s="96"/>
      <c r="AC425" s="96"/>
      <c r="AD425" s="96"/>
      <c r="AE425" s="96"/>
      <c r="AF425" s="96"/>
      <c r="AG425" s="96"/>
      <c r="AH425" s="96"/>
      <c r="AI425" s="96"/>
      <c r="AJ425" s="96"/>
      <c r="AK425" s="96"/>
      <c r="AL425" s="96"/>
      <c r="AM425" s="96"/>
      <c r="AN425" s="96"/>
      <c r="AO425" s="96"/>
      <c r="AP425" s="96"/>
      <c r="AQ425" s="96"/>
      <c r="AR425" s="96"/>
    </row>
    <row r="426" spans="1:44" s="272" customFormat="1" ht="12" customHeight="1">
      <c r="A426" s="96"/>
      <c r="P426" s="146"/>
      <c r="X426" s="96"/>
      <c r="Y426" s="96"/>
      <c r="Z426" s="1255"/>
      <c r="AA426" s="96"/>
      <c r="AB426" s="96"/>
      <c r="AC426" s="96"/>
      <c r="AD426" s="96"/>
      <c r="AE426" s="96"/>
      <c r="AF426" s="96"/>
      <c r="AG426" s="96"/>
      <c r="AH426" s="96"/>
      <c r="AI426" s="96"/>
      <c r="AJ426" s="96"/>
      <c r="AK426" s="96"/>
      <c r="AL426" s="96"/>
      <c r="AM426" s="96"/>
      <c r="AN426" s="96"/>
      <c r="AO426" s="96"/>
      <c r="AP426" s="96"/>
      <c r="AQ426" s="96"/>
      <c r="AR426" s="96"/>
    </row>
    <row r="427" spans="1:44" s="272" customFormat="1" ht="12" customHeight="1">
      <c r="A427" s="96"/>
      <c r="P427" s="146"/>
      <c r="X427" s="96"/>
      <c r="Y427" s="96"/>
      <c r="Z427" s="1255"/>
      <c r="AA427" s="96"/>
      <c r="AB427" s="96"/>
      <c r="AC427" s="96"/>
      <c r="AD427" s="96"/>
      <c r="AE427" s="96"/>
      <c r="AF427" s="96"/>
      <c r="AG427" s="96"/>
      <c r="AH427" s="96"/>
      <c r="AI427" s="96"/>
      <c r="AJ427" s="96"/>
      <c r="AK427" s="96"/>
      <c r="AL427" s="96"/>
      <c r="AM427" s="96"/>
      <c r="AN427" s="96"/>
      <c r="AO427" s="96"/>
      <c r="AP427" s="96"/>
      <c r="AQ427" s="96"/>
      <c r="AR427" s="96"/>
    </row>
    <row r="428" spans="1:44" s="272" customFormat="1" ht="12" customHeight="1">
      <c r="A428" s="96"/>
      <c r="P428" s="300"/>
      <c r="X428" s="96"/>
      <c r="Y428" s="96"/>
      <c r="Z428" s="1255"/>
      <c r="AA428" s="96"/>
      <c r="AB428" s="96"/>
      <c r="AC428" s="96"/>
      <c r="AD428" s="96"/>
      <c r="AE428" s="96"/>
      <c r="AF428" s="96"/>
      <c r="AG428" s="96"/>
      <c r="AH428" s="96"/>
      <c r="AI428" s="96"/>
      <c r="AJ428" s="96"/>
      <c r="AK428" s="96"/>
      <c r="AL428" s="96"/>
      <c r="AM428" s="96"/>
      <c r="AN428" s="96"/>
      <c r="AO428" s="96"/>
      <c r="AP428" s="96"/>
      <c r="AQ428" s="96"/>
      <c r="AR428" s="96"/>
    </row>
    <row r="429" spans="1:44" s="272" customFormat="1" ht="12" customHeight="1">
      <c r="A429" s="96"/>
      <c r="P429" s="146"/>
      <c r="X429" s="96"/>
      <c r="Y429" s="96"/>
      <c r="Z429" s="1255"/>
      <c r="AA429" s="96"/>
      <c r="AB429" s="96"/>
      <c r="AC429" s="96"/>
      <c r="AD429" s="96"/>
      <c r="AE429" s="96"/>
      <c r="AF429" s="96"/>
      <c r="AG429" s="96"/>
      <c r="AH429" s="96"/>
      <c r="AI429" s="96"/>
      <c r="AJ429" s="96"/>
      <c r="AK429" s="96"/>
      <c r="AL429" s="96"/>
      <c r="AM429" s="96"/>
      <c r="AN429" s="96"/>
      <c r="AO429" s="96"/>
      <c r="AP429" s="96"/>
      <c r="AQ429" s="96"/>
      <c r="AR429" s="96"/>
    </row>
    <row r="430" spans="1:44" s="272" customFormat="1" ht="12" customHeight="1">
      <c r="A430" s="96"/>
      <c r="P430" s="146"/>
      <c r="X430" s="96"/>
      <c r="Y430" s="96"/>
      <c r="Z430" s="1255"/>
      <c r="AA430" s="96"/>
      <c r="AB430" s="96"/>
      <c r="AC430" s="96"/>
      <c r="AD430" s="96"/>
      <c r="AE430" s="96"/>
      <c r="AF430" s="96"/>
      <c r="AG430" s="96"/>
      <c r="AH430" s="96"/>
      <c r="AI430" s="96"/>
      <c r="AJ430" s="96"/>
      <c r="AK430" s="96"/>
      <c r="AL430" s="96"/>
      <c r="AM430" s="96"/>
      <c r="AN430" s="96"/>
      <c r="AO430" s="96"/>
      <c r="AP430" s="96"/>
      <c r="AQ430" s="96"/>
      <c r="AR430" s="96"/>
    </row>
    <row r="431" spans="1:44" s="272" customFormat="1" ht="12" customHeight="1">
      <c r="A431" s="96"/>
      <c r="P431" s="300"/>
      <c r="X431" s="96"/>
      <c r="Y431" s="96"/>
      <c r="Z431" s="1255"/>
      <c r="AA431" s="96"/>
      <c r="AB431" s="96"/>
      <c r="AC431" s="96"/>
      <c r="AD431" s="96"/>
      <c r="AE431" s="96"/>
      <c r="AF431" s="96"/>
      <c r="AG431" s="96"/>
      <c r="AH431" s="96"/>
      <c r="AI431" s="96"/>
      <c r="AJ431" s="96"/>
      <c r="AK431" s="96"/>
      <c r="AL431" s="96"/>
      <c r="AM431" s="96"/>
      <c r="AN431" s="96"/>
      <c r="AO431" s="96"/>
      <c r="AP431" s="96"/>
      <c r="AQ431" s="96"/>
      <c r="AR431" s="96"/>
    </row>
    <row r="432" spans="1:44" s="272" customFormat="1" ht="12" customHeight="1">
      <c r="A432" s="96"/>
      <c r="P432" s="146"/>
      <c r="X432" s="96"/>
      <c r="Y432" s="96"/>
      <c r="Z432" s="1255"/>
      <c r="AA432" s="96"/>
      <c r="AB432" s="96"/>
      <c r="AC432" s="96"/>
      <c r="AD432" s="96"/>
      <c r="AE432" s="96"/>
      <c r="AF432" s="96"/>
      <c r="AG432" s="96"/>
      <c r="AH432" s="96"/>
      <c r="AI432" s="96"/>
      <c r="AJ432" s="96"/>
      <c r="AK432" s="96"/>
      <c r="AL432" s="96"/>
      <c r="AM432" s="96"/>
      <c r="AN432" s="96"/>
      <c r="AO432" s="96"/>
      <c r="AP432" s="96"/>
      <c r="AQ432" s="96"/>
      <c r="AR432" s="96"/>
    </row>
    <row r="433" spans="1:44" s="272" customFormat="1" ht="12" customHeight="1">
      <c r="A433" s="96"/>
      <c r="P433" s="146"/>
      <c r="X433" s="96"/>
      <c r="Y433" s="96"/>
      <c r="Z433" s="1255"/>
      <c r="AA433" s="96"/>
      <c r="AB433" s="96"/>
      <c r="AC433" s="96"/>
      <c r="AD433" s="96"/>
      <c r="AE433" s="96"/>
      <c r="AF433" s="96"/>
      <c r="AG433" s="96"/>
      <c r="AH433" s="96"/>
      <c r="AI433" s="96"/>
      <c r="AJ433" s="96"/>
      <c r="AK433" s="96"/>
      <c r="AL433" s="96"/>
      <c r="AM433" s="96"/>
      <c r="AN433" s="96"/>
      <c r="AO433" s="96"/>
      <c r="AP433" s="96"/>
      <c r="AQ433" s="96"/>
      <c r="AR433" s="96"/>
    </row>
    <row r="434" spans="1:44" s="272" customFormat="1" ht="12" customHeight="1">
      <c r="A434" s="96"/>
      <c r="P434" s="146"/>
      <c r="X434" s="96"/>
      <c r="Y434" s="96"/>
      <c r="Z434" s="1255"/>
      <c r="AA434" s="96"/>
      <c r="AB434" s="96"/>
      <c r="AC434" s="96"/>
      <c r="AD434" s="96"/>
      <c r="AE434" s="96"/>
      <c r="AF434" s="96"/>
      <c r="AG434" s="96"/>
      <c r="AH434" s="96"/>
      <c r="AI434" s="96"/>
      <c r="AJ434" s="96"/>
      <c r="AK434" s="96"/>
      <c r="AL434" s="96"/>
      <c r="AM434" s="96"/>
      <c r="AN434" s="96"/>
      <c r="AO434" s="96"/>
      <c r="AP434" s="96"/>
      <c r="AQ434" s="96"/>
      <c r="AR434" s="96"/>
    </row>
    <row r="435" spans="1:44" s="272" customFormat="1" ht="12" customHeight="1">
      <c r="A435" s="96"/>
      <c r="P435" s="146"/>
      <c r="X435" s="96"/>
      <c r="Y435" s="96"/>
      <c r="Z435" s="1255"/>
      <c r="AA435" s="96"/>
      <c r="AB435" s="96"/>
      <c r="AC435" s="96"/>
      <c r="AD435" s="96"/>
      <c r="AE435" s="96"/>
      <c r="AF435" s="96"/>
      <c r="AG435" s="96"/>
      <c r="AH435" s="96"/>
      <c r="AI435" s="96"/>
      <c r="AJ435" s="96"/>
      <c r="AK435" s="96"/>
      <c r="AL435" s="96"/>
      <c r="AM435" s="96"/>
      <c r="AN435" s="96"/>
      <c r="AO435" s="96"/>
      <c r="AP435" s="96"/>
      <c r="AQ435" s="96"/>
      <c r="AR435" s="96"/>
    </row>
    <row r="436" spans="1:44" s="272" customFormat="1" ht="12" customHeight="1">
      <c r="A436" s="96"/>
      <c r="P436" s="146"/>
      <c r="X436" s="96"/>
      <c r="Y436" s="96"/>
      <c r="Z436" s="1255"/>
      <c r="AA436" s="96"/>
      <c r="AB436" s="96"/>
      <c r="AC436" s="96"/>
      <c r="AD436" s="96"/>
      <c r="AE436" s="96"/>
      <c r="AF436" s="96"/>
      <c r="AG436" s="96"/>
      <c r="AH436" s="96"/>
      <c r="AI436" s="96"/>
      <c r="AJ436" s="96"/>
      <c r="AK436" s="96"/>
      <c r="AL436" s="96"/>
      <c r="AM436" s="96"/>
      <c r="AN436" s="96"/>
      <c r="AO436" s="96"/>
      <c r="AP436" s="96"/>
      <c r="AQ436" s="96"/>
      <c r="AR436" s="96"/>
    </row>
    <row r="437" spans="1:44" s="272" customFormat="1" ht="12" customHeight="1">
      <c r="A437" s="96"/>
      <c r="P437" s="146"/>
      <c r="X437" s="96"/>
      <c r="Y437" s="96"/>
      <c r="Z437" s="1255"/>
      <c r="AA437" s="96"/>
      <c r="AB437" s="96"/>
      <c r="AC437" s="96"/>
      <c r="AD437" s="96"/>
      <c r="AE437" s="96"/>
      <c r="AF437" s="96"/>
      <c r="AG437" s="96"/>
      <c r="AH437" s="96"/>
      <c r="AI437" s="96"/>
      <c r="AJ437" s="96"/>
      <c r="AK437" s="96"/>
      <c r="AL437" s="96"/>
      <c r="AM437" s="96"/>
      <c r="AN437" s="96"/>
      <c r="AO437" s="96"/>
      <c r="AP437" s="96"/>
      <c r="AQ437" s="96"/>
      <c r="AR437" s="96"/>
    </row>
    <row r="438" spans="1:44" s="272" customFormat="1" ht="12" customHeight="1">
      <c r="A438" s="96"/>
      <c r="P438" s="146"/>
      <c r="X438" s="96"/>
      <c r="Y438" s="96"/>
      <c r="Z438" s="1255"/>
      <c r="AA438" s="96"/>
      <c r="AB438" s="96"/>
      <c r="AC438" s="96"/>
      <c r="AD438" s="96"/>
      <c r="AE438" s="96"/>
      <c r="AF438" s="96"/>
      <c r="AG438" s="96"/>
      <c r="AH438" s="96"/>
      <c r="AI438" s="96"/>
      <c r="AJ438" s="96"/>
      <c r="AK438" s="96"/>
      <c r="AL438" s="96"/>
      <c r="AM438" s="96"/>
      <c r="AN438" s="96"/>
      <c r="AO438" s="96"/>
      <c r="AP438" s="96"/>
      <c r="AQ438" s="96"/>
      <c r="AR438" s="96"/>
    </row>
    <row r="439" spans="1:44" s="272" customFormat="1" ht="12" customHeight="1">
      <c r="A439" s="96"/>
      <c r="P439" s="146"/>
      <c r="X439" s="96"/>
      <c r="Y439" s="96"/>
      <c r="Z439" s="1255"/>
      <c r="AA439" s="96"/>
      <c r="AB439" s="96"/>
      <c r="AC439" s="96"/>
      <c r="AD439" s="96"/>
      <c r="AE439" s="96"/>
      <c r="AF439" s="96"/>
      <c r="AG439" s="96"/>
      <c r="AH439" s="96"/>
      <c r="AI439" s="96"/>
      <c r="AJ439" s="96"/>
      <c r="AK439" s="96"/>
      <c r="AL439" s="96"/>
      <c r="AM439" s="96"/>
      <c r="AN439" s="96"/>
      <c r="AO439" s="96"/>
      <c r="AP439" s="96"/>
      <c r="AQ439" s="96"/>
      <c r="AR439" s="96"/>
    </row>
    <row r="440" spans="1:44" s="272" customFormat="1" ht="12" customHeight="1">
      <c r="A440" s="96"/>
      <c r="P440" s="146"/>
      <c r="X440" s="96"/>
      <c r="Y440" s="96"/>
      <c r="Z440" s="1255"/>
      <c r="AA440" s="96"/>
      <c r="AB440" s="96"/>
      <c r="AC440" s="96"/>
      <c r="AD440" s="96"/>
      <c r="AE440" s="96"/>
      <c r="AF440" s="96"/>
      <c r="AG440" s="96"/>
      <c r="AH440" s="96"/>
      <c r="AI440" s="96"/>
      <c r="AJ440" s="96"/>
      <c r="AK440" s="96"/>
      <c r="AL440" s="96"/>
      <c r="AM440" s="96"/>
      <c r="AN440" s="96"/>
      <c r="AO440" s="96"/>
      <c r="AP440" s="96"/>
      <c r="AQ440" s="96"/>
      <c r="AR440" s="96"/>
    </row>
    <row r="441" spans="1:44" s="272" customFormat="1" ht="12" customHeight="1">
      <c r="A441" s="96"/>
      <c r="P441" s="300"/>
      <c r="X441" s="96"/>
      <c r="Y441" s="96"/>
      <c r="Z441" s="1255"/>
      <c r="AA441" s="96"/>
      <c r="AB441" s="96"/>
      <c r="AC441" s="96"/>
      <c r="AD441" s="96"/>
      <c r="AE441" s="96"/>
      <c r="AF441" s="96"/>
      <c r="AG441" s="96"/>
      <c r="AH441" s="96"/>
      <c r="AI441" s="96"/>
      <c r="AJ441" s="96"/>
      <c r="AK441" s="96"/>
      <c r="AL441" s="96"/>
      <c r="AM441" s="96"/>
      <c r="AN441" s="96"/>
      <c r="AO441" s="96"/>
      <c r="AP441" s="96"/>
      <c r="AQ441" s="96"/>
      <c r="AR441" s="96"/>
    </row>
    <row r="442" spans="1:44" s="272" customFormat="1" ht="12" customHeight="1">
      <c r="A442" s="96"/>
      <c r="P442" s="300"/>
      <c r="X442" s="96"/>
      <c r="Y442" s="96"/>
      <c r="Z442" s="1255"/>
      <c r="AA442" s="96"/>
      <c r="AB442" s="96"/>
      <c r="AC442" s="96"/>
      <c r="AD442" s="96"/>
      <c r="AE442" s="96"/>
      <c r="AF442" s="96"/>
      <c r="AG442" s="96"/>
      <c r="AH442" s="96"/>
      <c r="AI442" s="96"/>
      <c r="AJ442" s="96"/>
      <c r="AK442" s="96"/>
      <c r="AL442" s="96"/>
      <c r="AM442" s="96"/>
      <c r="AN442" s="96"/>
      <c r="AO442" s="96"/>
      <c r="AP442" s="96"/>
      <c r="AQ442" s="96"/>
      <c r="AR442" s="96"/>
    </row>
    <row r="443" spans="1:44" s="272" customFormat="1" ht="12" customHeight="1">
      <c r="A443" s="96"/>
      <c r="P443" s="300"/>
      <c r="X443" s="96"/>
      <c r="Y443" s="96"/>
      <c r="Z443" s="1255"/>
      <c r="AA443" s="96"/>
      <c r="AB443" s="96"/>
      <c r="AC443" s="96"/>
      <c r="AD443" s="96"/>
      <c r="AE443" s="96"/>
      <c r="AF443" s="96"/>
      <c r="AG443" s="96"/>
      <c r="AH443" s="96"/>
      <c r="AI443" s="96"/>
      <c r="AJ443" s="96"/>
      <c r="AK443" s="96"/>
      <c r="AL443" s="96"/>
      <c r="AM443" s="96"/>
      <c r="AN443" s="96"/>
      <c r="AO443" s="96"/>
      <c r="AP443" s="96"/>
      <c r="AQ443" s="96"/>
      <c r="AR443" s="96"/>
    </row>
    <row r="444" spans="1:44" s="272" customFormat="1" ht="12" customHeight="1">
      <c r="A444" s="96"/>
      <c r="P444" s="146"/>
      <c r="X444" s="96"/>
      <c r="Y444" s="96"/>
      <c r="Z444" s="1255"/>
      <c r="AA444" s="96"/>
      <c r="AB444" s="96"/>
      <c r="AC444" s="96"/>
      <c r="AD444" s="96"/>
      <c r="AE444" s="96"/>
      <c r="AF444" s="96"/>
      <c r="AG444" s="96"/>
      <c r="AH444" s="96"/>
      <c r="AI444" s="96"/>
      <c r="AJ444" s="96"/>
      <c r="AK444" s="96"/>
      <c r="AL444" s="96"/>
      <c r="AM444" s="96"/>
      <c r="AN444" s="96"/>
      <c r="AO444" s="96"/>
      <c r="AP444" s="96"/>
      <c r="AQ444" s="96"/>
      <c r="AR444" s="96"/>
    </row>
    <row r="445" spans="1:44" s="272" customFormat="1" ht="12" customHeight="1">
      <c r="A445" s="96"/>
      <c r="P445" s="146"/>
      <c r="X445" s="96"/>
      <c r="Y445" s="96"/>
      <c r="Z445" s="1255"/>
      <c r="AA445" s="96"/>
      <c r="AB445" s="96"/>
      <c r="AC445" s="96"/>
      <c r="AD445" s="96"/>
      <c r="AE445" s="96"/>
      <c r="AF445" s="96"/>
      <c r="AG445" s="96"/>
      <c r="AH445" s="96"/>
      <c r="AI445" s="96"/>
      <c r="AJ445" s="96"/>
      <c r="AK445" s="96"/>
      <c r="AL445" s="96"/>
      <c r="AM445" s="96"/>
      <c r="AN445" s="96"/>
      <c r="AO445" s="96"/>
      <c r="AP445" s="96"/>
      <c r="AQ445" s="96"/>
      <c r="AR445" s="96"/>
    </row>
    <row r="446" spans="1:44" s="272" customFormat="1" ht="12" customHeight="1">
      <c r="A446" s="96"/>
      <c r="P446" s="146"/>
      <c r="X446" s="96"/>
      <c r="Y446" s="96"/>
      <c r="Z446" s="1255"/>
      <c r="AA446" s="96"/>
      <c r="AB446" s="96"/>
      <c r="AC446" s="96"/>
      <c r="AD446" s="96"/>
      <c r="AE446" s="96"/>
      <c r="AF446" s="96"/>
      <c r="AG446" s="96"/>
      <c r="AH446" s="96"/>
      <c r="AI446" s="96"/>
      <c r="AJ446" s="96"/>
      <c r="AK446" s="96"/>
      <c r="AL446" s="96"/>
      <c r="AM446" s="96"/>
      <c r="AN446" s="96"/>
      <c r="AO446" s="96"/>
      <c r="AP446" s="96"/>
      <c r="AQ446" s="96"/>
      <c r="AR446" s="96"/>
    </row>
    <row r="447" spans="1:44" s="272" customFormat="1" ht="12" customHeight="1">
      <c r="A447" s="96"/>
      <c r="P447" s="146"/>
      <c r="X447" s="96"/>
      <c r="Y447" s="96"/>
      <c r="Z447" s="1255"/>
      <c r="AA447" s="96"/>
      <c r="AB447" s="96"/>
      <c r="AC447" s="96"/>
      <c r="AD447" s="96"/>
      <c r="AE447" s="96"/>
      <c r="AF447" s="96"/>
      <c r="AG447" s="96"/>
      <c r="AH447" s="96"/>
      <c r="AI447" s="96"/>
      <c r="AJ447" s="96"/>
      <c r="AK447" s="96"/>
      <c r="AL447" s="96"/>
      <c r="AM447" s="96"/>
      <c r="AN447" s="96"/>
      <c r="AO447" s="96"/>
      <c r="AP447" s="96"/>
      <c r="AQ447" s="96"/>
      <c r="AR447" s="96"/>
    </row>
    <row r="448" spans="1:44" s="272" customFormat="1" ht="12" customHeight="1">
      <c r="A448" s="96"/>
      <c r="P448" s="146"/>
      <c r="X448" s="96"/>
      <c r="Y448" s="96"/>
      <c r="Z448" s="1255"/>
      <c r="AA448" s="96"/>
      <c r="AB448" s="96"/>
      <c r="AC448" s="96"/>
      <c r="AD448" s="96"/>
      <c r="AE448" s="96"/>
      <c r="AF448" s="96"/>
      <c r="AG448" s="96"/>
      <c r="AH448" s="96"/>
      <c r="AI448" s="96"/>
      <c r="AJ448" s="96"/>
      <c r="AK448" s="96"/>
      <c r="AL448" s="96"/>
      <c r="AM448" s="96"/>
      <c r="AN448" s="96"/>
      <c r="AO448" s="96"/>
      <c r="AP448" s="96"/>
      <c r="AQ448" s="96"/>
      <c r="AR448" s="96"/>
    </row>
    <row r="449" spans="1:44" s="272" customFormat="1" ht="12" customHeight="1">
      <c r="A449" s="96"/>
      <c r="P449" s="146"/>
      <c r="X449" s="96"/>
      <c r="Y449" s="96"/>
      <c r="Z449" s="1255"/>
      <c r="AA449" s="96"/>
      <c r="AB449" s="96"/>
      <c r="AC449" s="96"/>
      <c r="AD449" s="96"/>
      <c r="AE449" s="96"/>
      <c r="AF449" s="96"/>
      <c r="AG449" s="96"/>
      <c r="AH449" s="96"/>
      <c r="AI449" s="96"/>
      <c r="AJ449" s="96"/>
      <c r="AK449" s="96"/>
      <c r="AL449" s="96"/>
      <c r="AM449" s="96"/>
      <c r="AN449" s="96"/>
      <c r="AO449" s="96"/>
      <c r="AP449" s="96"/>
      <c r="AQ449" s="96"/>
      <c r="AR449" s="96"/>
    </row>
    <row r="450" spans="1:44" s="272" customFormat="1" ht="12" customHeight="1">
      <c r="A450" s="96"/>
      <c r="P450" s="146"/>
      <c r="X450" s="96"/>
      <c r="Y450" s="96"/>
      <c r="Z450" s="1255"/>
      <c r="AA450" s="96"/>
      <c r="AB450" s="96"/>
      <c r="AC450" s="96"/>
      <c r="AD450" s="96"/>
      <c r="AE450" s="96"/>
      <c r="AF450" s="96"/>
      <c r="AG450" s="96"/>
      <c r="AH450" s="96"/>
      <c r="AI450" s="96"/>
      <c r="AJ450" s="96"/>
      <c r="AK450" s="96"/>
      <c r="AL450" s="96"/>
      <c r="AM450" s="96"/>
      <c r="AN450" s="96"/>
      <c r="AO450" s="96"/>
      <c r="AP450" s="96"/>
      <c r="AQ450" s="96"/>
      <c r="AR450" s="96"/>
    </row>
    <row r="451" spans="1:44" s="272" customFormat="1" ht="12" customHeight="1">
      <c r="A451" s="96"/>
      <c r="P451" s="146"/>
      <c r="X451" s="96"/>
      <c r="Y451" s="96"/>
      <c r="Z451" s="1255"/>
      <c r="AA451" s="96"/>
      <c r="AB451" s="96"/>
      <c r="AC451" s="96"/>
      <c r="AD451" s="96"/>
      <c r="AE451" s="96"/>
      <c r="AF451" s="96"/>
      <c r="AG451" s="96"/>
      <c r="AH451" s="96"/>
      <c r="AI451" s="96"/>
      <c r="AJ451" s="96"/>
      <c r="AK451" s="96"/>
      <c r="AL451" s="96"/>
      <c r="AM451" s="96"/>
      <c r="AN451" s="96"/>
      <c r="AO451" s="96"/>
      <c r="AP451" s="96"/>
      <c r="AQ451" s="96"/>
      <c r="AR451" s="96"/>
    </row>
    <row r="452" spans="1:44" s="272" customFormat="1" ht="12" customHeight="1">
      <c r="A452" s="96"/>
      <c r="P452" s="146"/>
      <c r="X452" s="96"/>
      <c r="Y452" s="96"/>
      <c r="Z452" s="1255"/>
      <c r="AA452" s="96"/>
      <c r="AB452" s="96"/>
      <c r="AC452" s="96"/>
      <c r="AD452" s="96"/>
      <c r="AE452" s="96"/>
      <c r="AF452" s="96"/>
      <c r="AG452" s="96"/>
      <c r="AH452" s="96"/>
      <c r="AI452" s="96"/>
      <c r="AJ452" s="96"/>
      <c r="AK452" s="96"/>
      <c r="AL452" s="96"/>
      <c r="AM452" s="96"/>
      <c r="AN452" s="96"/>
      <c r="AO452" s="96"/>
      <c r="AP452" s="96"/>
      <c r="AQ452" s="96"/>
      <c r="AR452" s="96"/>
    </row>
    <row r="453" spans="1:44" s="272" customFormat="1" ht="12" customHeight="1">
      <c r="A453" s="96"/>
      <c r="P453" s="146"/>
      <c r="X453" s="96"/>
      <c r="Y453" s="96"/>
      <c r="Z453" s="1255"/>
      <c r="AA453" s="96"/>
      <c r="AB453" s="96"/>
      <c r="AC453" s="96"/>
      <c r="AD453" s="96"/>
      <c r="AE453" s="96"/>
      <c r="AF453" s="96"/>
      <c r="AG453" s="96"/>
      <c r="AH453" s="96"/>
      <c r="AI453" s="96"/>
      <c r="AJ453" s="96"/>
      <c r="AK453" s="96"/>
      <c r="AL453" s="96"/>
      <c r="AM453" s="96"/>
      <c r="AN453" s="96"/>
      <c r="AO453" s="96"/>
      <c r="AP453" s="96"/>
      <c r="AQ453" s="96"/>
      <c r="AR453" s="96"/>
    </row>
    <row r="454" spans="1:44" s="272" customFormat="1" ht="12" customHeight="1">
      <c r="A454" s="96"/>
      <c r="P454" s="146"/>
      <c r="X454" s="96"/>
      <c r="Y454" s="96"/>
      <c r="Z454" s="1255"/>
      <c r="AA454" s="96"/>
      <c r="AB454" s="96"/>
      <c r="AC454" s="96"/>
      <c r="AD454" s="96"/>
      <c r="AE454" s="96"/>
      <c r="AF454" s="96"/>
      <c r="AG454" s="96"/>
      <c r="AH454" s="96"/>
      <c r="AI454" s="96"/>
      <c r="AJ454" s="96"/>
      <c r="AK454" s="96"/>
      <c r="AL454" s="96"/>
      <c r="AM454" s="96"/>
      <c r="AN454" s="96"/>
      <c r="AO454" s="96"/>
      <c r="AP454" s="96"/>
      <c r="AQ454" s="96"/>
      <c r="AR454" s="96"/>
    </row>
    <row r="455" spans="1:44" s="272" customFormat="1" ht="12" customHeight="1">
      <c r="A455" s="96"/>
      <c r="P455" s="146"/>
      <c r="X455" s="96"/>
      <c r="Y455" s="96"/>
      <c r="Z455" s="1255"/>
      <c r="AA455" s="96"/>
      <c r="AB455" s="96"/>
      <c r="AC455" s="96"/>
      <c r="AD455" s="96"/>
      <c r="AE455" s="96"/>
      <c r="AF455" s="96"/>
      <c r="AG455" s="96"/>
      <c r="AH455" s="96"/>
      <c r="AI455" s="96"/>
      <c r="AJ455" s="96"/>
      <c r="AK455" s="96"/>
      <c r="AL455" s="96"/>
      <c r="AM455" s="96"/>
      <c r="AN455" s="96"/>
      <c r="AO455" s="96"/>
      <c r="AP455" s="96"/>
      <c r="AQ455" s="96"/>
      <c r="AR455" s="96"/>
    </row>
    <row r="456" spans="1:44" s="272" customFormat="1" ht="12" customHeight="1">
      <c r="A456" s="96"/>
      <c r="P456" s="300"/>
      <c r="X456" s="96"/>
      <c r="Y456" s="96"/>
      <c r="Z456" s="1255"/>
      <c r="AA456" s="96"/>
      <c r="AB456" s="96"/>
      <c r="AC456" s="96"/>
      <c r="AD456" s="96"/>
      <c r="AE456" s="96"/>
      <c r="AF456" s="96"/>
      <c r="AG456" s="96"/>
      <c r="AH456" s="96"/>
      <c r="AI456" s="96"/>
      <c r="AJ456" s="96"/>
      <c r="AK456" s="96"/>
      <c r="AL456" s="96"/>
      <c r="AM456" s="96"/>
      <c r="AN456" s="96"/>
      <c r="AO456" s="96"/>
      <c r="AP456" s="96"/>
      <c r="AQ456" s="96"/>
      <c r="AR456" s="96"/>
    </row>
    <row r="457" spans="1:44" s="272" customFormat="1" ht="12" customHeight="1">
      <c r="A457" s="96"/>
      <c r="P457" s="146"/>
      <c r="X457" s="96"/>
      <c r="Y457" s="96"/>
      <c r="Z457" s="1255"/>
      <c r="AA457" s="96"/>
      <c r="AB457" s="96"/>
      <c r="AC457" s="96"/>
      <c r="AD457" s="96"/>
      <c r="AE457" s="96"/>
      <c r="AF457" s="96"/>
      <c r="AG457" s="96"/>
      <c r="AH457" s="96"/>
      <c r="AI457" s="96"/>
      <c r="AJ457" s="96"/>
      <c r="AK457" s="96"/>
      <c r="AL457" s="96"/>
      <c r="AM457" s="96"/>
      <c r="AN457" s="96"/>
      <c r="AO457" s="96"/>
      <c r="AP457" s="96"/>
      <c r="AQ457" s="96"/>
      <c r="AR457" s="96"/>
    </row>
    <row r="458" spans="1:44" s="272" customFormat="1" ht="12" customHeight="1">
      <c r="A458" s="96"/>
      <c r="P458" s="146"/>
      <c r="X458" s="96"/>
      <c r="Y458" s="96"/>
      <c r="Z458" s="1255"/>
      <c r="AA458" s="96"/>
      <c r="AB458" s="96"/>
      <c r="AC458" s="96"/>
      <c r="AD458" s="96"/>
      <c r="AE458" s="96"/>
      <c r="AF458" s="96"/>
      <c r="AG458" s="96"/>
      <c r="AH458" s="96"/>
      <c r="AI458" s="96"/>
      <c r="AJ458" s="96"/>
      <c r="AK458" s="96"/>
      <c r="AL458" s="96"/>
      <c r="AM458" s="96"/>
      <c r="AN458" s="96"/>
      <c r="AO458" s="96"/>
      <c r="AP458" s="96"/>
      <c r="AQ458" s="96"/>
      <c r="AR458" s="96"/>
    </row>
    <row r="459" spans="1:44" s="272" customFormat="1" ht="12" customHeight="1">
      <c r="A459" s="96"/>
      <c r="P459" s="146"/>
      <c r="X459" s="96"/>
      <c r="Y459" s="96"/>
      <c r="Z459" s="1255"/>
      <c r="AA459" s="96"/>
      <c r="AB459" s="96"/>
      <c r="AC459" s="96"/>
      <c r="AD459" s="96"/>
      <c r="AE459" s="96"/>
      <c r="AF459" s="96"/>
      <c r="AG459" s="96"/>
      <c r="AH459" s="96"/>
      <c r="AI459" s="96"/>
      <c r="AJ459" s="96"/>
      <c r="AK459" s="96"/>
      <c r="AL459" s="96"/>
      <c r="AM459" s="96"/>
      <c r="AN459" s="96"/>
      <c r="AO459" s="96"/>
      <c r="AP459" s="96"/>
      <c r="AQ459" s="96"/>
      <c r="AR459" s="96"/>
    </row>
    <row r="460" spans="1:44" s="272" customFormat="1" ht="12" customHeight="1">
      <c r="A460" s="96"/>
      <c r="P460" s="146"/>
      <c r="X460" s="96"/>
      <c r="Y460" s="96"/>
      <c r="Z460" s="1255"/>
      <c r="AA460" s="96"/>
      <c r="AB460" s="96"/>
      <c r="AC460" s="96"/>
      <c r="AD460" s="96"/>
      <c r="AE460" s="96"/>
      <c r="AF460" s="96"/>
      <c r="AG460" s="96"/>
      <c r="AH460" s="96"/>
      <c r="AI460" s="96"/>
      <c r="AJ460" s="96"/>
      <c r="AK460" s="96"/>
      <c r="AL460" s="96"/>
      <c r="AM460" s="96"/>
      <c r="AN460" s="96"/>
      <c r="AO460" s="96"/>
      <c r="AP460" s="96"/>
      <c r="AQ460" s="96"/>
      <c r="AR460" s="96"/>
    </row>
    <row r="461" spans="1:44" s="272" customFormat="1" ht="12" customHeight="1">
      <c r="A461" s="96"/>
      <c r="P461" s="300"/>
      <c r="X461" s="96"/>
      <c r="Y461" s="96"/>
      <c r="Z461" s="1255"/>
      <c r="AA461" s="96"/>
      <c r="AB461" s="96"/>
      <c r="AC461" s="96"/>
      <c r="AD461" s="96"/>
      <c r="AE461" s="96"/>
      <c r="AF461" s="96"/>
      <c r="AG461" s="96"/>
      <c r="AH461" s="96"/>
      <c r="AI461" s="96"/>
      <c r="AJ461" s="96"/>
      <c r="AK461" s="96"/>
      <c r="AL461" s="96"/>
      <c r="AM461" s="96"/>
      <c r="AN461" s="96"/>
      <c r="AO461" s="96"/>
      <c r="AP461" s="96"/>
      <c r="AQ461" s="96"/>
      <c r="AR461" s="96"/>
    </row>
    <row r="462" spans="1:44" s="272" customFormat="1" ht="12" customHeight="1">
      <c r="A462" s="96"/>
      <c r="P462" s="146"/>
      <c r="X462" s="96"/>
      <c r="Y462" s="96"/>
      <c r="Z462" s="1255"/>
      <c r="AA462" s="96"/>
      <c r="AB462" s="96"/>
      <c r="AC462" s="96"/>
      <c r="AD462" s="96"/>
      <c r="AE462" s="96"/>
      <c r="AF462" s="96"/>
      <c r="AG462" s="96"/>
      <c r="AH462" s="96"/>
      <c r="AI462" s="96"/>
      <c r="AJ462" s="96"/>
      <c r="AK462" s="96"/>
      <c r="AL462" s="96"/>
      <c r="AM462" s="96"/>
      <c r="AN462" s="96"/>
      <c r="AO462" s="96"/>
      <c r="AP462" s="96"/>
      <c r="AQ462" s="96"/>
      <c r="AR462" s="96"/>
    </row>
    <row r="463" spans="1:44" s="272" customFormat="1" ht="12" customHeight="1">
      <c r="A463" s="96"/>
      <c r="P463" s="146"/>
      <c r="X463" s="96"/>
      <c r="Y463" s="96"/>
      <c r="Z463" s="1255"/>
      <c r="AA463" s="96"/>
      <c r="AB463" s="96"/>
      <c r="AC463" s="96"/>
      <c r="AD463" s="96"/>
      <c r="AE463" s="96"/>
      <c r="AF463" s="96"/>
      <c r="AG463" s="96"/>
      <c r="AH463" s="96"/>
      <c r="AI463" s="96"/>
      <c r="AJ463" s="96"/>
      <c r="AK463" s="96"/>
      <c r="AL463" s="96"/>
      <c r="AM463" s="96"/>
      <c r="AN463" s="96"/>
      <c r="AO463" s="96"/>
      <c r="AP463" s="96"/>
      <c r="AQ463" s="96"/>
      <c r="AR463" s="96"/>
    </row>
    <row r="464" spans="1:44" s="272" customFormat="1" ht="12" customHeight="1">
      <c r="A464" s="96"/>
      <c r="P464" s="146"/>
      <c r="X464" s="96"/>
      <c r="Y464" s="96"/>
      <c r="Z464" s="1255"/>
      <c r="AA464" s="96"/>
      <c r="AB464" s="96"/>
      <c r="AC464" s="96"/>
      <c r="AD464" s="96"/>
      <c r="AE464" s="96"/>
      <c r="AF464" s="96"/>
      <c r="AG464" s="96"/>
      <c r="AH464" s="96"/>
      <c r="AI464" s="96"/>
      <c r="AJ464" s="96"/>
      <c r="AK464" s="96"/>
      <c r="AL464" s="96"/>
      <c r="AM464" s="96"/>
      <c r="AN464" s="96"/>
      <c r="AO464" s="96"/>
      <c r="AP464" s="96"/>
      <c r="AQ464" s="96"/>
      <c r="AR464" s="96"/>
    </row>
    <row r="465" spans="1:44" s="272" customFormat="1" ht="12" customHeight="1">
      <c r="A465" s="96"/>
      <c r="P465" s="146"/>
      <c r="X465" s="96"/>
      <c r="Y465" s="96"/>
      <c r="Z465" s="1255"/>
      <c r="AA465" s="96"/>
      <c r="AB465" s="96"/>
      <c r="AC465" s="96"/>
      <c r="AD465" s="96"/>
      <c r="AE465" s="96"/>
      <c r="AF465" s="96"/>
      <c r="AG465" s="96"/>
      <c r="AH465" s="96"/>
      <c r="AI465" s="96"/>
      <c r="AJ465" s="96"/>
      <c r="AK465" s="96"/>
      <c r="AL465" s="96"/>
      <c r="AM465" s="96"/>
      <c r="AN465" s="96"/>
      <c r="AO465" s="96"/>
      <c r="AP465" s="96"/>
      <c r="AQ465" s="96"/>
      <c r="AR465" s="96"/>
    </row>
    <row r="466" spans="1:44" s="272" customFormat="1" ht="12" customHeight="1">
      <c r="A466" s="96"/>
      <c r="P466" s="146"/>
      <c r="X466" s="96"/>
      <c r="Y466" s="96"/>
      <c r="Z466" s="1255"/>
      <c r="AA466" s="96"/>
      <c r="AB466" s="96"/>
      <c r="AC466" s="96"/>
      <c r="AD466" s="96"/>
      <c r="AE466" s="96"/>
      <c r="AF466" s="96"/>
      <c r="AG466" s="96"/>
      <c r="AH466" s="96"/>
      <c r="AI466" s="96"/>
      <c r="AJ466" s="96"/>
      <c r="AK466" s="96"/>
      <c r="AL466" s="96"/>
      <c r="AM466" s="96"/>
      <c r="AN466" s="96"/>
      <c r="AO466" s="96"/>
      <c r="AP466" s="96"/>
      <c r="AQ466" s="96"/>
      <c r="AR466" s="96"/>
    </row>
    <row r="467" spans="1:44" s="272" customFormat="1" ht="12" customHeight="1">
      <c r="A467" s="96"/>
      <c r="P467" s="146"/>
      <c r="X467" s="96"/>
      <c r="Y467" s="96"/>
      <c r="Z467" s="1255"/>
      <c r="AA467" s="96"/>
      <c r="AB467" s="96"/>
      <c r="AC467" s="96"/>
      <c r="AD467" s="96"/>
      <c r="AE467" s="96"/>
      <c r="AF467" s="96"/>
      <c r="AG467" s="96"/>
      <c r="AH467" s="96"/>
      <c r="AI467" s="96"/>
      <c r="AJ467" s="96"/>
      <c r="AK467" s="96"/>
      <c r="AL467" s="96"/>
      <c r="AM467" s="96"/>
      <c r="AN467" s="96"/>
      <c r="AO467" s="96"/>
      <c r="AP467" s="96"/>
      <c r="AQ467" s="96"/>
      <c r="AR467" s="96"/>
    </row>
    <row r="468" spans="1:44" s="272" customFormat="1" ht="12" customHeight="1">
      <c r="A468" s="96"/>
      <c r="P468" s="146"/>
      <c r="X468" s="96"/>
      <c r="Y468" s="96"/>
      <c r="Z468" s="1255"/>
      <c r="AA468" s="96"/>
      <c r="AB468" s="96"/>
      <c r="AC468" s="96"/>
      <c r="AD468" s="96"/>
      <c r="AE468" s="96"/>
      <c r="AF468" s="96"/>
      <c r="AG468" s="96"/>
      <c r="AH468" s="96"/>
      <c r="AI468" s="96"/>
      <c r="AJ468" s="96"/>
      <c r="AK468" s="96"/>
      <c r="AL468" s="96"/>
      <c r="AM468" s="96"/>
      <c r="AN468" s="96"/>
      <c r="AO468" s="96"/>
      <c r="AP468" s="96"/>
      <c r="AQ468" s="96"/>
      <c r="AR468" s="96"/>
    </row>
    <row r="469" spans="1:44" s="272" customFormat="1" ht="12" customHeight="1">
      <c r="A469" s="96"/>
      <c r="P469" s="146"/>
      <c r="X469" s="96"/>
      <c r="Y469" s="96"/>
      <c r="Z469" s="1255"/>
      <c r="AA469" s="96"/>
      <c r="AB469" s="96"/>
      <c r="AC469" s="96"/>
      <c r="AD469" s="96"/>
      <c r="AE469" s="96"/>
      <c r="AF469" s="96"/>
      <c r="AG469" s="96"/>
      <c r="AH469" s="96"/>
      <c r="AI469" s="96"/>
      <c r="AJ469" s="96"/>
      <c r="AK469" s="96"/>
      <c r="AL469" s="96"/>
      <c r="AM469" s="96"/>
      <c r="AN469" s="96"/>
      <c r="AO469" s="96"/>
      <c r="AP469" s="96"/>
      <c r="AQ469" s="96"/>
      <c r="AR469" s="96"/>
    </row>
    <row r="470" spans="1:44" s="272" customFormat="1" ht="12" customHeight="1">
      <c r="A470" s="96"/>
      <c r="P470" s="146"/>
      <c r="R470" s="295" t="s">
        <v>92</v>
      </c>
      <c r="S470" s="295" t="s">
        <v>93</v>
      </c>
      <c r="T470" s="295" t="s">
        <v>94</v>
      </c>
      <c r="X470" s="96"/>
      <c r="Y470" s="96"/>
      <c r="Z470" s="1255"/>
      <c r="AA470" s="96"/>
      <c r="AB470" s="96"/>
      <c r="AC470" s="96"/>
      <c r="AD470" s="96"/>
      <c r="AE470" s="96"/>
      <c r="AF470" s="96"/>
      <c r="AG470" s="96"/>
      <c r="AH470" s="96"/>
      <c r="AI470" s="96"/>
      <c r="AJ470" s="96"/>
      <c r="AK470" s="96"/>
      <c r="AL470" s="96"/>
      <c r="AM470" s="96"/>
      <c r="AN470" s="96"/>
      <c r="AO470" s="96"/>
      <c r="AP470" s="96"/>
      <c r="AQ470" s="96"/>
      <c r="AR470" s="96"/>
    </row>
    <row r="471" spans="1:44" s="272" customFormat="1" ht="12" customHeight="1">
      <c r="A471" s="96"/>
      <c r="P471" s="146"/>
      <c r="R471" s="295" t="s">
        <v>95</v>
      </c>
      <c r="S471" s="295" t="s">
        <v>96</v>
      </c>
      <c r="T471" s="296" t="s">
        <v>97</v>
      </c>
      <c r="X471" s="96"/>
      <c r="Y471" s="96"/>
      <c r="Z471" s="1255"/>
      <c r="AA471" s="96"/>
      <c r="AB471" s="96"/>
      <c r="AC471" s="96"/>
      <c r="AD471" s="96"/>
      <c r="AE471" s="96"/>
      <c r="AF471" s="96"/>
      <c r="AG471" s="96"/>
      <c r="AH471" s="96"/>
      <c r="AI471" s="96"/>
      <c r="AJ471" s="96"/>
      <c r="AK471" s="96"/>
      <c r="AL471" s="96"/>
      <c r="AM471" s="96"/>
      <c r="AN471" s="96"/>
      <c r="AO471" s="96"/>
      <c r="AP471" s="96"/>
      <c r="AQ471" s="96"/>
      <c r="AR471" s="96"/>
    </row>
    <row r="472" spans="1:44" s="272" customFormat="1" ht="12" customHeight="1">
      <c r="A472" s="96"/>
      <c r="P472" s="300"/>
      <c r="R472" s="295" t="s">
        <v>98</v>
      </c>
      <c r="S472" s="295" t="s">
        <v>99</v>
      </c>
      <c r="T472" s="296" t="s">
        <v>97</v>
      </c>
      <c r="X472" s="96"/>
      <c r="Y472" s="96"/>
      <c r="Z472" s="1255"/>
      <c r="AA472" s="96"/>
      <c r="AB472" s="96"/>
      <c r="AC472" s="96"/>
      <c r="AD472" s="96"/>
      <c r="AE472" s="96"/>
      <c r="AF472" s="96"/>
      <c r="AG472" s="96"/>
      <c r="AH472" s="96"/>
      <c r="AI472" s="96"/>
      <c r="AJ472" s="96"/>
      <c r="AK472" s="96"/>
      <c r="AL472" s="96"/>
      <c r="AM472" s="96"/>
      <c r="AN472" s="96"/>
      <c r="AO472" s="96"/>
      <c r="AP472" s="96"/>
      <c r="AQ472" s="96"/>
      <c r="AR472" s="96"/>
    </row>
    <row r="473" spans="1:44" s="272" customFormat="1" ht="12" customHeight="1">
      <c r="A473" s="96"/>
      <c r="P473" s="146"/>
      <c r="R473" s="295" t="s">
        <v>100</v>
      </c>
      <c r="S473" s="295" t="s">
        <v>101</v>
      </c>
      <c r="T473" s="296" t="s">
        <v>97</v>
      </c>
      <c r="X473" s="96"/>
      <c r="Y473" s="96"/>
      <c r="Z473" s="1255"/>
      <c r="AA473" s="96"/>
      <c r="AB473" s="96"/>
      <c r="AC473" s="96"/>
      <c r="AD473" s="96"/>
      <c r="AE473" s="96"/>
      <c r="AF473" s="96"/>
      <c r="AG473" s="96"/>
      <c r="AH473" s="96"/>
      <c r="AI473" s="96"/>
      <c r="AJ473" s="96"/>
      <c r="AK473" s="96"/>
      <c r="AL473" s="96"/>
      <c r="AM473" s="96"/>
      <c r="AN473" s="96"/>
      <c r="AO473" s="96"/>
      <c r="AP473" s="96"/>
      <c r="AQ473" s="96"/>
      <c r="AR473" s="96"/>
    </row>
    <row r="474" spans="1:44" s="272" customFormat="1" ht="12" customHeight="1">
      <c r="A474" s="96"/>
      <c r="P474" s="146"/>
      <c r="R474" s="295" t="s">
        <v>102</v>
      </c>
      <c r="S474" s="295"/>
      <c r="T474" s="296" t="s">
        <v>97</v>
      </c>
      <c r="X474" s="96"/>
      <c r="Y474" s="96"/>
      <c r="Z474" s="1255"/>
      <c r="AA474" s="96"/>
      <c r="AB474" s="96"/>
      <c r="AC474" s="96"/>
      <c r="AD474" s="96"/>
      <c r="AE474" s="96"/>
      <c r="AF474" s="96"/>
      <c r="AG474" s="96"/>
      <c r="AH474" s="96"/>
      <c r="AI474" s="96"/>
      <c r="AJ474" s="96"/>
      <c r="AK474" s="96"/>
      <c r="AL474" s="96"/>
      <c r="AM474" s="96"/>
      <c r="AN474" s="96"/>
      <c r="AO474" s="96"/>
      <c r="AP474" s="96"/>
      <c r="AQ474" s="96"/>
      <c r="AR474" s="96"/>
    </row>
    <row r="475" spans="1:44" s="272" customFormat="1" ht="12" customHeight="1">
      <c r="A475" s="96"/>
      <c r="P475" s="146"/>
      <c r="R475" s="295" t="s">
        <v>103</v>
      </c>
      <c r="S475" s="295" t="s">
        <v>104</v>
      </c>
      <c r="T475" s="296" t="s">
        <v>97</v>
      </c>
      <c r="X475" s="96"/>
      <c r="Y475" s="96"/>
      <c r="Z475" s="1255"/>
      <c r="AA475" s="96"/>
      <c r="AB475" s="96"/>
      <c r="AC475" s="96"/>
      <c r="AD475" s="96"/>
      <c r="AE475" s="96"/>
      <c r="AF475" s="96"/>
      <c r="AG475" s="96"/>
      <c r="AH475" s="96"/>
      <c r="AI475" s="96"/>
      <c r="AJ475" s="96"/>
      <c r="AK475" s="96"/>
      <c r="AL475" s="96"/>
      <c r="AM475" s="96"/>
      <c r="AN475" s="96"/>
      <c r="AO475" s="96"/>
      <c r="AP475" s="96"/>
      <c r="AQ475" s="96"/>
      <c r="AR475" s="96"/>
    </row>
    <row r="476" spans="1:44" s="272" customFormat="1" ht="12" customHeight="1">
      <c r="A476" s="96"/>
      <c r="P476" s="146"/>
      <c r="R476" s="295" t="s">
        <v>105</v>
      </c>
      <c r="S476" s="295" t="s">
        <v>101</v>
      </c>
      <c r="T476" s="296" t="s">
        <v>97</v>
      </c>
      <c r="X476" s="96"/>
      <c r="Y476" s="96"/>
      <c r="Z476" s="1255"/>
      <c r="AA476" s="96"/>
      <c r="AB476" s="96"/>
      <c r="AC476" s="96"/>
      <c r="AD476" s="96"/>
      <c r="AE476" s="96"/>
      <c r="AF476" s="96"/>
      <c r="AG476" s="96"/>
      <c r="AH476" s="96"/>
      <c r="AI476" s="96"/>
      <c r="AJ476" s="96"/>
      <c r="AK476" s="96"/>
      <c r="AL476" s="96"/>
      <c r="AM476" s="96"/>
      <c r="AN476" s="96"/>
      <c r="AO476" s="96"/>
      <c r="AP476" s="96"/>
      <c r="AQ476" s="96"/>
      <c r="AR476" s="96"/>
    </row>
    <row r="477" spans="1:44" s="272" customFormat="1" ht="12" customHeight="1">
      <c r="A477" s="96"/>
      <c r="P477" s="146"/>
      <c r="R477" s="295" t="s">
        <v>106</v>
      </c>
      <c r="S477" s="295" t="s">
        <v>107</v>
      </c>
      <c r="T477" s="296" t="s">
        <v>97</v>
      </c>
      <c r="X477" s="96"/>
      <c r="Y477" s="96"/>
      <c r="Z477" s="1255"/>
      <c r="AA477" s="96"/>
      <c r="AB477" s="96"/>
      <c r="AC477" s="96"/>
      <c r="AD477" s="96"/>
      <c r="AE477" s="96"/>
      <c r="AF477" s="96"/>
      <c r="AG477" s="96"/>
      <c r="AH477" s="96"/>
      <c r="AI477" s="96"/>
      <c r="AJ477" s="96"/>
      <c r="AK477" s="96"/>
      <c r="AL477" s="96"/>
      <c r="AM477" s="96"/>
      <c r="AN477" s="96"/>
      <c r="AO477" s="96"/>
      <c r="AP477" s="96"/>
      <c r="AQ477" s="96"/>
      <c r="AR477" s="96"/>
    </row>
    <row r="478" spans="1:44" s="272" customFormat="1" ht="12" customHeight="1">
      <c r="A478" s="96"/>
      <c r="P478" s="146"/>
      <c r="R478" s="295" t="s">
        <v>108</v>
      </c>
      <c r="S478" s="295" t="s">
        <v>109</v>
      </c>
      <c r="T478" s="296" t="s">
        <v>97</v>
      </c>
      <c r="X478" s="96"/>
      <c r="Y478" s="96"/>
      <c r="Z478" s="1255"/>
      <c r="AA478" s="96"/>
      <c r="AB478" s="96"/>
      <c r="AC478" s="96"/>
      <c r="AD478" s="96"/>
      <c r="AE478" s="96"/>
      <c r="AF478" s="96"/>
      <c r="AG478" s="96"/>
      <c r="AH478" s="96"/>
      <c r="AI478" s="96"/>
      <c r="AJ478" s="96"/>
      <c r="AK478" s="96"/>
      <c r="AL478" s="96"/>
      <c r="AM478" s="96"/>
      <c r="AN478" s="96"/>
      <c r="AO478" s="96"/>
      <c r="AP478" s="96"/>
      <c r="AQ478" s="96"/>
      <c r="AR478" s="96"/>
    </row>
    <row r="479" spans="1:44" s="272" customFormat="1" ht="12" customHeight="1">
      <c r="A479" s="96"/>
      <c r="P479" s="146"/>
      <c r="R479" s="295" t="s">
        <v>110</v>
      </c>
      <c r="S479" s="295" t="s">
        <v>111</v>
      </c>
      <c r="T479" s="296" t="s">
        <v>97</v>
      </c>
      <c r="X479" s="96"/>
      <c r="Y479" s="96"/>
      <c r="Z479" s="1255"/>
      <c r="AA479" s="96"/>
      <c r="AB479" s="96"/>
      <c r="AC479" s="96"/>
      <c r="AD479" s="96"/>
      <c r="AE479" s="96"/>
      <c r="AF479" s="96"/>
      <c r="AG479" s="96"/>
      <c r="AH479" s="96"/>
      <c r="AI479" s="96"/>
      <c r="AJ479" s="96"/>
      <c r="AK479" s="96"/>
      <c r="AL479" s="96"/>
      <c r="AM479" s="96"/>
      <c r="AN479" s="96"/>
      <c r="AO479" s="96"/>
      <c r="AP479" s="96"/>
      <c r="AQ479" s="96"/>
      <c r="AR479" s="96"/>
    </row>
    <row r="480" spans="1:44" s="272" customFormat="1" ht="12" customHeight="1">
      <c r="A480" s="96"/>
      <c r="P480" s="146"/>
      <c r="R480" s="295" t="s">
        <v>112</v>
      </c>
      <c r="S480" s="295" t="s">
        <v>96</v>
      </c>
      <c r="T480" s="296" t="s">
        <v>97</v>
      </c>
      <c r="X480" s="96"/>
      <c r="Y480" s="96"/>
      <c r="Z480" s="1255"/>
      <c r="AA480" s="96"/>
      <c r="AB480" s="96"/>
      <c r="AC480" s="96"/>
      <c r="AD480" s="96"/>
      <c r="AE480" s="96"/>
      <c r="AF480" s="96"/>
      <c r="AG480" s="96"/>
      <c r="AH480" s="96"/>
      <c r="AI480" s="96"/>
      <c r="AJ480" s="96"/>
      <c r="AK480" s="96"/>
      <c r="AL480" s="96"/>
      <c r="AM480" s="96"/>
      <c r="AN480" s="96"/>
      <c r="AO480" s="96"/>
      <c r="AP480" s="96"/>
      <c r="AQ480" s="96"/>
      <c r="AR480" s="96"/>
    </row>
    <row r="481" spans="1:44" s="272" customFormat="1" ht="12" customHeight="1">
      <c r="A481" s="96"/>
      <c r="P481" s="146"/>
      <c r="R481" s="295" t="s">
        <v>113</v>
      </c>
      <c r="S481" s="295" t="s">
        <v>114</v>
      </c>
      <c r="T481" s="296" t="s">
        <v>97</v>
      </c>
      <c r="X481" s="96"/>
      <c r="Y481" s="96"/>
      <c r="Z481" s="1255"/>
      <c r="AA481" s="96"/>
      <c r="AB481" s="96"/>
      <c r="AC481" s="96"/>
      <c r="AD481" s="96"/>
      <c r="AE481" s="96"/>
      <c r="AF481" s="96"/>
      <c r="AG481" s="96"/>
      <c r="AH481" s="96"/>
      <c r="AI481" s="96"/>
      <c r="AJ481" s="96"/>
      <c r="AK481" s="96"/>
      <c r="AL481" s="96"/>
      <c r="AM481" s="96"/>
      <c r="AN481" s="96"/>
      <c r="AO481" s="96"/>
      <c r="AP481" s="96"/>
      <c r="AQ481" s="96"/>
      <c r="AR481" s="96"/>
    </row>
    <row r="482" spans="1:44" s="272" customFormat="1" ht="12" customHeight="1">
      <c r="A482" s="96"/>
      <c r="P482" s="146"/>
      <c r="R482" s="295" t="s">
        <v>115</v>
      </c>
      <c r="S482" s="295" t="s">
        <v>116</v>
      </c>
      <c r="T482" s="296" t="s">
        <v>97</v>
      </c>
      <c r="X482" s="96"/>
      <c r="Y482" s="96"/>
      <c r="Z482" s="1255"/>
      <c r="AA482" s="96"/>
      <c r="AB482" s="96"/>
      <c r="AC482" s="96"/>
      <c r="AD482" s="96"/>
      <c r="AE482" s="96"/>
      <c r="AF482" s="96"/>
      <c r="AG482" s="96"/>
      <c r="AH482" s="96"/>
      <c r="AI482" s="96"/>
      <c r="AJ482" s="96"/>
      <c r="AK482" s="96"/>
      <c r="AL482" s="96"/>
      <c r="AM482" s="96"/>
      <c r="AN482" s="96"/>
      <c r="AO482" s="96"/>
      <c r="AP482" s="96"/>
      <c r="AQ482" s="96"/>
      <c r="AR482" s="96"/>
    </row>
    <row r="483" spans="1:44" s="272" customFormat="1" ht="12" customHeight="1">
      <c r="A483" s="96"/>
      <c r="P483" s="146"/>
      <c r="R483" s="295" t="s">
        <v>117</v>
      </c>
      <c r="S483" s="295" t="s">
        <v>118</v>
      </c>
      <c r="T483" s="296" t="s">
        <v>97</v>
      </c>
      <c r="X483" s="96"/>
      <c r="Y483" s="96"/>
      <c r="Z483" s="1255"/>
      <c r="AA483" s="96"/>
      <c r="AB483" s="96"/>
      <c r="AC483" s="96"/>
      <c r="AD483" s="96"/>
      <c r="AE483" s="96"/>
      <c r="AF483" s="96"/>
      <c r="AG483" s="96"/>
      <c r="AH483" s="96"/>
      <c r="AI483" s="96"/>
      <c r="AJ483" s="96"/>
      <c r="AK483" s="96"/>
      <c r="AL483" s="96"/>
      <c r="AM483" s="96"/>
      <c r="AN483" s="96"/>
      <c r="AO483" s="96"/>
      <c r="AP483" s="96"/>
      <c r="AQ483" s="96"/>
      <c r="AR483" s="96"/>
    </row>
    <row r="484" spans="1:44" s="272" customFormat="1" ht="12" customHeight="1">
      <c r="A484" s="96"/>
      <c r="P484" s="146"/>
      <c r="R484" s="295" t="s">
        <v>119</v>
      </c>
      <c r="S484" s="295" t="s">
        <v>114</v>
      </c>
      <c r="T484" s="296" t="s">
        <v>97</v>
      </c>
      <c r="X484" s="96"/>
      <c r="Y484" s="96"/>
      <c r="Z484" s="1255"/>
      <c r="AA484" s="96"/>
      <c r="AB484" s="96"/>
      <c r="AC484" s="96"/>
      <c r="AD484" s="96"/>
      <c r="AE484" s="96"/>
      <c r="AF484" s="96"/>
      <c r="AG484" s="96"/>
      <c r="AH484" s="96"/>
      <c r="AI484" s="96"/>
      <c r="AJ484" s="96"/>
      <c r="AK484" s="96"/>
      <c r="AL484" s="96"/>
      <c r="AM484" s="96"/>
      <c r="AN484" s="96"/>
      <c r="AO484" s="96"/>
      <c r="AP484" s="96"/>
      <c r="AQ484" s="96"/>
      <c r="AR484" s="96"/>
    </row>
    <row r="485" spans="1:44" s="272" customFormat="1" ht="12" customHeight="1">
      <c r="A485" s="96"/>
      <c r="P485" s="146"/>
      <c r="R485" s="295" t="s">
        <v>120</v>
      </c>
      <c r="S485" s="295" t="s">
        <v>121</v>
      </c>
      <c r="T485" s="296" t="s">
        <v>97</v>
      </c>
      <c r="X485" s="96"/>
      <c r="Y485" s="96"/>
      <c r="Z485" s="1255"/>
      <c r="AA485" s="96"/>
      <c r="AB485" s="96"/>
      <c r="AC485" s="96"/>
      <c r="AD485" s="96"/>
      <c r="AE485" s="96"/>
      <c r="AF485" s="96"/>
      <c r="AG485" s="96"/>
      <c r="AH485" s="96"/>
      <c r="AI485" s="96"/>
      <c r="AJ485" s="96"/>
      <c r="AK485" s="96"/>
      <c r="AL485" s="96"/>
      <c r="AM485" s="96"/>
      <c r="AN485" s="96"/>
      <c r="AO485" s="96"/>
      <c r="AP485" s="96"/>
      <c r="AQ485" s="96"/>
      <c r="AR485" s="96"/>
    </row>
    <row r="486" spans="1:44" s="272" customFormat="1" ht="12" customHeight="1">
      <c r="A486" s="96"/>
      <c r="P486" s="300"/>
      <c r="R486" s="295" t="s">
        <v>122</v>
      </c>
      <c r="S486" s="295" t="s">
        <v>104</v>
      </c>
      <c r="T486" s="296" t="s">
        <v>97</v>
      </c>
      <c r="X486" s="96"/>
      <c r="Y486" s="96"/>
      <c r="Z486" s="1255"/>
      <c r="AA486" s="96"/>
      <c r="AB486" s="96"/>
      <c r="AC486" s="96"/>
      <c r="AD486" s="96"/>
      <c r="AE486" s="96"/>
      <c r="AF486" s="96"/>
      <c r="AG486" s="96"/>
      <c r="AH486" s="96"/>
      <c r="AI486" s="96"/>
      <c r="AJ486" s="96"/>
      <c r="AK486" s="96"/>
      <c r="AL486" s="96"/>
      <c r="AM486" s="96"/>
      <c r="AN486" s="96"/>
      <c r="AO486" s="96"/>
      <c r="AP486" s="96"/>
      <c r="AQ486" s="96"/>
      <c r="AR486" s="96"/>
    </row>
    <row r="487" spans="1:44" s="272" customFormat="1" ht="12" customHeight="1">
      <c r="A487" s="96"/>
      <c r="P487" s="146"/>
      <c r="R487" s="295" t="s">
        <v>123</v>
      </c>
      <c r="S487" s="295" t="s">
        <v>124</v>
      </c>
      <c r="T487" s="296" t="s">
        <v>97</v>
      </c>
      <c r="X487" s="96"/>
      <c r="Y487" s="96"/>
      <c r="Z487" s="1255"/>
      <c r="AA487" s="96"/>
      <c r="AB487" s="96"/>
      <c r="AC487" s="96"/>
      <c r="AD487" s="96"/>
      <c r="AE487" s="96"/>
      <c r="AF487" s="96"/>
      <c r="AG487" s="96"/>
      <c r="AH487" s="96"/>
      <c r="AI487" s="96"/>
      <c r="AJ487" s="96"/>
      <c r="AK487" s="96"/>
      <c r="AL487" s="96"/>
      <c r="AM487" s="96"/>
      <c r="AN487" s="96"/>
      <c r="AO487" s="96"/>
      <c r="AP487" s="96"/>
      <c r="AQ487" s="96"/>
      <c r="AR487" s="96"/>
    </row>
    <row r="488" spans="1:44" s="272" customFormat="1" ht="12" customHeight="1">
      <c r="A488" s="96"/>
      <c r="P488" s="300"/>
      <c r="R488" s="295" t="s">
        <v>125</v>
      </c>
      <c r="S488" s="295" t="s">
        <v>126</v>
      </c>
      <c r="T488" s="296" t="s">
        <v>97</v>
      </c>
      <c r="X488" s="96"/>
      <c r="Y488" s="96"/>
      <c r="Z488" s="1255"/>
      <c r="AA488" s="96"/>
      <c r="AB488" s="96"/>
      <c r="AC488" s="96"/>
      <c r="AD488" s="96"/>
      <c r="AE488" s="96"/>
      <c r="AF488" s="96"/>
      <c r="AG488" s="96"/>
      <c r="AH488" s="96"/>
      <c r="AI488" s="96"/>
      <c r="AJ488" s="96"/>
      <c r="AK488" s="96"/>
      <c r="AL488" s="96"/>
      <c r="AM488" s="96"/>
      <c r="AN488" s="96"/>
      <c r="AO488" s="96"/>
      <c r="AP488" s="96"/>
      <c r="AQ488" s="96"/>
      <c r="AR488" s="96"/>
    </row>
    <row r="489" spans="1:44" s="272" customFormat="1" ht="12" customHeight="1">
      <c r="A489" s="96"/>
      <c r="P489" s="146"/>
      <c r="R489" s="295" t="s">
        <v>127</v>
      </c>
      <c r="S489" s="295" t="s">
        <v>96</v>
      </c>
      <c r="T489" s="296" t="s">
        <v>97</v>
      </c>
      <c r="X489" s="96"/>
      <c r="Y489" s="96"/>
      <c r="Z489" s="1255"/>
      <c r="AA489" s="96"/>
      <c r="AB489" s="96"/>
      <c r="AC489" s="96"/>
      <c r="AD489" s="96"/>
      <c r="AE489" s="96"/>
      <c r="AF489" s="96"/>
      <c r="AG489" s="96"/>
      <c r="AH489" s="96"/>
      <c r="AI489" s="96"/>
      <c r="AJ489" s="96"/>
      <c r="AK489" s="96"/>
      <c r="AL489" s="96"/>
      <c r="AM489" s="96"/>
      <c r="AN489" s="96"/>
      <c r="AO489" s="96"/>
      <c r="AP489" s="96"/>
      <c r="AQ489" s="96"/>
      <c r="AR489" s="96"/>
    </row>
    <row r="490" spans="1:44" s="272" customFormat="1" ht="12" customHeight="1">
      <c r="A490" s="96"/>
      <c r="P490" s="146"/>
      <c r="R490" s="295" t="s">
        <v>128</v>
      </c>
      <c r="S490" s="295" t="s">
        <v>129</v>
      </c>
      <c r="T490" s="296" t="s">
        <v>97</v>
      </c>
      <c r="X490" s="96"/>
      <c r="Y490" s="96"/>
      <c r="Z490" s="1255"/>
      <c r="AA490" s="96"/>
      <c r="AB490" s="96"/>
      <c r="AC490" s="96"/>
      <c r="AD490" s="96"/>
      <c r="AE490" s="96"/>
      <c r="AF490" s="96"/>
      <c r="AG490" s="96"/>
      <c r="AH490" s="96"/>
      <c r="AI490" s="96"/>
      <c r="AJ490" s="96"/>
      <c r="AK490" s="96"/>
      <c r="AL490" s="96"/>
      <c r="AM490" s="96"/>
      <c r="AN490" s="96"/>
      <c r="AO490" s="96"/>
      <c r="AP490" s="96"/>
      <c r="AQ490" s="96"/>
      <c r="AR490" s="96"/>
    </row>
    <row r="491" spans="1:44" s="272" customFormat="1" ht="12" customHeight="1">
      <c r="A491" s="96"/>
      <c r="P491" s="300"/>
      <c r="R491" s="295" t="s">
        <v>130</v>
      </c>
      <c r="S491" s="295" t="s">
        <v>131</v>
      </c>
      <c r="T491" s="296" t="s">
        <v>97</v>
      </c>
      <c r="X491" s="96"/>
      <c r="Y491" s="96"/>
      <c r="Z491" s="1255"/>
      <c r="AA491" s="96"/>
      <c r="AB491" s="96"/>
      <c r="AC491" s="96"/>
      <c r="AD491" s="96"/>
      <c r="AE491" s="96"/>
      <c r="AF491" s="96"/>
      <c r="AG491" s="96"/>
      <c r="AH491" s="96"/>
      <c r="AI491" s="96"/>
      <c r="AJ491" s="96"/>
      <c r="AK491" s="96"/>
      <c r="AL491" s="96"/>
      <c r="AM491" s="96"/>
      <c r="AN491" s="96"/>
      <c r="AO491" s="96"/>
      <c r="AP491" s="96"/>
      <c r="AQ491" s="96"/>
      <c r="AR491" s="96"/>
    </row>
    <row r="492" spans="1:44" s="272" customFormat="1" ht="12" customHeight="1">
      <c r="A492" s="96"/>
      <c r="P492" s="146"/>
      <c r="R492" s="295" t="s">
        <v>132</v>
      </c>
      <c r="S492" s="295" t="s">
        <v>133</v>
      </c>
      <c r="T492" s="296" t="s">
        <v>97</v>
      </c>
      <c r="X492" s="96"/>
      <c r="Y492" s="96"/>
      <c r="Z492" s="1255"/>
      <c r="AA492" s="96"/>
      <c r="AB492" s="96"/>
      <c r="AC492" s="96"/>
      <c r="AD492" s="96"/>
      <c r="AE492" s="96"/>
      <c r="AF492" s="96"/>
      <c r="AG492" s="96"/>
      <c r="AH492" s="96"/>
      <c r="AI492" s="96"/>
      <c r="AJ492" s="96"/>
      <c r="AK492" s="96"/>
      <c r="AL492" s="96"/>
      <c r="AM492" s="96"/>
      <c r="AN492" s="96"/>
      <c r="AO492" s="96"/>
      <c r="AP492" s="96"/>
      <c r="AQ492" s="96"/>
      <c r="AR492" s="96"/>
    </row>
    <row r="493" spans="1:44" s="272" customFormat="1" ht="12" customHeight="1">
      <c r="A493" s="96"/>
      <c r="P493" s="146"/>
      <c r="Q493" s="295"/>
      <c r="R493" s="295" t="s">
        <v>134</v>
      </c>
      <c r="S493" s="295" t="s">
        <v>135</v>
      </c>
      <c r="T493" s="296" t="s">
        <v>97</v>
      </c>
      <c r="X493" s="96"/>
      <c r="Y493" s="96"/>
      <c r="Z493" s="1255"/>
      <c r="AA493" s="96"/>
      <c r="AB493" s="96"/>
      <c r="AC493" s="96"/>
      <c r="AD493" s="96"/>
      <c r="AE493" s="96"/>
      <c r="AF493" s="96"/>
      <c r="AG493" s="96"/>
      <c r="AH493" s="96"/>
      <c r="AI493" s="96"/>
      <c r="AJ493" s="96"/>
      <c r="AK493" s="96"/>
      <c r="AL493" s="96"/>
      <c r="AM493" s="96"/>
      <c r="AN493" s="96"/>
      <c r="AO493" s="96"/>
      <c r="AP493" s="96"/>
      <c r="AQ493" s="96"/>
      <c r="AR493" s="96"/>
    </row>
    <row r="494" spans="1:44" s="272" customFormat="1" ht="12" customHeight="1">
      <c r="A494" s="96"/>
      <c r="P494" s="146"/>
      <c r="R494" s="295" t="s">
        <v>136</v>
      </c>
      <c r="S494" s="295" t="s">
        <v>101</v>
      </c>
      <c r="T494" s="296" t="s">
        <v>97</v>
      </c>
      <c r="X494" s="96"/>
      <c r="Y494" s="96"/>
      <c r="Z494" s="1255"/>
      <c r="AA494" s="96"/>
      <c r="AB494" s="96"/>
      <c r="AC494" s="96"/>
      <c r="AD494" s="96"/>
      <c r="AE494" s="96"/>
      <c r="AF494" s="96"/>
      <c r="AG494" s="96"/>
      <c r="AH494" s="96"/>
      <c r="AI494" s="96"/>
      <c r="AJ494" s="96"/>
      <c r="AK494" s="96"/>
      <c r="AL494" s="96"/>
      <c r="AM494" s="96"/>
      <c r="AN494" s="96"/>
      <c r="AO494" s="96"/>
      <c r="AP494" s="96"/>
      <c r="AQ494" s="96"/>
      <c r="AR494" s="96"/>
    </row>
    <row r="495" spans="1:44" s="272" customFormat="1" ht="12" customHeight="1">
      <c r="A495" s="96"/>
      <c r="P495" s="300"/>
      <c r="R495" s="295" t="s">
        <v>137</v>
      </c>
      <c r="S495" s="295" t="s">
        <v>138</v>
      </c>
      <c r="T495" s="296" t="s">
        <v>97</v>
      </c>
      <c r="X495" s="96"/>
      <c r="Y495" s="96"/>
      <c r="Z495" s="1255"/>
      <c r="AA495" s="96"/>
      <c r="AB495" s="96"/>
      <c r="AC495" s="96"/>
      <c r="AD495" s="96"/>
      <c r="AE495" s="96"/>
      <c r="AF495" s="96"/>
      <c r="AG495" s="96"/>
      <c r="AH495" s="96"/>
      <c r="AI495" s="96"/>
      <c r="AJ495" s="96"/>
      <c r="AK495" s="96"/>
      <c r="AL495" s="96"/>
      <c r="AM495" s="96"/>
      <c r="AN495" s="96"/>
      <c r="AO495" s="96"/>
      <c r="AP495" s="96"/>
      <c r="AQ495" s="96"/>
      <c r="AR495" s="96"/>
    </row>
    <row r="496" spans="1:44" s="272" customFormat="1" ht="12" customHeight="1">
      <c r="A496" s="96"/>
      <c r="P496" s="300"/>
      <c r="R496" s="295" t="s">
        <v>139</v>
      </c>
      <c r="S496" s="295" t="s">
        <v>140</v>
      </c>
      <c r="T496" s="296" t="s">
        <v>97</v>
      </c>
      <c r="X496" s="96"/>
      <c r="Y496" s="96"/>
      <c r="Z496" s="1255"/>
      <c r="AA496" s="96"/>
      <c r="AB496" s="96"/>
      <c r="AC496" s="96"/>
      <c r="AD496" s="96"/>
      <c r="AE496" s="96"/>
      <c r="AF496" s="96"/>
      <c r="AG496" s="96"/>
      <c r="AH496" s="96"/>
      <c r="AI496" s="96"/>
      <c r="AJ496" s="96"/>
      <c r="AK496" s="96"/>
      <c r="AL496" s="96"/>
      <c r="AM496" s="96"/>
      <c r="AN496" s="96"/>
      <c r="AO496" s="96"/>
      <c r="AP496" s="96"/>
      <c r="AQ496" s="96"/>
      <c r="AR496" s="96"/>
    </row>
    <row r="497" spans="1:44" s="272" customFormat="1" ht="12" customHeight="1">
      <c r="A497" s="96"/>
      <c r="P497" s="146"/>
      <c r="R497" s="295" t="s">
        <v>141</v>
      </c>
      <c r="S497" s="295" t="s">
        <v>135</v>
      </c>
      <c r="T497" s="296" t="s">
        <v>97</v>
      </c>
      <c r="X497" s="96"/>
      <c r="Y497" s="96"/>
      <c r="Z497" s="1255"/>
      <c r="AA497" s="96"/>
      <c r="AB497" s="96"/>
      <c r="AC497" s="96"/>
      <c r="AD497" s="96"/>
      <c r="AE497" s="96"/>
      <c r="AF497" s="96"/>
      <c r="AG497" s="96"/>
      <c r="AH497" s="96"/>
      <c r="AI497" s="96"/>
      <c r="AJ497" s="96"/>
      <c r="AK497" s="96"/>
      <c r="AL497" s="96"/>
      <c r="AM497" s="96"/>
      <c r="AN497" s="96"/>
      <c r="AO497" s="96"/>
      <c r="AP497" s="96"/>
      <c r="AQ497" s="96"/>
      <c r="AR497" s="96"/>
    </row>
    <row r="498" spans="1:44" s="272" customFormat="1" ht="12" customHeight="1">
      <c r="A498" s="96"/>
      <c r="P498" s="146"/>
      <c r="R498" s="295" t="s">
        <v>142</v>
      </c>
      <c r="S498" s="295" t="s">
        <v>143</v>
      </c>
      <c r="T498" s="296" t="s">
        <v>97</v>
      </c>
      <c r="X498" s="96"/>
      <c r="Y498" s="96"/>
      <c r="Z498" s="1255"/>
      <c r="AA498" s="96"/>
      <c r="AB498" s="96"/>
      <c r="AC498" s="96"/>
      <c r="AD498" s="96"/>
      <c r="AE498" s="96"/>
      <c r="AF498" s="96"/>
      <c r="AG498" s="96"/>
      <c r="AH498" s="96"/>
      <c r="AI498" s="96"/>
      <c r="AJ498" s="96"/>
      <c r="AK498" s="96"/>
      <c r="AL498" s="96"/>
      <c r="AM498" s="96"/>
      <c r="AN498" s="96"/>
      <c r="AO498" s="96"/>
      <c r="AP498" s="96"/>
      <c r="AQ498" s="96"/>
      <c r="AR498" s="96"/>
    </row>
    <row r="499" spans="1:44" s="272" customFormat="1" ht="12" customHeight="1">
      <c r="A499" s="96"/>
      <c r="P499" s="146"/>
      <c r="R499" s="295" t="s">
        <v>144</v>
      </c>
      <c r="S499" s="295" t="s">
        <v>131</v>
      </c>
      <c r="T499" s="296" t="s">
        <v>97</v>
      </c>
      <c r="X499" s="96"/>
      <c r="Y499" s="96"/>
      <c r="Z499" s="1255"/>
      <c r="AA499" s="96"/>
      <c r="AB499" s="96"/>
      <c r="AC499" s="96"/>
      <c r="AD499" s="96"/>
      <c r="AE499" s="96"/>
      <c r="AF499" s="96"/>
      <c r="AG499" s="96"/>
      <c r="AH499" s="96"/>
      <c r="AI499" s="96"/>
      <c r="AJ499" s="96"/>
      <c r="AK499" s="96"/>
      <c r="AL499" s="96"/>
      <c r="AM499" s="96"/>
      <c r="AN499" s="96"/>
      <c r="AO499" s="96"/>
      <c r="AP499" s="96"/>
      <c r="AQ499" s="96"/>
      <c r="AR499" s="96"/>
    </row>
    <row r="500" spans="1:44" s="272" customFormat="1" ht="12" customHeight="1">
      <c r="A500" s="96"/>
      <c r="P500" s="146"/>
      <c r="R500" s="273" t="s">
        <v>145</v>
      </c>
      <c r="S500" s="273" t="s">
        <v>146</v>
      </c>
      <c r="T500" s="296" t="s">
        <v>97</v>
      </c>
      <c r="X500" s="96"/>
      <c r="Y500" s="96"/>
      <c r="Z500" s="1255"/>
      <c r="AA500" s="96"/>
      <c r="AB500" s="96"/>
      <c r="AC500" s="96"/>
      <c r="AD500" s="96"/>
      <c r="AE500" s="96"/>
      <c r="AF500" s="96"/>
      <c r="AG500" s="96"/>
      <c r="AH500" s="96"/>
      <c r="AI500" s="96"/>
      <c r="AJ500" s="96"/>
      <c r="AK500" s="96"/>
      <c r="AL500" s="96"/>
      <c r="AM500" s="96"/>
      <c r="AN500" s="96"/>
      <c r="AO500" s="96"/>
      <c r="AP500" s="96"/>
      <c r="AQ500" s="96"/>
      <c r="AR500" s="96"/>
    </row>
    <row r="501" spans="1:44" s="272" customFormat="1" ht="12" customHeight="1">
      <c r="A501" s="96"/>
      <c r="P501" s="146"/>
      <c r="R501" s="295" t="s">
        <v>147</v>
      </c>
      <c r="S501" s="295" t="s">
        <v>121</v>
      </c>
      <c r="T501" s="296" t="s">
        <v>97</v>
      </c>
      <c r="X501" s="96"/>
      <c r="Y501" s="96"/>
      <c r="Z501" s="1255"/>
      <c r="AA501" s="96"/>
      <c r="AB501" s="96"/>
      <c r="AC501" s="96"/>
      <c r="AD501" s="96"/>
      <c r="AE501" s="96"/>
      <c r="AF501" s="96"/>
      <c r="AG501" s="96"/>
      <c r="AH501" s="96"/>
      <c r="AI501" s="96"/>
      <c r="AJ501" s="96"/>
      <c r="AK501" s="96"/>
      <c r="AL501" s="96"/>
      <c r="AM501" s="96"/>
      <c r="AN501" s="96"/>
      <c r="AO501" s="96"/>
      <c r="AP501" s="96"/>
      <c r="AQ501" s="96"/>
      <c r="AR501" s="96"/>
    </row>
    <row r="502" spans="1:44" s="272" customFormat="1" ht="12" customHeight="1">
      <c r="A502" s="96"/>
      <c r="P502" s="146"/>
      <c r="R502" s="295" t="s">
        <v>148</v>
      </c>
      <c r="S502" s="295" t="s">
        <v>118</v>
      </c>
      <c r="T502" s="296" t="s">
        <v>97</v>
      </c>
      <c r="X502" s="96"/>
      <c r="Y502" s="96"/>
      <c r="Z502" s="1255"/>
      <c r="AA502" s="96"/>
      <c r="AB502" s="96"/>
      <c r="AC502" s="96"/>
      <c r="AD502" s="96"/>
      <c r="AE502" s="96"/>
      <c r="AF502" s="96"/>
      <c r="AG502" s="96"/>
      <c r="AH502" s="96"/>
      <c r="AI502" s="96"/>
      <c r="AJ502" s="96"/>
      <c r="AK502" s="96"/>
      <c r="AL502" s="96"/>
      <c r="AM502" s="96"/>
      <c r="AN502" s="96"/>
      <c r="AO502" s="96"/>
      <c r="AP502" s="96"/>
      <c r="AQ502" s="96"/>
      <c r="AR502" s="96"/>
    </row>
    <row r="503" spans="1:44" s="272" customFormat="1" ht="12" customHeight="1">
      <c r="A503" s="96"/>
      <c r="P503" s="146"/>
      <c r="R503" s="295" t="s">
        <v>149</v>
      </c>
      <c r="S503" s="295"/>
      <c r="T503" s="296" t="s">
        <v>97</v>
      </c>
      <c r="X503" s="96"/>
      <c r="Y503" s="96"/>
      <c r="Z503" s="1255"/>
      <c r="AA503" s="96"/>
      <c r="AB503" s="96"/>
      <c r="AC503" s="96"/>
      <c r="AD503" s="96"/>
      <c r="AE503" s="96"/>
      <c r="AF503" s="96"/>
      <c r="AG503" s="96"/>
      <c r="AH503" s="96"/>
      <c r="AI503" s="96"/>
      <c r="AJ503" s="96"/>
      <c r="AK503" s="96"/>
      <c r="AL503" s="96"/>
      <c r="AM503" s="96"/>
      <c r="AN503" s="96"/>
      <c r="AO503" s="96"/>
      <c r="AP503" s="96"/>
      <c r="AQ503" s="96"/>
      <c r="AR503" s="96"/>
    </row>
    <row r="504" spans="1:44" s="272" customFormat="1" ht="12" customHeight="1">
      <c r="A504" s="96"/>
      <c r="P504" s="146"/>
      <c r="R504" s="295" t="s">
        <v>150</v>
      </c>
      <c r="S504" s="295" t="s">
        <v>138</v>
      </c>
      <c r="T504" s="296" t="s">
        <v>97</v>
      </c>
      <c r="X504" s="96"/>
      <c r="Y504" s="96"/>
      <c r="Z504" s="1255"/>
      <c r="AA504" s="96"/>
      <c r="AB504" s="96"/>
      <c r="AC504" s="96"/>
      <c r="AD504" s="96"/>
      <c r="AE504" s="96"/>
      <c r="AF504" s="96"/>
      <c r="AG504" s="96"/>
      <c r="AH504" s="96"/>
      <c r="AI504" s="96"/>
      <c r="AJ504" s="96"/>
      <c r="AK504" s="96"/>
      <c r="AL504" s="96"/>
      <c r="AM504" s="96"/>
      <c r="AN504" s="96"/>
      <c r="AO504" s="96"/>
      <c r="AP504" s="96"/>
      <c r="AQ504" s="96"/>
      <c r="AR504" s="96"/>
    </row>
    <row r="505" spans="1:44" s="272" customFormat="1" ht="12" customHeight="1">
      <c r="A505" s="96"/>
      <c r="P505" s="146"/>
      <c r="R505" s="295" t="s">
        <v>151</v>
      </c>
      <c r="S505" s="295" t="s">
        <v>152</v>
      </c>
      <c r="T505" s="296" t="s">
        <v>97</v>
      </c>
      <c r="X505" s="96"/>
      <c r="Y505" s="96"/>
      <c r="Z505" s="1255"/>
      <c r="AA505" s="96"/>
      <c r="AB505" s="96"/>
      <c r="AC505" s="96"/>
      <c r="AD505" s="96"/>
      <c r="AE505" s="96"/>
      <c r="AF505" s="96"/>
      <c r="AG505" s="96"/>
      <c r="AH505" s="96"/>
      <c r="AI505" s="96"/>
      <c r="AJ505" s="96"/>
      <c r="AK505" s="96"/>
      <c r="AL505" s="96"/>
      <c r="AM505" s="96"/>
      <c r="AN505" s="96"/>
      <c r="AO505" s="96"/>
      <c r="AP505" s="96"/>
      <c r="AQ505" s="96"/>
      <c r="AR505" s="96"/>
    </row>
    <row r="506" spans="1:44" s="272" customFormat="1" ht="12" customHeight="1">
      <c r="A506" s="96"/>
      <c r="P506" s="146"/>
      <c r="R506" s="295" t="s">
        <v>153</v>
      </c>
      <c r="S506" s="295" t="s">
        <v>154</v>
      </c>
      <c r="T506" s="296" t="s">
        <v>97</v>
      </c>
      <c r="X506" s="96"/>
      <c r="Y506" s="96"/>
      <c r="Z506" s="1255"/>
      <c r="AA506" s="96"/>
      <c r="AB506" s="96"/>
      <c r="AC506" s="96"/>
      <c r="AD506" s="96"/>
      <c r="AE506" s="96"/>
      <c r="AF506" s="96"/>
      <c r="AG506" s="96"/>
      <c r="AH506" s="96"/>
      <c r="AI506" s="96"/>
      <c r="AJ506" s="96"/>
      <c r="AK506" s="96"/>
      <c r="AL506" s="96"/>
      <c r="AM506" s="96"/>
      <c r="AN506" s="96"/>
      <c r="AO506" s="96"/>
      <c r="AP506" s="96"/>
      <c r="AQ506" s="96"/>
      <c r="AR506" s="96"/>
    </row>
    <row r="507" spans="1:44" s="272" customFormat="1" ht="12" customHeight="1">
      <c r="A507" s="96"/>
      <c r="P507" s="146"/>
      <c r="R507" s="295" t="s">
        <v>155</v>
      </c>
      <c r="S507" s="295" t="s">
        <v>96</v>
      </c>
      <c r="T507" s="296" t="s">
        <v>97</v>
      </c>
      <c r="X507" s="96"/>
      <c r="Y507" s="96"/>
      <c r="Z507" s="1255"/>
      <c r="AA507" s="96"/>
      <c r="AB507" s="96"/>
      <c r="AC507" s="96"/>
      <c r="AD507" s="96"/>
      <c r="AE507" s="96"/>
      <c r="AF507" s="96"/>
      <c r="AG507" s="96"/>
      <c r="AH507" s="96"/>
      <c r="AI507" s="96"/>
      <c r="AJ507" s="96"/>
      <c r="AK507" s="96"/>
      <c r="AL507" s="96"/>
      <c r="AM507" s="96"/>
      <c r="AN507" s="96"/>
      <c r="AO507" s="96"/>
      <c r="AP507" s="96"/>
      <c r="AQ507" s="96"/>
      <c r="AR507" s="96"/>
    </row>
    <row r="508" spans="1:44" s="272" customFormat="1" ht="12" customHeight="1">
      <c r="A508" s="96"/>
      <c r="P508" s="146"/>
      <c r="R508" s="295" t="s">
        <v>156</v>
      </c>
      <c r="S508" s="295" t="s">
        <v>96</v>
      </c>
      <c r="T508" s="296" t="s">
        <v>97</v>
      </c>
      <c r="X508" s="96"/>
      <c r="Y508" s="96"/>
      <c r="Z508" s="1255"/>
      <c r="AA508" s="96"/>
      <c r="AB508" s="96"/>
      <c r="AC508" s="96"/>
      <c r="AD508" s="96"/>
      <c r="AE508" s="96"/>
      <c r="AF508" s="96"/>
      <c r="AG508" s="96"/>
      <c r="AH508" s="96"/>
      <c r="AI508" s="96"/>
      <c r="AJ508" s="96"/>
      <c r="AK508" s="96"/>
      <c r="AL508" s="96"/>
      <c r="AM508" s="96"/>
      <c r="AN508" s="96"/>
      <c r="AO508" s="96"/>
      <c r="AP508" s="96"/>
      <c r="AQ508" s="96"/>
      <c r="AR508" s="96"/>
    </row>
    <row r="509" spans="1:44" s="272" customFormat="1" ht="12" customHeight="1">
      <c r="A509" s="96"/>
      <c r="P509" s="146"/>
      <c r="R509" s="295" t="s">
        <v>157</v>
      </c>
      <c r="S509" s="295" t="s">
        <v>96</v>
      </c>
      <c r="T509" s="296" t="s">
        <v>97</v>
      </c>
      <c r="X509" s="96"/>
      <c r="Y509" s="96"/>
      <c r="Z509" s="1255"/>
      <c r="AA509" s="96"/>
      <c r="AB509" s="96"/>
      <c r="AC509" s="96"/>
      <c r="AD509" s="96"/>
      <c r="AE509" s="96"/>
      <c r="AF509" s="96"/>
      <c r="AG509" s="96"/>
      <c r="AH509" s="96"/>
      <c r="AI509" s="96"/>
      <c r="AJ509" s="96"/>
      <c r="AK509" s="96"/>
      <c r="AL509" s="96"/>
      <c r="AM509" s="96"/>
      <c r="AN509" s="96"/>
      <c r="AO509" s="96"/>
      <c r="AP509" s="96"/>
      <c r="AQ509" s="96"/>
      <c r="AR509" s="96"/>
    </row>
    <row r="510" spans="1:44" s="272" customFormat="1" ht="12" customHeight="1">
      <c r="A510" s="96"/>
      <c r="P510" s="146"/>
      <c r="R510" s="295" t="s">
        <v>158</v>
      </c>
      <c r="S510" s="295" t="s">
        <v>96</v>
      </c>
      <c r="T510" s="296" t="s">
        <v>97</v>
      </c>
      <c r="X510" s="96"/>
      <c r="Y510" s="96"/>
      <c r="Z510" s="1255"/>
      <c r="AA510" s="96"/>
      <c r="AB510" s="96"/>
      <c r="AC510" s="96"/>
      <c r="AD510" s="96"/>
      <c r="AE510" s="96"/>
      <c r="AF510" s="96"/>
      <c r="AG510" s="96"/>
      <c r="AH510" s="96"/>
      <c r="AI510" s="96"/>
      <c r="AJ510" s="96"/>
      <c r="AK510" s="96"/>
      <c r="AL510" s="96"/>
      <c r="AM510" s="96"/>
      <c r="AN510" s="96"/>
      <c r="AO510" s="96"/>
      <c r="AP510" s="96"/>
      <c r="AQ510" s="96"/>
      <c r="AR510" s="96"/>
    </row>
    <row r="511" spans="1:44" s="272" customFormat="1" ht="12" customHeight="1">
      <c r="A511" s="96"/>
      <c r="P511" s="146"/>
      <c r="R511" s="295" t="s">
        <v>159</v>
      </c>
      <c r="S511" s="295" t="s">
        <v>160</v>
      </c>
      <c r="T511" s="296" t="s">
        <v>97</v>
      </c>
      <c r="X511" s="96"/>
      <c r="Y511" s="96"/>
      <c r="Z511" s="1255"/>
      <c r="AA511" s="96"/>
      <c r="AB511" s="96"/>
      <c r="AC511" s="96"/>
      <c r="AD511" s="96"/>
      <c r="AE511" s="96"/>
      <c r="AF511" s="96"/>
      <c r="AG511" s="96"/>
      <c r="AH511" s="96"/>
      <c r="AI511" s="96"/>
      <c r="AJ511" s="96"/>
      <c r="AK511" s="96"/>
      <c r="AL511" s="96"/>
      <c r="AM511" s="96"/>
      <c r="AN511" s="96"/>
      <c r="AO511" s="96"/>
      <c r="AP511" s="96"/>
      <c r="AQ511" s="96"/>
      <c r="AR511" s="96"/>
    </row>
    <row r="512" spans="1:44" s="272" customFormat="1" ht="12" customHeight="1">
      <c r="A512" s="96"/>
      <c r="P512" s="146"/>
      <c r="R512" s="295" t="s">
        <v>161</v>
      </c>
      <c r="S512" s="295" t="s">
        <v>162</v>
      </c>
      <c r="T512" s="296" t="s">
        <v>97</v>
      </c>
      <c r="X512" s="96"/>
      <c r="Y512" s="96"/>
      <c r="Z512" s="1255"/>
      <c r="AA512" s="96"/>
      <c r="AB512" s="96"/>
      <c r="AC512" s="96"/>
      <c r="AD512" s="96"/>
      <c r="AE512" s="96"/>
      <c r="AF512" s="96"/>
      <c r="AG512" s="96"/>
      <c r="AH512" s="96"/>
      <c r="AI512" s="96"/>
      <c r="AJ512" s="96"/>
      <c r="AK512" s="96"/>
      <c r="AL512" s="96"/>
      <c r="AM512" s="96"/>
      <c r="AN512" s="96"/>
      <c r="AO512" s="96"/>
      <c r="AP512" s="96"/>
      <c r="AQ512" s="96"/>
      <c r="AR512" s="96"/>
    </row>
    <row r="513" spans="1:44" s="272" customFormat="1" ht="12" customHeight="1">
      <c r="A513" s="96"/>
      <c r="P513" s="146"/>
      <c r="R513" s="295" t="s">
        <v>163</v>
      </c>
      <c r="S513" s="295" t="s">
        <v>164</v>
      </c>
      <c r="T513" s="296" t="s">
        <v>97</v>
      </c>
      <c r="X513" s="96"/>
      <c r="Y513" s="96"/>
      <c r="Z513" s="1255"/>
      <c r="AA513" s="96"/>
      <c r="AB513" s="96"/>
      <c r="AC513" s="96"/>
      <c r="AD513" s="96"/>
      <c r="AE513" s="96"/>
      <c r="AF513" s="96"/>
      <c r="AG513" s="96"/>
      <c r="AH513" s="96"/>
      <c r="AI513" s="96"/>
      <c r="AJ513" s="96"/>
      <c r="AK513" s="96"/>
      <c r="AL513" s="96"/>
      <c r="AM513" s="96"/>
      <c r="AN513" s="96"/>
      <c r="AO513" s="96"/>
      <c r="AP513" s="96"/>
      <c r="AQ513" s="96"/>
      <c r="AR513" s="96"/>
    </row>
    <row r="514" spans="1:44" s="272" customFormat="1" ht="12" customHeight="1">
      <c r="A514" s="96"/>
      <c r="P514" s="300"/>
      <c r="R514" s="295" t="s">
        <v>165</v>
      </c>
      <c r="S514" s="295" t="s">
        <v>96</v>
      </c>
      <c r="T514" s="296" t="s">
        <v>97</v>
      </c>
      <c r="X514" s="96"/>
      <c r="Y514" s="96"/>
      <c r="Z514" s="1255"/>
      <c r="AA514" s="96"/>
      <c r="AB514" s="96"/>
      <c r="AC514" s="96"/>
      <c r="AD514" s="96"/>
      <c r="AE514" s="96"/>
      <c r="AF514" s="96"/>
      <c r="AG514" s="96"/>
      <c r="AH514" s="96"/>
      <c r="AI514" s="96"/>
      <c r="AJ514" s="96"/>
      <c r="AK514" s="96"/>
      <c r="AL514" s="96"/>
      <c r="AM514" s="96"/>
      <c r="AN514" s="96"/>
      <c r="AO514" s="96"/>
      <c r="AP514" s="96"/>
      <c r="AQ514" s="96"/>
      <c r="AR514" s="96"/>
    </row>
    <row r="515" spans="1:44" s="272" customFormat="1" ht="12" customHeight="1">
      <c r="A515" s="96"/>
      <c r="P515" s="146"/>
      <c r="R515" s="295" t="s">
        <v>166</v>
      </c>
      <c r="S515" s="295" t="s">
        <v>167</v>
      </c>
      <c r="T515" s="296" t="s">
        <v>97</v>
      </c>
      <c r="X515" s="96"/>
      <c r="Y515" s="96"/>
      <c r="Z515" s="1255"/>
      <c r="AA515" s="96"/>
      <c r="AB515" s="96"/>
      <c r="AC515" s="96"/>
      <c r="AD515" s="96"/>
      <c r="AE515" s="96"/>
      <c r="AF515" s="96"/>
      <c r="AG515" s="96"/>
      <c r="AH515" s="96"/>
      <c r="AI515" s="96"/>
      <c r="AJ515" s="96"/>
      <c r="AK515" s="96"/>
      <c r="AL515" s="96"/>
      <c r="AM515" s="96"/>
      <c r="AN515" s="96"/>
      <c r="AO515" s="96"/>
      <c r="AP515" s="96"/>
      <c r="AQ515" s="96"/>
      <c r="AR515" s="96"/>
    </row>
    <row r="516" spans="1:44" s="272" customFormat="1" ht="12" customHeight="1">
      <c r="A516" s="96"/>
      <c r="P516" s="146"/>
      <c r="R516" s="295" t="s">
        <v>168</v>
      </c>
      <c r="S516" s="295" t="s">
        <v>169</v>
      </c>
      <c r="T516" s="296" t="s">
        <v>97</v>
      </c>
      <c r="X516" s="96"/>
      <c r="Y516" s="96"/>
      <c r="Z516" s="1255"/>
      <c r="AA516" s="96"/>
      <c r="AB516" s="96"/>
      <c r="AC516" s="96"/>
      <c r="AD516" s="96"/>
      <c r="AE516" s="96"/>
      <c r="AF516" s="96"/>
      <c r="AG516" s="96"/>
      <c r="AH516" s="96"/>
      <c r="AI516" s="96"/>
      <c r="AJ516" s="96"/>
      <c r="AK516" s="96"/>
      <c r="AL516" s="96"/>
      <c r="AM516" s="96"/>
      <c r="AN516" s="96"/>
      <c r="AO516" s="96"/>
      <c r="AP516" s="96"/>
      <c r="AQ516" s="96"/>
      <c r="AR516" s="96"/>
    </row>
    <row r="517" spans="1:44" s="272" customFormat="1" ht="12" customHeight="1">
      <c r="A517" s="96"/>
      <c r="P517" s="146"/>
      <c r="R517" s="295" t="s">
        <v>170</v>
      </c>
      <c r="S517" s="295" t="s">
        <v>171</v>
      </c>
      <c r="T517" s="296" t="s">
        <v>97</v>
      </c>
      <c r="X517" s="96"/>
      <c r="Y517" s="96"/>
      <c r="Z517" s="1255"/>
      <c r="AA517" s="96"/>
      <c r="AB517" s="96"/>
      <c r="AC517" s="96"/>
      <c r="AD517" s="96"/>
      <c r="AE517" s="96"/>
      <c r="AF517" s="96"/>
      <c r="AG517" s="96"/>
      <c r="AH517" s="96"/>
      <c r="AI517" s="96"/>
      <c r="AJ517" s="96"/>
      <c r="AK517" s="96"/>
      <c r="AL517" s="96"/>
      <c r="AM517" s="96"/>
      <c r="AN517" s="96"/>
      <c r="AO517" s="96"/>
      <c r="AP517" s="96"/>
      <c r="AQ517" s="96"/>
      <c r="AR517" s="96"/>
    </row>
    <row r="518" spans="1:44" s="272" customFormat="1" ht="12" customHeight="1">
      <c r="A518" s="96"/>
      <c r="P518" s="146"/>
      <c r="R518" s="295" t="s">
        <v>172</v>
      </c>
      <c r="S518" s="295" t="s">
        <v>111</v>
      </c>
      <c r="T518" s="296" t="s">
        <v>97</v>
      </c>
      <c r="X518" s="96"/>
      <c r="Y518" s="96"/>
      <c r="Z518" s="1255"/>
      <c r="AA518" s="96"/>
      <c r="AB518" s="96"/>
      <c r="AC518" s="96"/>
      <c r="AD518" s="96"/>
      <c r="AE518" s="96"/>
      <c r="AF518" s="96"/>
      <c r="AG518" s="96"/>
      <c r="AH518" s="96"/>
      <c r="AI518" s="96"/>
      <c r="AJ518" s="96"/>
      <c r="AK518" s="96"/>
      <c r="AL518" s="96"/>
      <c r="AM518" s="96"/>
      <c r="AN518" s="96"/>
      <c r="AO518" s="96"/>
      <c r="AP518" s="96"/>
      <c r="AQ518" s="96"/>
      <c r="AR518" s="96"/>
    </row>
    <row r="519" spans="1:44" s="272" customFormat="1" ht="12" customHeight="1">
      <c r="A519" s="96"/>
      <c r="P519" s="146"/>
      <c r="R519" s="295" t="s">
        <v>173</v>
      </c>
      <c r="S519" s="295" t="s">
        <v>135</v>
      </c>
      <c r="T519" s="296" t="s">
        <v>97</v>
      </c>
      <c r="X519" s="96"/>
      <c r="Y519" s="96"/>
      <c r="Z519" s="1255"/>
      <c r="AA519" s="96"/>
      <c r="AB519" s="96"/>
      <c r="AC519" s="96"/>
      <c r="AD519" s="96"/>
      <c r="AE519" s="96"/>
      <c r="AF519" s="96"/>
      <c r="AG519" s="96"/>
      <c r="AH519" s="96"/>
      <c r="AI519" s="96"/>
      <c r="AJ519" s="96"/>
      <c r="AK519" s="96"/>
      <c r="AL519" s="96"/>
      <c r="AM519" s="96"/>
      <c r="AN519" s="96"/>
      <c r="AO519" s="96"/>
      <c r="AP519" s="96"/>
      <c r="AQ519" s="96"/>
      <c r="AR519" s="96"/>
    </row>
    <row r="520" spans="1:44" s="272" customFormat="1" ht="12" customHeight="1">
      <c r="A520" s="96"/>
      <c r="P520" s="146"/>
      <c r="R520" s="295" t="s">
        <v>174</v>
      </c>
      <c r="S520" s="295" t="s">
        <v>96</v>
      </c>
      <c r="T520" s="296" t="s">
        <v>97</v>
      </c>
      <c r="X520" s="96"/>
      <c r="Y520" s="96"/>
      <c r="Z520" s="1255"/>
      <c r="AA520" s="96"/>
      <c r="AB520" s="96"/>
      <c r="AC520" s="96"/>
      <c r="AD520" s="96"/>
      <c r="AE520" s="96"/>
      <c r="AF520" s="96"/>
      <c r="AG520" s="96"/>
      <c r="AH520" s="96"/>
      <c r="AI520" s="96"/>
      <c r="AJ520" s="96"/>
      <c r="AK520" s="96"/>
      <c r="AL520" s="96"/>
      <c r="AM520" s="96"/>
      <c r="AN520" s="96"/>
      <c r="AO520" s="96"/>
      <c r="AP520" s="96"/>
      <c r="AQ520" s="96"/>
      <c r="AR520" s="96"/>
    </row>
    <row r="521" spans="1:44" s="272" customFormat="1" ht="12" customHeight="1">
      <c r="A521" s="96"/>
      <c r="P521" s="146"/>
      <c r="R521" s="295" t="s">
        <v>175</v>
      </c>
      <c r="S521" s="295" t="s">
        <v>176</v>
      </c>
      <c r="T521" s="296" t="s">
        <v>97</v>
      </c>
      <c r="X521" s="96"/>
      <c r="Y521" s="96"/>
      <c r="Z521" s="1255"/>
      <c r="AA521" s="96"/>
      <c r="AB521" s="96"/>
      <c r="AC521" s="96"/>
      <c r="AD521" s="96"/>
      <c r="AE521" s="96"/>
      <c r="AF521" s="96"/>
      <c r="AG521" s="96"/>
      <c r="AH521" s="96"/>
      <c r="AI521" s="96"/>
      <c r="AJ521" s="96"/>
      <c r="AK521" s="96"/>
      <c r="AL521" s="96"/>
      <c r="AM521" s="96"/>
      <c r="AN521" s="96"/>
      <c r="AO521" s="96"/>
      <c r="AP521" s="96"/>
      <c r="AQ521" s="96"/>
      <c r="AR521" s="96"/>
    </row>
    <row r="522" spans="1:44" s="272" customFormat="1" ht="12" customHeight="1">
      <c r="A522" s="96"/>
      <c r="P522" s="146"/>
      <c r="R522" s="295" t="s">
        <v>177</v>
      </c>
      <c r="S522" s="295" t="s">
        <v>138</v>
      </c>
      <c r="T522" s="296" t="s">
        <v>97</v>
      </c>
      <c r="X522" s="96"/>
      <c r="Y522" s="96"/>
      <c r="Z522" s="1255"/>
      <c r="AA522" s="96"/>
      <c r="AB522" s="96"/>
      <c r="AC522" s="96"/>
      <c r="AD522" s="96"/>
      <c r="AE522" s="96"/>
      <c r="AF522" s="96"/>
      <c r="AG522" s="96"/>
      <c r="AH522" s="96"/>
      <c r="AI522" s="96"/>
      <c r="AJ522" s="96"/>
      <c r="AK522" s="96"/>
      <c r="AL522" s="96"/>
      <c r="AM522" s="96"/>
      <c r="AN522" s="96"/>
      <c r="AO522" s="96"/>
      <c r="AP522" s="96"/>
      <c r="AQ522" s="96"/>
      <c r="AR522" s="96"/>
    </row>
    <row r="523" spans="1:44" s="272" customFormat="1" ht="12" customHeight="1">
      <c r="A523" s="96"/>
      <c r="P523" s="300"/>
      <c r="R523" s="295" t="s">
        <v>178</v>
      </c>
      <c r="S523" s="295" t="s">
        <v>129</v>
      </c>
      <c r="T523" s="296" t="s">
        <v>97</v>
      </c>
      <c r="X523" s="96"/>
      <c r="Y523" s="96"/>
      <c r="Z523" s="1255"/>
      <c r="AA523" s="96"/>
      <c r="AB523" s="96"/>
      <c r="AC523" s="96"/>
      <c r="AD523" s="96"/>
      <c r="AE523" s="96"/>
      <c r="AF523" s="96"/>
      <c r="AG523" s="96"/>
      <c r="AH523" s="96"/>
      <c r="AI523" s="96"/>
      <c r="AJ523" s="96"/>
      <c r="AK523" s="96"/>
      <c r="AL523" s="96"/>
      <c r="AM523" s="96"/>
      <c r="AN523" s="96"/>
      <c r="AO523" s="96"/>
      <c r="AP523" s="96"/>
      <c r="AQ523" s="96"/>
      <c r="AR523" s="96"/>
    </row>
    <row r="524" spans="1:44" s="272" customFormat="1" ht="12" customHeight="1">
      <c r="A524" s="96"/>
      <c r="P524" s="300"/>
      <c r="R524" s="295" t="s">
        <v>179</v>
      </c>
      <c r="S524" s="295" t="s">
        <v>131</v>
      </c>
      <c r="T524" s="296" t="s">
        <v>97</v>
      </c>
      <c r="X524" s="96"/>
      <c r="Y524" s="96"/>
      <c r="Z524" s="1255"/>
      <c r="AA524" s="96"/>
      <c r="AB524" s="96"/>
      <c r="AC524" s="96"/>
      <c r="AD524" s="96"/>
      <c r="AE524" s="96"/>
      <c r="AF524" s="96"/>
      <c r="AG524" s="96"/>
      <c r="AH524" s="96"/>
      <c r="AI524" s="96"/>
      <c r="AJ524" s="96"/>
      <c r="AK524" s="96"/>
      <c r="AL524" s="96"/>
      <c r="AM524" s="96"/>
      <c r="AN524" s="96"/>
      <c r="AO524" s="96"/>
      <c r="AP524" s="96"/>
      <c r="AQ524" s="96"/>
      <c r="AR524" s="96"/>
    </row>
    <row r="525" spans="1:44" s="272" customFormat="1" ht="12" customHeight="1">
      <c r="A525" s="96"/>
      <c r="P525" s="146"/>
      <c r="R525" s="295" t="s">
        <v>180</v>
      </c>
      <c r="S525" s="295" t="s">
        <v>96</v>
      </c>
      <c r="T525" s="296" t="s">
        <v>97</v>
      </c>
      <c r="X525" s="96"/>
      <c r="Y525" s="96"/>
      <c r="Z525" s="1255"/>
      <c r="AA525" s="96"/>
      <c r="AB525" s="96"/>
      <c r="AC525" s="96"/>
      <c r="AD525" s="96"/>
      <c r="AE525" s="96"/>
      <c r="AF525" s="96"/>
      <c r="AG525" s="96"/>
      <c r="AH525" s="96"/>
      <c r="AI525" s="96"/>
      <c r="AJ525" s="96"/>
      <c r="AK525" s="96"/>
      <c r="AL525" s="96"/>
      <c r="AM525" s="96"/>
      <c r="AN525" s="96"/>
      <c r="AO525" s="96"/>
      <c r="AP525" s="96"/>
      <c r="AQ525" s="96"/>
      <c r="AR525" s="96"/>
    </row>
    <row r="526" spans="1:44" s="272" customFormat="1" ht="12" customHeight="1">
      <c r="A526" s="96"/>
      <c r="P526" s="146"/>
      <c r="R526" s="295" t="s">
        <v>181</v>
      </c>
      <c r="S526" s="295" t="s">
        <v>160</v>
      </c>
      <c r="T526" s="296" t="s">
        <v>97</v>
      </c>
      <c r="X526" s="96"/>
      <c r="Y526" s="96"/>
      <c r="Z526" s="1255"/>
      <c r="AA526" s="96"/>
      <c r="AB526" s="96"/>
      <c r="AC526" s="96"/>
      <c r="AD526" s="96"/>
      <c r="AE526" s="96"/>
      <c r="AF526" s="96"/>
      <c r="AG526" s="96"/>
      <c r="AH526" s="96"/>
      <c r="AI526" s="96"/>
      <c r="AJ526" s="96"/>
      <c r="AK526" s="96"/>
      <c r="AL526" s="96"/>
      <c r="AM526" s="96"/>
      <c r="AN526" s="96"/>
      <c r="AO526" s="96"/>
      <c r="AP526" s="96"/>
      <c r="AQ526" s="96"/>
      <c r="AR526" s="96"/>
    </row>
    <row r="527" spans="1:44" s="272" customFormat="1" ht="12" customHeight="1">
      <c r="A527" s="96"/>
      <c r="P527" s="300"/>
      <c r="R527" s="295" t="s">
        <v>182</v>
      </c>
      <c r="S527" s="295" t="s">
        <v>121</v>
      </c>
      <c r="T527" s="296" t="s">
        <v>97</v>
      </c>
      <c r="X527" s="96"/>
      <c r="Y527" s="96"/>
      <c r="Z527" s="1255"/>
      <c r="AA527" s="96"/>
      <c r="AB527" s="96"/>
      <c r="AC527" s="96"/>
      <c r="AD527" s="96"/>
      <c r="AE527" s="96"/>
      <c r="AF527" s="96"/>
      <c r="AG527" s="96"/>
      <c r="AH527" s="96"/>
      <c r="AI527" s="96"/>
      <c r="AJ527" s="96"/>
      <c r="AK527" s="96"/>
      <c r="AL527" s="96"/>
      <c r="AM527" s="96"/>
      <c r="AN527" s="96"/>
      <c r="AO527" s="96"/>
      <c r="AP527" s="96"/>
      <c r="AQ527" s="96"/>
      <c r="AR527" s="96"/>
    </row>
    <row r="528" spans="1:44" s="272" customFormat="1" ht="12" customHeight="1">
      <c r="A528" s="96"/>
      <c r="P528" s="146"/>
      <c r="R528" s="295" t="s">
        <v>183</v>
      </c>
      <c r="S528" s="295" t="s">
        <v>138</v>
      </c>
      <c r="T528" s="296" t="s">
        <v>97</v>
      </c>
      <c r="X528" s="96"/>
      <c r="Y528" s="96"/>
      <c r="Z528" s="1255"/>
      <c r="AA528" s="96"/>
      <c r="AB528" s="96"/>
      <c r="AC528" s="96"/>
      <c r="AD528" s="96"/>
      <c r="AE528" s="96"/>
      <c r="AF528" s="96"/>
      <c r="AG528" s="96"/>
      <c r="AH528" s="96"/>
      <c r="AI528" s="96"/>
      <c r="AJ528" s="96"/>
      <c r="AK528" s="96"/>
      <c r="AL528" s="96"/>
      <c r="AM528" s="96"/>
      <c r="AN528" s="96"/>
      <c r="AO528" s="96"/>
      <c r="AP528" s="96"/>
      <c r="AQ528" s="96"/>
      <c r="AR528" s="96"/>
    </row>
    <row r="529" spans="1:44" s="272" customFormat="1" ht="12" customHeight="1">
      <c r="A529" s="96"/>
      <c r="P529" s="146"/>
      <c r="R529" s="295" t="s">
        <v>184</v>
      </c>
      <c r="S529" s="295" t="s">
        <v>138</v>
      </c>
      <c r="T529" s="296" t="s">
        <v>97</v>
      </c>
      <c r="X529" s="96"/>
      <c r="Y529" s="96"/>
      <c r="Z529" s="1255"/>
      <c r="AA529" s="96"/>
      <c r="AB529" s="96"/>
      <c r="AC529" s="96"/>
      <c r="AD529" s="96"/>
      <c r="AE529" s="96"/>
      <c r="AF529" s="96"/>
      <c r="AG529" s="96"/>
      <c r="AH529" s="96"/>
      <c r="AI529" s="96"/>
      <c r="AJ529" s="96"/>
      <c r="AK529" s="96"/>
      <c r="AL529" s="96"/>
      <c r="AM529" s="96"/>
      <c r="AN529" s="96"/>
      <c r="AO529" s="96"/>
      <c r="AP529" s="96"/>
      <c r="AQ529" s="96"/>
      <c r="AR529" s="96"/>
    </row>
    <row r="530" spans="1:44" s="272" customFormat="1" ht="12" customHeight="1">
      <c r="A530" s="96"/>
      <c r="P530" s="146"/>
      <c r="X530" s="96"/>
      <c r="Y530" s="96"/>
      <c r="Z530" s="1255"/>
      <c r="AA530" s="96"/>
      <c r="AB530" s="96"/>
      <c r="AC530" s="96"/>
      <c r="AD530" s="96"/>
      <c r="AE530" s="96"/>
      <c r="AF530" s="96"/>
      <c r="AG530" s="96"/>
      <c r="AH530" s="96"/>
      <c r="AI530" s="96"/>
      <c r="AJ530" s="96"/>
      <c r="AK530" s="96"/>
      <c r="AL530" s="96"/>
      <c r="AM530" s="96"/>
      <c r="AN530" s="96"/>
      <c r="AO530" s="96"/>
      <c r="AP530" s="96"/>
      <c r="AQ530" s="96"/>
      <c r="AR530" s="96"/>
    </row>
    <row r="531" spans="1:44" s="272" customFormat="1" ht="12" customHeight="1">
      <c r="A531" s="96"/>
      <c r="P531" s="146"/>
      <c r="X531" s="96"/>
      <c r="Y531" s="96"/>
      <c r="Z531" s="1255"/>
      <c r="AA531" s="96"/>
      <c r="AB531" s="96"/>
      <c r="AC531" s="96"/>
      <c r="AD531" s="96"/>
      <c r="AE531" s="96"/>
      <c r="AF531" s="96"/>
      <c r="AG531" s="96"/>
      <c r="AH531" s="96"/>
      <c r="AI531" s="96"/>
      <c r="AJ531" s="96"/>
      <c r="AK531" s="96"/>
      <c r="AL531" s="96"/>
      <c r="AM531" s="96"/>
      <c r="AN531" s="96"/>
      <c r="AO531" s="96"/>
      <c r="AP531" s="96"/>
      <c r="AQ531" s="96"/>
      <c r="AR531" s="96"/>
    </row>
    <row r="532" spans="1:44" s="272" customFormat="1" ht="12" customHeight="1">
      <c r="A532" s="96"/>
      <c r="P532" s="146"/>
      <c r="X532" s="96"/>
      <c r="Y532" s="96"/>
      <c r="Z532" s="1255"/>
      <c r="AA532" s="96"/>
      <c r="AB532" s="96"/>
      <c r="AC532" s="96"/>
      <c r="AD532" s="96"/>
      <c r="AE532" s="96"/>
      <c r="AF532" s="96"/>
      <c r="AG532" s="96"/>
      <c r="AH532" s="96"/>
      <c r="AI532" s="96"/>
      <c r="AJ532" s="96"/>
      <c r="AK532" s="96"/>
      <c r="AL532" s="96"/>
      <c r="AM532" s="96"/>
      <c r="AN532" s="96"/>
      <c r="AO532" s="96"/>
      <c r="AP532" s="96"/>
      <c r="AQ532" s="96"/>
      <c r="AR532" s="96"/>
    </row>
    <row r="533" spans="1:44" s="272" customFormat="1" ht="12" customHeight="1">
      <c r="A533" s="96"/>
      <c r="P533" s="146"/>
      <c r="X533" s="96"/>
      <c r="Y533" s="96"/>
      <c r="Z533" s="1255"/>
      <c r="AA533" s="96"/>
      <c r="AB533" s="96"/>
      <c r="AC533" s="96"/>
      <c r="AD533" s="96"/>
      <c r="AE533" s="96"/>
      <c r="AF533" s="96"/>
      <c r="AG533" s="96"/>
      <c r="AH533" s="96"/>
      <c r="AI533" s="96"/>
      <c r="AJ533" s="96"/>
      <c r="AK533" s="96"/>
      <c r="AL533" s="96"/>
      <c r="AM533" s="96"/>
      <c r="AN533" s="96"/>
      <c r="AO533" s="96"/>
      <c r="AP533" s="96"/>
      <c r="AQ533" s="96"/>
      <c r="AR533" s="96"/>
    </row>
    <row r="534" spans="1:44" s="272" customFormat="1" ht="12" customHeight="1">
      <c r="A534" s="96"/>
      <c r="P534" s="146"/>
      <c r="X534" s="96"/>
      <c r="Y534" s="96"/>
      <c r="Z534" s="1255"/>
      <c r="AA534" s="96"/>
      <c r="AB534" s="96"/>
      <c r="AC534" s="96"/>
      <c r="AD534" s="96"/>
      <c r="AE534" s="96"/>
      <c r="AF534" s="96"/>
      <c r="AG534" s="96"/>
      <c r="AH534" s="96"/>
      <c r="AI534" s="96"/>
      <c r="AJ534" s="96"/>
      <c r="AK534" s="96"/>
      <c r="AL534" s="96"/>
      <c r="AM534" s="96"/>
      <c r="AN534" s="96"/>
      <c r="AO534" s="96"/>
      <c r="AP534" s="96"/>
      <c r="AQ534" s="96"/>
      <c r="AR534" s="96"/>
    </row>
    <row r="535" spans="1:44" s="272" customFormat="1" ht="12" customHeight="1">
      <c r="A535" s="96"/>
      <c r="P535" s="300"/>
      <c r="X535" s="96"/>
      <c r="Y535" s="96"/>
      <c r="Z535" s="1255"/>
      <c r="AA535" s="96"/>
      <c r="AB535" s="96"/>
      <c r="AC535" s="96"/>
      <c r="AD535" s="96"/>
      <c r="AE535" s="96"/>
      <c r="AF535" s="96"/>
      <c r="AG535" s="96"/>
      <c r="AH535" s="96"/>
      <c r="AI535" s="96"/>
      <c r="AJ535" s="96"/>
      <c r="AK535" s="96"/>
      <c r="AL535" s="96"/>
      <c r="AM535" s="96"/>
      <c r="AN535" s="96"/>
      <c r="AO535" s="96"/>
      <c r="AP535" s="96"/>
      <c r="AQ535" s="96"/>
      <c r="AR535" s="96"/>
    </row>
    <row r="536" spans="1:44" s="272" customFormat="1" ht="12" customHeight="1">
      <c r="A536" s="96"/>
      <c r="P536" s="146"/>
      <c r="X536" s="96"/>
      <c r="Y536" s="96"/>
      <c r="Z536" s="1255"/>
      <c r="AA536" s="96"/>
      <c r="AB536" s="96"/>
      <c r="AC536" s="96"/>
      <c r="AD536" s="96"/>
      <c r="AE536" s="96"/>
      <c r="AF536" s="96"/>
      <c r="AG536" s="96"/>
      <c r="AH536" s="96"/>
      <c r="AI536" s="96"/>
      <c r="AJ536" s="96"/>
      <c r="AK536" s="96"/>
      <c r="AL536" s="96"/>
      <c r="AM536" s="96"/>
      <c r="AN536" s="96"/>
      <c r="AO536" s="96"/>
      <c r="AP536" s="96"/>
      <c r="AQ536" s="96"/>
      <c r="AR536" s="96"/>
    </row>
    <row r="537" spans="1:44" s="272" customFormat="1" ht="12" customHeight="1">
      <c r="A537" s="96"/>
      <c r="P537" s="146"/>
      <c r="X537" s="96"/>
      <c r="Y537" s="96"/>
      <c r="Z537" s="1255"/>
      <c r="AA537" s="96"/>
      <c r="AB537" s="96"/>
      <c r="AC537" s="96"/>
      <c r="AD537" s="96"/>
      <c r="AE537" s="96"/>
      <c r="AF537" s="96"/>
      <c r="AG537" s="96"/>
      <c r="AH537" s="96"/>
      <c r="AI537" s="96"/>
      <c r="AJ537" s="96"/>
      <c r="AK537" s="96"/>
      <c r="AL537" s="96"/>
      <c r="AM537" s="96"/>
      <c r="AN537" s="96"/>
      <c r="AO537" s="96"/>
      <c r="AP537" s="96"/>
      <c r="AQ537" s="96"/>
      <c r="AR537" s="96"/>
    </row>
    <row r="538" spans="1:44" s="272" customFormat="1" ht="12" customHeight="1">
      <c r="A538" s="96"/>
      <c r="P538" s="146"/>
      <c r="X538" s="96"/>
      <c r="Y538" s="96"/>
      <c r="Z538" s="1255"/>
      <c r="AA538" s="96"/>
      <c r="AB538" s="96"/>
      <c r="AC538" s="96"/>
      <c r="AD538" s="96"/>
      <c r="AE538" s="96"/>
      <c r="AF538" s="96"/>
      <c r="AG538" s="96"/>
      <c r="AH538" s="96"/>
      <c r="AI538" s="96"/>
      <c r="AJ538" s="96"/>
      <c r="AK538" s="96"/>
      <c r="AL538" s="96"/>
      <c r="AM538" s="96"/>
      <c r="AN538" s="96"/>
      <c r="AO538" s="96"/>
      <c r="AP538" s="96"/>
      <c r="AQ538" s="96"/>
      <c r="AR538" s="96"/>
    </row>
    <row r="539" spans="1:44" s="272" customFormat="1" ht="12" customHeight="1">
      <c r="A539" s="96"/>
      <c r="P539" s="146"/>
      <c r="X539" s="96"/>
      <c r="Y539" s="96"/>
      <c r="Z539" s="1255"/>
      <c r="AA539" s="96"/>
      <c r="AB539" s="96"/>
      <c r="AC539" s="96"/>
      <c r="AD539" s="96"/>
      <c r="AE539" s="96"/>
      <c r="AF539" s="96"/>
      <c r="AG539" s="96"/>
      <c r="AH539" s="96"/>
      <c r="AI539" s="96"/>
      <c r="AJ539" s="96"/>
      <c r="AK539" s="96"/>
      <c r="AL539" s="96"/>
      <c r="AM539" s="96"/>
      <c r="AN539" s="96"/>
      <c r="AO539" s="96"/>
      <c r="AP539" s="96"/>
      <c r="AQ539" s="96"/>
      <c r="AR539" s="96"/>
    </row>
    <row r="540" spans="1:44" s="272" customFormat="1" ht="12" customHeight="1">
      <c r="A540" s="96"/>
      <c r="P540" s="300"/>
      <c r="X540" s="96"/>
      <c r="Y540" s="96"/>
      <c r="Z540" s="1255"/>
      <c r="AA540" s="96"/>
      <c r="AB540" s="96"/>
      <c r="AC540" s="96"/>
      <c r="AD540" s="96"/>
      <c r="AE540" s="96"/>
      <c r="AF540" s="96"/>
      <c r="AG540" s="96"/>
      <c r="AH540" s="96"/>
      <c r="AI540" s="96"/>
      <c r="AJ540" s="96"/>
      <c r="AK540" s="96"/>
      <c r="AL540" s="96"/>
      <c r="AM540" s="96"/>
      <c r="AN540" s="96"/>
      <c r="AO540" s="96"/>
      <c r="AP540" s="96"/>
      <c r="AQ540" s="96"/>
      <c r="AR540" s="96"/>
    </row>
    <row r="541" spans="1:44" s="272" customFormat="1" ht="12" customHeight="1">
      <c r="A541" s="96"/>
      <c r="P541" s="146"/>
      <c r="X541" s="96"/>
      <c r="Y541" s="96"/>
      <c r="Z541" s="1255"/>
      <c r="AA541" s="96"/>
      <c r="AB541" s="96"/>
      <c r="AC541" s="96"/>
      <c r="AD541" s="96"/>
      <c r="AE541" s="96"/>
      <c r="AF541" s="96"/>
      <c r="AG541" s="96"/>
      <c r="AH541" s="96"/>
      <c r="AI541" s="96"/>
      <c r="AJ541" s="96"/>
      <c r="AK541" s="96"/>
      <c r="AL541" s="96"/>
      <c r="AM541" s="96"/>
      <c r="AN541" s="96"/>
      <c r="AO541" s="96"/>
      <c r="AP541" s="96"/>
      <c r="AQ541" s="96"/>
      <c r="AR541" s="96"/>
    </row>
    <row r="542" spans="1:44" s="272" customFormat="1" ht="12" customHeight="1">
      <c r="A542" s="96"/>
      <c r="P542" s="146"/>
      <c r="X542" s="96"/>
      <c r="Y542" s="96"/>
      <c r="Z542" s="1255"/>
      <c r="AA542" s="96"/>
      <c r="AB542" s="96"/>
      <c r="AC542" s="96"/>
      <c r="AD542" s="96"/>
      <c r="AE542" s="96"/>
      <c r="AF542" s="96"/>
      <c r="AG542" s="96"/>
      <c r="AH542" s="96"/>
      <c r="AI542" s="96"/>
      <c r="AJ542" s="96"/>
      <c r="AK542" s="96"/>
      <c r="AL542" s="96"/>
      <c r="AM542" s="96"/>
      <c r="AN542" s="96"/>
      <c r="AO542" s="96"/>
      <c r="AP542" s="96"/>
      <c r="AQ542" s="96"/>
      <c r="AR542" s="96"/>
    </row>
    <row r="543" spans="1:44" s="272" customFormat="1" ht="12" customHeight="1">
      <c r="A543" s="96"/>
      <c r="P543" s="146"/>
      <c r="X543" s="96"/>
      <c r="Y543" s="96"/>
      <c r="Z543" s="1255"/>
      <c r="AA543" s="96"/>
      <c r="AB543" s="96"/>
      <c r="AC543" s="96"/>
      <c r="AD543" s="96"/>
      <c r="AE543" s="96"/>
      <c r="AF543" s="96"/>
      <c r="AG543" s="96"/>
      <c r="AH543" s="96"/>
      <c r="AI543" s="96"/>
      <c r="AJ543" s="96"/>
      <c r="AK543" s="96"/>
      <c r="AL543" s="96"/>
      <c r="AM543" s="96"/>
      <c r="AN543" s="96"/>
      <c r="AO543" s="96"/>
      <c r="AP543" s="96"/>
      <c r="AQ543" s="96"/>
      <c r="AR543" s="96"/>
    </row>
    <row r="544" spans="1:44" s="272" customFormat="1" ht="12" customHeight="1">
      <c r="A544" s="96"/>
      <c r="P544" s="146"/>
      <c r="X544" s="96"/>
      <c r="Y544" s="96"/>
      <c r="Z544" s="1255"/>
      <c r="AA544" s="96"/>
      <c r="AB544" s="96"/>
      <c r="AC544" s="96"/>
      <c r="AD544" s="96"/>
      <c r="AE544" s="96"/>
      <c r="AF544" s="96"/>
      <c r="AG544" s="96"/>
      <c r="AH544" s="96"/>
      <c r="AI544" s="96"/>
      <c r="AJ544" s="96"/>
      <c r="AK544" s="96"/>
      <c r="AL544" s="96"/>
      <c r="AM544" s="96"/>
      <c r="AN544" s="96"/>
      <c r="AO544" s="96"/>
      <c r="AP544" s="96"/>
      <c r="AQ544" s="96"/>
      <c r="AR544" s="96"/>
    </row>
    <row r="545" spans="1:44" s="272" customFormat="1" ht="12" customHeight="1">
      <c r="A545" s="96"/>
      <c r="P545" s="146"/>
      <c r="X545" s="96"/>
      <c r="Y545" s="96"/>
      <c r="Z545" s="1255"/>
      <c r="AA545" s="96"/>
      <c r="AB545" s="96"/>
      <c r="AC545" s="96"/>
      <c r="AD545" s="96"/>
      <c r="AE545" s="96"/>
      <c r="AF545" s="96"/>
      <c r="AG545" s="96"/>
      <c r="AH545" s="96"/>
      <c r="AI545" s="96"/>
      <c r="AJ545" s="96"/>
      <c r="AK545" s="96"/>
      <c r="AL545" s="96"/>
      <c r="AM545" s="96"/>
      <c r="AN545" s="96"/>
      <c r="AO545" s="96"/>
      <c r="AP545" s="96"/>
      <c r="AQ545" s="96"/>
      <c r="AR545" s="96"/>
    </row>
    <row r="546" spans="1:44" s="272" customFormat="1" ht="12" customHeight="1">
      <c r="A546" s="96"/>
      <c r="P546" s="300"/>
      <c r="X546" s="96"/>
      <c r="Y546" s="96"/>
      <c r="Z546" s="1255"/>
      <c r="AA546" s="96"/>
      <c r="AB546" s="96"/>
      <c r="AC546" s="96"/>
      <c r="AD546" s="96"/>
      <c r="AE546" s="96"/>
      <c r="AF546" s="96"/>
      <c r="AG546" s="96"/>
      <c r="AH546" s="96"/>
      <c r="AI546" s="96"/>
      <c r="AJ546" s="96"/>
      <c r="AK546" s="96"/>
      <c r="AL546" s="96"/>
      <c r="AM546" s="96"/>
      <c r="AN546" s="96"/>
      <c r="AO546" s="96"/>
      <c r="AP546" s="96"/>
      <c r="AQ546" s="96"/>
      <c r="AR546" s="96"/>
    </row>
    <row r="547" spans="1:44" s="272" customFormat="1" ht="12" customHeight="1">
      <c r="A547" s="96"/>
      <c r="P547" s="146"/>
      <c r="X547" s="96"/>
      <c r="Y547" s="96"/>
      <c r="Z547" s="1255"/>
      <c r="AA547" s="96"/>
      <c r="AB547" s="96"/>
      <c r="AC547" s="96"/>
      <c r="AD547" s="96"/>
      <c r="AE547" s="96"/>
      <c r="AF547" s="96"/>
      <c r="AG547" s="96"/>
      <c r="AH547" s="96"/>
      <c r="AI547" s="96"/>
      <c r="AJ547" s="96"/>
      <c r="AK547" s="96"/>
      <c r="AL547" s="96"/>
      <c r="AM547" s="96"/>
      <c r="AN547" s="96"/>
      <c r="AO547" s="96"/>
      <c r="AP547" s="96"/>
      <c r="AQ547" s="96"/>
      <c r="AR547" s="96"/>
    </row>
    <row r="548" spans="1:44" s="272" customFormat="1" ht="12" customHeight="1">
      <c r="A548" s="96"/>
      <c r="P548" s="146"/>
      <c r="X548" s="96"/>
      <c r="Y548" s="96"/>
      <c r="Z548" s="1255"/>
      <c r="AA548" s="96"/>
      <c r="AB548" s="96"/>
      <c r="AC548" s="96"/>
      <c r="AD548" s="96"/>
      <c r="AE548" s="96"/>
      <c r="AF548" s="96"/>
      <c r="AG548" s="96"/>
      <c r="AH548" s="96"/>
      <c r="AI548" s="96"/>
      <c r="AJ548" s="96"/>
      <c r="AK548" s="96"/>
      <c r="AL548" s="96"/>
      <c r="AM548" s="96"/>
      <c r="AN548" s="96"/>
      <c r="AO548" s="96"/>
      <c r="AP548" s="96"/>
      <c r="AQ548" s="96"/>
      <c r="AR548" s="96"/>
    </row>
    <row r="549" spans="1:44" s="272" customFormat="1" ht="12" customHeight="1">
      <c r="A549" s="96"/>
      <c r="P549" s="146"/>
      <c r="X549" s="96"/>
      <c r="Y549" s="96"/>
      <c r="Z549" s="1255"/>
      <c r="AA549" s="96"/>
      <c r="AB549" s="96"/>
      <c r="AC549" s="96"/>
      <c r="AD549" s="96"/>
      <c r="AE549" s="96"/>
      <c r="AF549" s="96"/>
      <c r="AG549" s="96"/>
      <c r="AH549" s="96"/>
      <c r="AI549" s="96"/>
      <c r="AJ549" s="96"/>
      <c r="AK549" s="96"/>
      <c r="AL549" s="96"/>
      <c r="AM549" s="96"/>
      <c r="AN549" s="96"/>
      <c r="AO549" s="96"/>
      <c r="AP549" s="96"/>
      <c r="AQ549" s="96"/>
      <c r="AR549" s="96"/>
    </row>
    <row r="550" spans="1:44" s="272" customFormat="1" ht="12" customHeight="1">
      <c r="A550" s="96"/>
      <c r="P550" s="146"/>
      <c r="X550" s="96"/>
      <c r="Y550" s="96"/>
      <c r="Z550" s="1255"/>
      <c r="AA550" s="96"/>
      <c r="AB550" s="96"/>
      <c r="AC550" s="96"/>
      <c r="AD550" s="96"/>
      <c r="AE550" s="96"/>
      <c r="AF550" s="96"/>
      <c r="AG550" s="96"/>
      <c r="AH550" s="96"/>
      <c r="AI550" s="96"/>
      <c r="AJ550" s="96"/>
      <c r="AK550" s="96"/>
      <c r="AL550" s="96"/>
      <c r="AM550" s="96"/>
      <c r="AN550" s="96"/>
      <c r="AO550" s="96"/>
      <c r="AP550" s="96"/>
      <c r="AQ550" s="96"/>
      <c r="AR550" s="96"/>
    </row>
    <row r="551" spans="1:44" s="272" customFormat="1" ht="12" customHeight="1">
      <c r="A551" s="96"/>
      <c r="P551" s="146"/>
      <c r="X551" s="96"/>
      <c r="Y551" s="96"/>
      <c r="Z551" s="1255"/>
      <c r="AA551" s="96"/>
      <c r="AB551" s="96"/>
      <c r="AC551" s="96"/>
      <c r="AD551" s="96"/>
      <c r="AE551" s="96"/>
      <c r="AF551" s="96"/>
      <c r="AG551" s="96"/>
      <c r="AH551" s="96"/>
      <c r="AI551" s="96"/>
      <c r="AJ551" s="96"/>
      <c r="AK551" s="96"/>
      <c r="AL551" s="96"/>
      <c r="AM551" s="96"/>
      <c r="AN551" s="96"/>
      <c r="AO551" s="96"/>
      <c r="AP551" s="96"/>
      <c r="AQ551" s="96"/>
      <c r="AR551" s="96"/>
    </row>
    <row r="552" spans="1:44" s="272" customFormat="1" ht="12" customHeight="1">
      <c r="A552" s="96"/>
      <c r="P552" s="146"/>
      <c r="X552" s="96"/>
      <c r="Y552" s="96"/>
      <c r="Z552" s="1255"/>
      <c r="AA552" s="96"/>
      <c r="AB552" s="96"/>
      <c r="AC552" s="96"/>
      <c r="AD552" s="96"/>
      <c r="AE552" s="96"/>
      <c r="AF552" s="96"/>
      <c r="AG552" s="96"/>
      <c r="AH552" s="96"/>
      <c r="AI552" s="96"/>
      <c r="AJ552" s="96"/>
      <c r="AK552" s="96"/>
      <c r="AL552" s="96"/>
      <c r="AM552" s="96"/>
      <c r="AN552" s="96"/>
      <c r="AO552" s="96"/>
      <c r="AP552" s="96"/>
      <c r="AQ552" s="96"/>
      <c r="AR552" s="96"/>
    </row>
    <row r="553" spans="1:44" s="272" customFormat="1" ht="12" customHeight="1">
      <c r="A553" s="96"/>
      <c r="P553" s="146"/>
      <c r="X553" s="96"/>
      <c r="Y553" s="96"/>
      <c r="Z553" s="1255"/>
      <c r="AA553" s="96"/>
      <c r="AB553" s="96"/>
      <c r="AC553" s="96"/>
      <c r="AD553" s="96"/>
      <c r="AE553" s="96"/>
      <c r="AF553" s="96"/>
      <c r="AG553" s="96"/>
      <c r="AH553" s="96"/>
      <c r="AI553" s="96"/>
      <c r="AJ553" s="96"/>
      <c r="AK553" s="96"/>
      <c r="AL553" s="96"/>
      <c r="AM553" s="96"/>
      <c r="AN553" s="96"/>
      <c r="AO553" s="96"/>
      <c r="AP553" s="96"/>
      <c r="AQ553" s="96"/>
      <c r="AR553" s="96"/>
    </row>
    <row r="554" spans="1:44" s="272" customFormat="1" ht="12" customHeight="1">
      <c r="A554" s="96"/>
      <c r="P554" s="146"/>
      <c r="X554" s="96"/>
      <c r="Y554" s="96"/>
      <c r="Z554" s="1255"/>
      <c r="AA554" s="96"/>
      <c r="AB554" s="96"/>
      <c r="AC554" s="96"/>
      <c r="AD554" s="96"/>
      <c r="AE554" s="96"/>
      <c r="AF554" s="96"/>
      <c r="AG554" s="96"/>
      <c r="AH554" s="96"/>
      <c r="AI554" s="96"/>
      <c r="AJ554" s="96"/>
      <c r="AK554" s="96"/>
      <c r="AL554" s="96"/>
      <c r="AM554" s="96"/>
      <c r="AN554" s="96"/>
      <c r="AO554" s="96"/>
      <c r="AP554" s="96"/>
      <c r="AQ554" s="96"/>
      <c r="AR554" s="96"/>
    </row>
    <row r="555" spans="1:44" s="272" customFormat="1" ht="12" customHeight="1">
      <c r="A555" s="96"/>
      <c r="P555" s="146"/>
      <c r="X555" s="96"/>
      <c r="Y555" s="96"/>
      <c r="Z555" s="1255"/>
      <c r="AA555" s="96"/>
      <c r="AB555" s="96"/>
      <c r="AC555" s="96"/>
      <c r="AD555" s="96"/>
      <c r="AE555" s="96"/>
      <c r="AF555" s="96"/>
      <c r="AG555" s="96"/>
      <c r="AH555" s="96"/>
      <c r="AI555" s="96"/>
      <c r="AJ555" s="96"/>
      <c r="AK555" s="96"/>
      <c r="AL555" s="96"/>
      <c r="AM555" s="96"/>
      <c r="AN555" s="96"/>
      <c r="AO555" s="96"/>
      <c r="AP555" s="96"/>
      <c r="AQ555" s="96"/>
      <c r="AR555" s="96"/>
    </row>
    <row r="556" spans="1:44" s="272" customFormat="1" ht="12" customHeight="1">
      <c r="A556" s="96"/>
      <c r="P556" s="146"/>
      <c r="X556" s="96"/>
      <c r="Y556" s="96"/>
      <c r="Z556" s="1255"/>
      <c r="AA556" s="96"/>
      <c r="AB556" s="96"/>
      <c r="AC556" s="96"/>
      <c r="AD556" s="96"/>
      <c r="AE556" s="96"/>
      <c r="AF556" s="96"/>
      <c r="AG556" s="96"/>
      <c r="AH556" s="96"/>
      <c r="AI556" s="96"/>
      <c r="AJ556" s="96"/>
      <c r="AK556" s="96"/>
      <c r="AL556" s="96"/>
      <c r="AM556" s="96"/>
      <c r="AN556" s="96"/>
      <c r="AO556" s="96"/>
      <c r="AP556" s="96"/>
      <c r="AQ556" s="96"/>
      <c r="AR556" s="96"/>
    </row>
    <row r="557" spans="1:44" s="272" customFormat="1" ht="12" customHeight="1">
      <c r="A557" s="96"/>
      <c r="P557" s="300"/>
      <c r="X557" s="96"/>
      <c r="Y557" s="96"/>
      <c r="Z557" s="1255"/>
      <c r="AA557" s="96"/>
      <c r="AB557" s="96"/>
      <c r="AC557" s="96"/>
      <c r="AD557" s="96"/>
      <c r="AE557" s="96"/>
      <c r="AF557" s="96"/>
      <c r="AG557" s="96"/>
      <c r="AH557" s="96"/>
      <c r="AI557" s="96"/>
      <c r="AJ557" s="96"/>
      <c r="AK557" s="96"/>
      <c r="AL557" s="96"/>
      <c r="AM557" s="96"/>
      <c r="AN557" s="96"/>
      <c r="AO557" s="96"/>
      <c r="AP557" s="96"/>
      <c r="AQ557" s="96"/>
      <c r="AR557" s="96"/>
    </row>
    <row r="558" spans="1:44" s="272" customFormat="1" ht="12" customHeight="1">
      <c r="A558" s="96"/>
      <c r="P558" s="146"/>
      <c r="X558" s="96"/>
      <c r="Y558" s="96"/>
      <c r="Z558" s="1255"/>
      <c r="AA558" s="96"/>
      <c r="AB558" s="96"/>
      <c r="AC558" s="96"/>
      <c r="AD558" s="96"/>
      <c r="AE558" s="96"/>
      <c r="AF558" s="96"/>
      <c r="AG558" s="96"/>
      <c r="AH558" s="96"/>
      <c r="AI558" s="96"/>
      <c r="AJ558" s="96"/>
      <c r="AK558" s="96"/>
      <c r="AL558" s="96"/>
      <c r="AM558" s="96"/>
      <c r="AN558" s="96"/>
      <c r="AO558" s="96"/>
      <c r="AP558" s="96"/>
      <c r="AQ558" s="96"/>
      <c r="AR558" s="96"/>
    </row>
    <row r="559" spans="1:44" s="272" customFormat="1" ht="12" customHeight="1">
      <c r="A559" s="96"/>
      <c r="P559" s="146"/>
      <c r="X559" s="96"/>
      <c r="Y559" s="96"/>
      <c r="Z559" s="1255"/>
      <c r="AA559" s="96"/>
      <c r="AB559" s="96"/>
      <c r="AC559" s="96"/>
      <c r="AD559" s="96"/>
      <c r="AE559" s="96"/>
      <c r="AF559" s="96"/>
      <c r="AG559" s="96"/>
      <c r="AH559" s="96"/>
      <c r="AI559" s="96"/>
      <c r="AJ559" s="96"/>
      <c r="AK559" s="96"/>
      <c r="AL559" s="96"/>
      <c r="AM559" s="96"/>
      <c r="AN559" s="96"/>
      <c r="AO559" s="96"/>
      <c r="AP559" s="96"/>
      <c r="AQ559" s="96"/>
      <c r="AR559" s="96"/>
    </row>
    <row r="560" spans="1:44" s="272" customFormat="1" ht="12" customHeight="1">
      <c r="A560" s="96"/>
      <c r="P560" s="146"/>
      <c r="X560" s="96"/>
      <c r="Y560" s="96"/>
      <c r="Z560" s="1255"/>
      <c r="AA560" s="96"/>
      <c r="AB560" s="96"/>
      <c r="AC560" s="96"/>
      <c r="AD560" s="96"/>
      <c r="AE560" s="96"/>
      <c r="AF560" s="96"/>
      <c r="AG560" s="96"/>
      <c r="AH560" s="96"/>
      <c r="AI560" s="96"/>
      <c r="AJ560" s="96"/>
      <c r="AK560" s="96"/>
      <c r="AL560" s="96"/>
      <c r="AM560" s="96"/>
      <c r="AN560" s="96"/>
      <c r="AO560" s="96"/>
      <c r="AP560" s="96"/>
      <c r="AQ560" s="96"/>
      <c r="AR560" s="96"/>
    </row>
    <row r="561" spans="1:44" s="272" customFormat="1" ht="12" customHeight="1">
      <c r="A561" s="96"/>
      <c r="P561" s="146"/>
      <c r="X561" s="96"/>
      <c r="Y561" s="96"/>
      <c r="Z561" s="1255"/>
      <c r="AA561" s="96"/>
      <c r="AB561" s="96"/>
      <c r="AC561" s="96"/>
      <c r="AD561" s="96"/>
      <c r="AE561" s="96"/>
      <c r="AF561" s="96"/>
      <c r="AG561" s="96"/>
      <c r="AH561" s="96"/>
      <c r="AI561" s="96"/>
      <c r="AJ561" s="96"/>
      <c r="AK561" s="96"/>
      <c r="AL561" s="96"/>
      <c r="AM561" s="96"/>
      <c r="AN561" s="96"/>
      <c r="AO561" s="96"/>
      <c r="AP561" s="96"/>
      <c r="AQ561" s="96"/>
      <c r="AR561" s="96"/>
    </row>
    <row r="562" spans="1:44" s="272" customFormat="1" ht="12" customHeight="1">
      <c r="A562" s="96"/>
      <c r="P562" s="146"/>
      <c r="X562" s="96"/>
      <c r="Y562" s="96"/>
      <c r="Z562" s="1255"/>
      <c r="AA562" s="96"/>
      <c r="AB562" s="96"/>
      <c r="AC562" s="96"/>
      <c r="AD562" s="96"/>
      <c r="AE562" s="96"/>
      <c r="AF562" s="96"/>
      <c r="AG562" s="96"/>
      <c r="AH562" s="96"/>
      <c r="AI562" s="96"/>
      <c r="AJ562" s="96"/>
      <c r="AK562" s="96"/>
      <c r="AL562" s="96"/>
      <c r="AM562" s="96"/>
      <c r="AN562" s="96"/>
      <c r="AO562" s="96"/>
      <c r="AP562" s="96"/>
      <c r="AQ562" s="96"/>
      <c r="AR562" s="96"/>
    </row>
    <row r="563" spans="1:44" s="272" customFormat="1" ht="12" customHeight="1">
      <c r="A563" s="96"/>
      <c r="P563" s="146"/>
      <c r="X563" s="96"/>
      <c r="Y563" s="96"/>
      <c r="Z563" s="1255"/>
      <c r="AA563" s="96"/>
      <c r="AB563" s="96"/>
      <c r="AC563" s="96"/>
      <c r="AD563" s="96"/>
      <c r="AE563" s="96"/>
      <c r="AF563" s="96"/>
      <c r="AG563" s="96"/>
      <c r="AH563" s="96"/>
      <c r="AI563" s="96"/>
      <c r="AJ563" s="96"/>
      <c r="AK563" s="96"/>
      <c r="AL563" s="96"/>
      <c r="AM563" s="96"/>
      <c r="AN563" s="96"/>
      <c r="AO563" s="96"/>
      <c r="AP563" s="96"/>
      <c r="AQ563" s="96"/>
      <c r="AR563" s="96"/>
    </row>
    <row r="564" spans="1:44" s="272" customFormat="1" ht="12" customHeight="1">
      <c r="A564" s="96"/>
      <c r="P564" s="146"/>
      <c r="X564" s="96"/>
      <c r="Y564" s="96"/>
      <c r="Z564" s="1255"/>
      <c r="AA564" s="96"/>
      <c r="AB564" s="96"/>
      <c r="AC564" s="96"/>
      <c r="AD564" s="96"/>
      <c r="AE564" s="96"/>
      <c r="AF564" s="96"/>
      <c r="AG564" s="96"/>
      <c r="AH564" s="96"/>
      <c r="AI564" s="96"/>
      <c r="AJ564" s="96"/>
      <c r="AK564" s="96"/>
      <c r="AL564" s="96"/>
      <c r="AM564" s="96"/>
      <c r="AN564" s="96"/>
      <c r="AO564" s="96"/>
      <c r="AP564" s="96"/>
      <c r="AQ564" s="96"/>
      <c r="AR564" s="96"/>
    </row>
    <row r="565" spans="1:44" s="272" customFormat="1" ht="12" customHeight="1">
      <c r="A565" s="96"/>
      <c r="P565" s="146"/>
      <c r="X565" s="96"/>
      <c r="Y565" s="96"/>
      <c r="Z565" s="1255"/>
      <c r="AA565" s="96"/>
      <c r="AB565" s="96"/>
      <c r="AC565" s="96"/>
      <c r="AD565" s="96"/>
      <c r="AE565" s="96"/>
      <c r="AF565" s="96"/>
      <c r="AG565" s="96"/>
      <c r="AH565" s="96"/>
      <c r="AI565" s="96"/>
      <c r="AJ565" s="96"/>
      <c r="AK565" s="96"/>
      <c r="AL565" s="96"/>
      <c r="AM565" s="96"/>
      <c r="AN565" s="96"/>
      <c r="AO565" s="96"/>
      <c r="AP565" s="96"/>
      <c r="AQ565" s="96"/>
      <c r="AR565" s="96"/>
    </row>
    <row r="566" spans="1:44" s="272" customFormat="1" ht="12" customHeight="1">
      <c r="A566" s="96"/>
      <c r="P566" s="146"/>
      <c r="X566" s="96"/>
      <c r="Y566" s="96"/>
      <c r="Z566" s="1255"/>
      <c r="AA566" s="96"/>
      <c r="AB566" s="96"/>
      <c r="AC566" s="96"/>
      <c r="AD566" s="96"/>
      <c r="AE566" s="96"/>
      <c r="AF566" s="96"/>
      <c r="AG566" s="96"/>
      <c r="AH566" s="96"/>
      <c r="AI566" s="96"/>
      <c r="AJ566" s="96"/>
      <c r="AK566" s="96"/>
      <c r="AL566" s="96"/>
      <c r="AM566" s="96"/>
      <c r="AN566" s="96"/>
      <c r="AO566" s="96"/>
      <c r="AP566" s="96"/>
      <c r="AQ566" s="96"/>
      <c r="AR566" s="96"/>
    </row>
    <row r="567" spans="1:44" s="272" customFormat="1" ht="12" customHeight="1">
      <c r="A567" s="96"/>
      <c r="P567" s="146"/>
      <c r="X567" s="96"/>
      <c r="Y567" s="96"/>
      <c r="Z567" s="1255"/>
      <c r="AA567" s="96"/>
      <c r="AB567" s="96"/>
      <c r="AC567" s="96"/>
      <c r="AD567" s="96"/>
      <c r="AE567" s="96"/>
      <c r="AF567" s="96"/>
      <c r="AG567" s="96"/>
      <c r="AH567" s="96"/>
      <c r="AI567" s="96"/>
      <c r="AJ567" s="96"/>
      <c r="AK567" s="96"/>
      <c r="AL567" s="96"/>
      <c r="AM567" s="96"/>
      <c r="AN567" s="96"/>
      <c r="AO567" s="96"/>
      <c r="AP567" s="96"/>
      <c r="AQ567" s="96"/>
      <c r="AR567" s="96"/>
    </row>
    <row r="568" spans="1:44" s="272" customFormat="1" ht="12" customHeight="1">
      <c r="A568" s="96"/>
      <c r="P568" s="146"/>
      <c r="X568" s="96"/>
      <c r="Y568" s="96"/>
      <c r="Z568" s="1255"/>
      <c r="AA568" s="96"/>
      <c r="AB568" s="96"/>
      <c r="AC568" s="96"/>
      <c r="AD568" s="96"/>
      <c r="AE568" s="96"/>
      <c r="AF568" s="96"/>
      <c r="AG568" s="96"/>
      <c r="AH568" s="96"/>
      <c r="AI568" s="96"/>
      <c r="AJ568" s="96"/>
      <c r="AK568" s="96"/>
      <c r="AL568" s="96"/>
      <c r="AM568" s="96"/>
      <c r="AN568" s="96"/>
      <c r="AO568" s="96"/>
      <c r="AP568" s="96"/>
      <c r="AQ568" s="96"/>
      <c r="AR568" s="96"/>
    </row>
    <row r="569" spans="1:44" s="272" customFormat="1" ht="12" customHeight="1">
      <c r="A569" s="96"/>
      <c r="P569" s="300"/>
      <c r="X569" s="96"/>
      <c r="Y569" s="96"/>
      <c r="Z569" s="1255"/>
      <c r="AA569" s="96"/>
      <c r="AB569" s="96"/>
      <c r="AC569" s="96"/>
      <c r="AD569" s="96"/>
      <c r="AE569" s="96"/>
      <c r="AF569" s="96"/>
      <c r="AG569" s="96"/>
      <c r="AH569" s="96"/>
      <c r="AI569" s="96"/>
      <c r="AJ569" s="96"/>
      <c r="AK569" s="96"/>
      <c r="AL569" s="96"/>
      <c r="AM569" s="96"/>
      <c r="AN569" s="96"/>
      <c r="AO569" s="96"/>
      <c r="AP569" s="96"/>
      <c r="AQ569" s="96"/>
      <c r="AR569" s="96"/>
    </row>
    <row r="570" spans="1:44" s="272" customFormat="1" ht="12" customHeight="1">
      <c r="A570" s="96"/>
      <c r="P570" s="300"/>
      <c r="X570" s="96"/>
      <c r="Y570" s="96"/>
      <c r="Z570" s="1255"/>
      <c r="AA570" s="96"/>
      <c r="AB570" s="96"/>
      <c r="AC570" s="96"/>
      <c r="AD570" s="96"/>
      <c r="AE570" s="96"/>
      <c r="AF570" s="96"/>
      <c r="AG570" s="96"/>
      <c r="AH570" s="96"/>
      <c r="AI570" s="96"/>
      <c r="AJ570" s="96"/>
      <c r="AK570" s="96"/>
      <c r="AL570" s="96"/>
      <c r="AM570" s="96"/>
      <c r="AN570" s="96"/>
      <c r="AO570" s="96"/>
      <c r="AP570" s="96"/>
      <c r="AQ570" s="96"/>
      <c r="AR570" s="96"/>
    </row>
    <row r="571" spans="1:44" s="272" customFormat="1" ht="12" customHeight="1">
      <c r="A571" s="96"/>
      <c r="P571" s="146"/>
      <c r="X571" s="96"/>
      <c r="Y571" s="96"/>
      <c r="Z571" s="1255"/>
      <c r="AA571" s="96"/>
      <c r="AB571" s="96"/>
      <c r="AC571" s="96"/>
      <c r="AD571" s="96"/>
      <c r="AE571" s="96"/>
      <c r="AF571" s="96"/>
      <c r="AG571" s="96"/>
      <c r="AH571" s="96"/>
      <c r="AI571" s="96"/>
      <c r="AJ571" s="96"/>
      <c r="AK571" s="96"/>
      <c r="AL571" s="96"/>
      <c r="AM571" s="96"/>
      <c r="AN571" s="96"/>
      <c r="AO571" s="96"/>
      <c r="AP571" s="96"/>
      <c r="AQ571" s="96"/>
      <c r="AR571" s="96"/>
    </row>
    <row r="572" spans="1:44" s="272" customFormat="1" ht="12" customHeight="1">
      <c r="A572" s="96"/>
      <c r="P572" s="146"/>
      <c r="X572" s="96"/>
      <c r="Y572" s="96"/>
      <c r="Z572" s="1255"/>
      <c r="AA572" s="96"/>
      <c r="AB572" s="96"/>
      <c r="AC572" s="96"/>
      <c r="AD572" s="96"/>
      <c r="AE572" s="96"/>
      <c r="AF572" s="96"/>
      <c r="AG572" s="96"/>
      <c r="AH572" s="96"/>
      <c r="AI572" s="96"/>
      <c r="AJ572" s="96"/>
      <c r="AK572" s="96"/>
      <c r="AL572" s="96"/>
      <c r="AM572" s="96"/>
      <c r="AN572" s="96"/>
      <c r="AO572" s="96"/>
      <c r="AP572" s="96"/>
      <c r="AQ572" s="96"/>
      <c r="AR572" s="96"/>
    </row>
    <row r="573" spans="1:44" s="272" customFormat="1" ht="12" customHeight="1">
      <c r="A573" s="96"/>
      <c r="P573" s="146"/>
      <c r="X573" s="96"/>
      <c r="Y573" s="96"/>
      <c r="Z573" s="1255"/>
      <c r="AA573" s="96"/>
      <c r="AB573" s="96"/>
      <c r="AC573" s="96"/>
      <c r="AD573" s="96"/>
      <c r="AE573" s="96"/>
      <c r="AF573" s="96"/>
      <c r="AG573" s="96"/>
      <c r="AH573" s="96"/>
      <c r="AI573" s="96"/>
      <c r="AJ573" s="96"/>
      <c r="AK573" s="96"/>
      <c r="AL573" s="96"/>
      <c r="AM573" s="96"/>
      <c r="AN573" s="96"/>
      <c r="AO573" s="96"/>
      <c r="AP573" s="96"/>
      <c r="AQ573" s="96"/>
      <c r="AR573" s="96"/>
    </row>
    <row r="574" spans="1:44" s="272" customFormat="1" ht="12" customHeight="1">
      <c r="A574" s="96"/>
      <c r="P574" s="146"/>
      <c r="X574" s="96"/>
      <c r="Y574" s="96"/>
      <c r="Z574" s="1255"/>
      <c r="AA574" s="96"/>
      <c r="AB574" s="96"/>
      <c r="AC574" s="96"/>
      <c r="AD574" s="96"/>
      <c r="AE574" s="96"/>
      <c r="AF574" s="96"/>
      <c r="AG574" s="96"/>
      <c r="AH574" s="96"/>
      <c r="AI574" s="96"/>
      <c r="AJ574" s="96"/>
      <c r="AK574" s="96"/>
      <c r="AL574" s="96"/>
      <c r="AM574" s="96"/>
      <c r="AN574" s="96"/>
      <c r="AO574" s="96"/>
      <c r="AP574" s="96"/>
      <c r="AQ574" s="96"/>
      <c r="AR574" s="96"/>
    </row>
    <row r="575" spans="1:44" s="272" customFormat="1" ht="12" customHeight="1">
      <c r="A575" s="96"/>
      <c r="P575" s="146"/>
      <c r="X575" s="96"/>
      <c r="Y575" s="96"/>
      <c r="Z575" s="1255"/>
      <c r="AA575" s="96"/>
      <c r="AB575" s="96"/>
      <c r="AC575" s="96"/>
      <c r="AD575" s="96"/>
      <c r="AE575" s="96"/>
      <c r="AF575" s="96"/>
      <c r="AG575" s="96"/>
      <c r="AH575" s="96"/>
      <c r="AI575" s="96"/>
      <c r="AJ575" s="96"/>
      <c r="AK575" s="96"/>
      <c r="AL575" s="96"/>
      <c r="AM575" s="96"/>
      <c r="AN575" s="96"/>
      <c r="AO575" s="96"/>
      <c r="AP575" s="96"/>
      <c r="AQ575" s="96"/>
      <c r="AR575" s="96"/>
    </row>
    <row r="576" spans="1:44" s="272" customFormat="1" ht="12" customHeight="1">
      <c r="A576" s="96"/>
      <c r="P576" s="146"/>
      <c r="X576" s="96"/>
      <c r="Y576" s="96"/>
      <c r="Z576" s="1255"/>
      <c r="AA576" s="96"/>
      <c r="AB576" s="96"/>
      <c r="AC576" s="96"/>
      <c r="AD576" s="96"/>
      <c r="AE576" s="96"/>
      <c r="AF576" s="96"/>
      <c r="AG576" s="96"/>
      <c r="AH576" s="96"/>
      <c r="AI576" s="96"/>
      <c r="AJ576" s="96"/>
      <c r="AK576" s="96"/>
      <c r="AL576" s="96"/>
      <c r="AM576" s="96"/>
      <c r="AN576" s="96"/>
      <c r="AO576" s="96"/>
      <c r="AP576" s="96"/>
      <c r="AQ576" s="96"/>
      <c r="AR576" s="96"/>
    </row>
    <row r="577" spans="1:44" s="272" customFormat="1" ht="12" customHeight="1">
      <c r="A577" s="96"/>
      <c r="P577" s="146"/>
      <c r="X577" s="96"/>
      <c r="Y577" s="96"/>
      <c r="Z577" s="1255"/>
      <c r="AA577" s="96"/>
      <c r="AB577" s="96"/>
      <c r="AC577" s="96"/>
      <c r="AD577" s="96"/>
      <c r="AE577" s="96"/>
      <c r="AF577" s="96"/>
      <c r="AG577" s="96"/>
      <c r="AH577" s="96"/>
      <c r="AI577" s="96"/>
      <c r="AJ577" s="96"/>
      <c r="AK577" s="96"/>
      <c r="AL577" s="96"/>
      <c r="AM577" s="96"/>
      <c r="AN577" s="96"/>
      <c r="AO577" s="96"/>
      <c r="AP577" s="96"/>
      <c r="AQ577" s="96"/>
      <c r="AR577" s="96"/>
    </row>
    <row r="578" spans="1:44" s="272" customFormat="1" ht="12" customHeight="1">
      <c r="A578" s="96"/>
      <c r="P578" s="146"/>
      <c r="X578" s="96"/>
      <c r="Y578" s="96"/>
      <c r="Z578" s="1255"/>
      <c r="AA578" s="96"/>
      <c r="AB578" s="96"/>
      <c r="AC578" s="96"/>
      <c r="AD578" s="96"/>
      <c r="AE578" s="96"/>
      <c r="AF578" s="96"/>
      <c r="AG578" s="96"/>
      <c r="AH578" s="96"/>
      <c r="AI578" s="96"/>
      <c r="AJ578" s="96"/>
      <c r="AK578" s="96"/>
      <c r="AL578" s="96"/>
      <c r="AM578" s="96"/>
      <c r="AN578" s="96"/>
      <c r="AO578" s="96"/>
      <c r="AP578" s="96"/>
      <c r="AQ578" s="96"/>
      <c r="AR578" s="96"/>
    </row>
    <row r="579" spans="1:44" s="272" customFormat="1" ht="12" customHeight="1">
      <c r="A579" s="96"/>
      <c r="P579" s="146"/>
      <c r="X579" s="96"/>
      <c r="Y579" s="96"/>
      <c r="Z579" s="1255"/>
      <c r="AA579" s="96"/>
      <c r="AB579" s="96"/>
      <c r="AC579" s="96"/>
      <c r="AD579" s="96"/>
      <c r="AE579" s="96"/>
      <c r="AF579" s="96"/>
      <c r="AG579" s="96"/>
      <c r="AH579" s="96"/>
      <c r="AI579" s="96"/>
      <c r="AJ579" s="96"/>
      <c r="AK579" s="96"/>
      <c r="AL579" s="96"/>
      <c r="AM579" s="96"/>
      <c r="AN579" s="96"/>
      <c r="AO579" s="96"/>
      <c r="AP579" s="96"/>
      <c r="AQ579" s="96"/>
      <c r="AR579" s="96"/>
    </row>
    <row r="580" spans="1:44" s="272" customFormat="1" ht="12" customHeight="1">
      <c r="A580" s="96"/>
      <c r="P580" s="146"/>
      <c r="X580" s="96"/>
      <c r="Y580" s="96"/>
      <c r="Z580" s="1255"/>
      <c r="AA580" s="96"/>
      <c r="AB580" s="96"/>
      <c r="AC580" s="96"/>
      <c r="AD580" s="96"/>
      <c r="AE580" s="96"/>
      <c r="AF580" s="96"/>
      <c r="AG580" s="96"/>
      <c r="AH580" s="96"/>
      <c r="AI580" s="96"/>
      <c r="AJ580" s="96"/>
      <c r="AK580" s="96"/>
      <c r="AL580" s="96"/>
      <c r="AM580" s="96"/>
      <c r="AN580" s="96"/>
      <c r="AO580" s="96"/>
      <c r="AP580" s="96"/>
      <c r="AQ580" s="96"/>
      <c r="AR580" s="96"/>
    </row>
    <row r="581" spans="1:44" s="272" customFormat="1" ht="12" customHeight="1">
      <c r="A581" s="96"/>
      <c r="P581" s="146"/>
      <c r="Q581" s="295"/>
      <c r="X581" s="96"/>
      <c r="Y581" s="96"/>
      <c r="Z581" s="1255"/>
      <c r="AA581" s="96"/>
      <c r="AB581" s="96"/>
      <c r="AC581" s="96"/>
      <c r="AD581" s="96"/>
      <c r="AE581" s="96"/>
      <c r="AF581" s="96"/>
      <c r="AG581" s="96"/>
      <c r="AH581" s="96"/>
      <c r="AI581" s="96"/>
      <c r="AJ581" s="96"/>
      <c r="AK581" s="96"/>
      <c r="AL581" s="96"/>
      <c r="AM581" s="96"/>
      <c r="AN581" s="96"/>
      <c r="AO581" s="96"/>
      <c r="AP581" s="96"/>
      <c r="AQ581" s="96"/>
      <c r="AR581" s="96"/>
    </row>
    <row r="582" spans="1:44" s="272" customFormat="1" ht="12" customHeight="1">
      <c r="A582" s="96"/>
      <c r="P582" s="146"/>
      <c r="X582" s="96"/>
      <c r="Y582" s="96"/>
      <c r="Z582" s="1255"/>
      <c r="AA582" s="96"/>
      <c r="AB582" s="96"/>
      <c r="AC582" s="96"/>
      <c r="AD582" s="96"/>
      <c r="AE582" s="96"/>
      <c r="AF582" s="96"/>
      <c r="AG582" s="96"/>
      <c r="AH582" s="96"/>
      <c r="AI582" s="96"/>
      <c r="AJ582" s="96"/>
      <c r="AK582" s="96"/>
      <c r="AL582" s="96"/>
      <c r="AM582" s="96"/>
      <c r="AN582" s="96"/>
      <c r="AO582" s="96"/>
      <c r="AP582" s="96"/>
      <c r="AQ582" s="96"/>
      <c r="AR582" s="96"/>
    </row>
    <row r="583" spans="1:44" s="272" customFormat="1" ht="12" customHeight="1">
      <c r="A583" s="96"/>
      <c r="P583" s="146"/>
      <c r="X583" s="96"/>
      <c r="Y583" s="96"/>
      <c r="Z583" s="1255"/>
      <c r="AA583" s="96"/>
      <c r="AB583" s="96"/>
      <c r="AC583" s="96"/>
      <c r="AD583" s="96"/>
      <c r="AE583" s="96"/>
      <c r="AF583" s="96"/>
      <c r="AG583" s="96"/>
      <c r="AH583" s="96"/>
      <c r="AI583" s="96"/>
      <c r="AJ583" s="96"/>
      <c r="AK583" s="96"/>
      <c r="AL583" s="96"/>
      <c r="AM583" s="96"/>
      <c r="AN583" s="96"/>
      <c r="AO583" s="96"/>
      <c r="AP583" s="96"/>
      <c r="AQ583" s="96"/>
      <c r="AR583" s="96"/>
    </row>
    <row r="584" spans="1:44" s="272" customFormat="1" ht="12" customHeight="1">
      <c r="A584" s="96"/>
      <c r="P584" s="146"/>
      <c r="X584" s="96"/>
      <c r="Y584" s="96"/>
      <c r="Z584" s="1255"/>
      <c r="AA584" s="96"/>
      <c r="AB584" s="96"/>
      <c r="AC584" s="96"/>
      <c r="AD584" s="96"/>
      <c r="AE584" s="96"/>
      <c r="AF584" s="96"/>
      <c r="AG584" s="96"/>
      <c r="AH584" s="96"/>
      <c r="AI584" s="96"/>
      <c r="AJ584" s="96"/>
      <c r="AK584" s="96"/>
      <c r="AL584" s="96"/>
      <c r="AM584" s="96"/>
      <c r="AN584" s="96"/>
      <c r="AO584" s="96"/>
      <c r="AP584" s="96"/>
      <c r="AQ584" s="96"/>
      <c r="AR584" s="96"/>
    </row>
    <row r="585" spans="1:44" s="272" customFormat="1" ht="12" customHeight="1">
      <c r="A585" s="96"/>
      <c r="P585" s="146"/>
      <c r="X585" s="96"/>
      <c r="Y585" s="96"/>
      <c r="Z585" s="1255"/>
      <c r="AA585" s="96"/>
      <c r="AB585" s="96"/>
      <c r="AC585" s="96"/>
      <c r="AD585" s="96"/>
      <c r="AE585" s="96"/>
      <c r="AF585" s="96"/>
      <c r="AG585" s="96"/>
      <c r="AH585" s="96"/>
      <c r="AI585" s="96"/>
      <c r="AJ585" s="96"/>
      <c r="AK585" s="96"/>
      <c r="AL585" s="96"/>
      <c r="AM585" s="96"/>
      <c r="AN585" s="96"/>
      <c r="AO585" s="96"/>
      <c r="AP585" s="96"/>
      <c r="AQ585" s="96"/>
      <c r="AR585" s="96"/>
    </row>
    <row r="586" spans="1:44" s="272" customFormat="1" ht="12" customHeight="1">
      <c r="A586" s="96"/>
      <c r="P586" s="300"/>
      <c r="X586" s="96"/>
      <c r="Y586" s="96"/>
      <c r="Z586" s="1255"/>
      <c r="AA586" s="96"/>
      <c r="AB586" s="96"/>
      <c r="AC586" s="96"/>
      <c r="AD586" s="96"/>
      <c r="AE586" s="96"/>
      <c r="AF586" s="96"/>
      <c r="AG586" s="96"/>
      <c r="AH586" s="96"/>
      <c r="AI586" s="96"/>
      <c r="AJ586" s="96"/>
      <c r="AK586" s="96"/>
      <c r="AL586" s="96"/>
      <c r="AM586" s="96"/>
      <c r="AN586" s="96"/>
      <c r="AO586" s="96"/>
      <c r="AP586" s="96"/>
      <c r="AQ586" s="96"/>
      <c r="AR586" s="96"/>
    </row>
    <row r="587" spans="1:44" s="272" customFormat="1" ht="12" customHeight="1">
      <c r="A587" s="96"/>
      <c r="P587" s="146"/>
      <c r="X587" s="96"/>
      <c r="Y587" s="96"/>
      <c r="Z587" s="1255"/>
      <c r="AA587" s="96"/>
      <c r="AB587" s="96"/>
      <c r="AC587" s="96"/>
      <c r="AD587" s="96"/>
      <c r="AE587" s="96"/>
      <c r="AF587" s="96"/>
      <c r="AG587" s="96"/>
      <c r="AH587" s="96"/>
      <c r="AI587" s="96"/>
      <c r="AJ587" s="96"/>
      <c r="AK587" s="96"/>
      <c r="AL587" s="96"/>
      <c r="AM587" s="96"/>
      <c r="AN587" s="96"/>
      <c r="AO587" s="96"/>
      <c r="AP587" s="96"/>
      <c r="AQ587" s="96"/>
      <c r="AR587" s="96"/>
    </row>
    <row r="588" spans="1:44" s="272" customFormat="1" ht="12" customHeight="1">
      <c r="A588" s="96"/>
      <c r="P588" s="146"/>
      <c r="X588" s="96"/>
      <c r="Y588" s="96"/>
      <c r="Z588" s="1255"/>
      <c r="AA588" s="96"/>
      <c r="AB588" s="96"/>
      <c r="AC588" s="96"/>
      <c r="AD588" s="96"/>
      <c r="AE588" s="96"/>
      <c r="AF588" s="96"/>
      <c r="AG588" s="96"/>
      <c r="AH588" s="96"/>
      <c r="AI588" s="96"/>
      <c r="AJ588" s="96"/>
      <c r="AK588" s="96"/>
      <c r="AL588" s="96"/>
      <c r="AM588" s="96"/>
      <c r="AN588" s="96"/>
      <c r="AO588" s="96"/>
      <c r="AP588" s="96"/>
      <c r="AQ588" s="96"/>
      <c r="AR588" s="96"/>
    </row>
    <row r="589" spans="1:44" s="272" customFormat="1" ht="12" customHeight="1">
      <c r="A589" s="96"/>
      <c r="P589" s="146"/>
      <c r="X589" s="96"/>
      <c r="Y589" s="96"/>
      <c r="Z589" s="1255"/>
      <c r="AA589" s="96"/>
      <c r="AB589" s="96"/>
      <c r="AC589" s="96"/>
      <c r="AD589" s="96"/>
      <c r="AE589" s="96"/>
      <c r="AF589" s="96"/>
      <c r="AG589" s="96"/>
      <c r="AH589" s="96"/>
      <c r="AI589" s="96"/>
      <c r="AJ589" s="96"/>
      <c r="AK589" s="96"/>
      <c r="AL589" s="96"/>
      <c r="AM589" s="96"/>
      <c r="AN589" s="96"/>
      <c r="AO589" s="96"/>
      <c r="AP589" s="96"/>
      <c r="AQ589" s="96"/>
      <c r="AR589" s="96"/>
    </row>
    <row r="590" spans="1:44" s="272" customFormat="1" ht="12" customHeight="1">
      <c r="A590" s="96"/>
      <c r="P590" s="146"/>
      <c r="X590" s="96"/>
      <c r="Y590" s="96"/>
      <c r="Z590" s="1255"/>
      <c r="AA590" s="96"/>
      <c r="AB590" s="96"/>
      <c r="AC590" s="96"/>
      <c r="AD590" s="96"/>
      <c r="AE590" s="96"/>
      <c r="AF590" s="96"/>
      <c r="AG590" s="96"/>
      <c r="AH590" s="96"/>
      <c r="AI590" s="96"/>
      <c r="AJ590" s="96"/>
      <c r="AK590" s="96"/>
      <c r="AL590" s="96"/>
      <c r="AM590" s="96"/>
      <c r="AN590" s="96"/>
      <c r="AO590" s="96"/>
      <c r="AP590" s="96"/>
      <c r="AQ590" s="96"/>
      <c r="AR590" s="96"/>
    </row>
    <row r="591" spans="1:44" s="272" customFormat="1" ht="12" customHeight="1">
      <c r="A591" s="96"/>
      <c r="P591" s="146"/>
      <c r="X591" s="96"/>
      <c r="Y591" s="96"/>
      <c r="Z591" s="1255"/>
      <c r="AA591" s="96"/>
      <c r="AB591" s="96"/>
      <c r="AC591" s="96"/>
      <c r="AD591" s="96"/>
      <c r="AE591" s="96"/>
      <c r="AF591" s="96"/>
      <c r="AG591" s="96"/>
      <c r="AH591" s="96"/>
      <c r="AI591" s="96"/>
      <c r="AJ591" s="96"/>
      <c r="AK591" s="96"/>
      <c r="AL591" s="96"/>
      <c r="AM591" s="96"/>
      <c r="AN591" s="96"/>
      <c r="AO591" s="96"/>
      <c r="AP591" s="96"/>
      <c r="AQ591" s="96"/>
      <c r="AR591" s="96"/>
    </row>
    <row r="592" spans="1:44" s="272" customFormat="1" ht="12" customHeight="1">
      <c r="A592" s="96"/>
      <c r="P592" s="146"/>
      <c r="X592" s="96"/>
      <c r="Y592" s="96"/>
      <c r="Z592" s="1255"/>
      <c r="AA592" s="96"/>
      <c r="AB592" s="96"/>
      <c r="AC592" s="96"/>
      <c r="AD592" s="96"/>
      <c r="AE592" s="96"/>
      <c r="AF592" s="96"/>
      <c r="AG592" s="96"/>
      <c r="AH592" s="96"/>
      <c r="AI592" s="96"/>
      <c r="AJ592" s="96"/>
      <c r="AK592" s="96"/>
      <c r="AL592" s="96"/>
      <c r="AM592" s="96"/>
      <c r="AN592" s="96"/>
      <c r="AO592" s="96"/>
      <c r="AP592" s="96"/>
      <c r="AQ592" s="96"/>
      <c r="AR592" s="96"/>
    </row>
    <row r="593" spans="1:44" s="272" customFormat="1" ht="12" customHeight="1">
      <c r="A593" s="96"/>
      <c r="P593" s="146"/>
      <c r="X593" s="96"/>
      <c r="Y593" s="96"/>
      <c r="Z593" s="1255"/>
      <c r="AA593" s="96"/>
      <c r="AB593" s="96"/>
      <c r="AC593" s="96"/>
      <c r="AD593" s="96"/>
      <c r="AE593" s="96"/>
      <c r="AF593" s="96"/>
      <c r="AG593" s="96"/>
      <c r="AH593" s="96"/>
      <c r="AI593" s="96"/>
      <c r="AJ593" s="96"/>
      <c r="AK593" s="96"/>
      <c r="AL593" s="96"/>
      <c r="AM593" s="96"/>
      <c r="AN593" s="96"/>
      <c r="AO593" s="96"/>
      <c r="AP593" s="96"/>
      <c r="AQ593" s="96"/>
      <c r="AR593" s="96"/>
    </row>
    <row r="594" spans="1:44" s="272" customFormat="1" ht="12" customHeight="1">
      <c r="A594" s="96"/>
      <c r="P594" s="146"/>
      <c r="X594" s="96"/>
      <c r="Y594" s="96"/>
      <c r="Z594" s="1255"/>
      <c r="AA594" s="96"/>
      <c r="AB594" s="96"/>
      <c r="AC594" s="96"/>
      <c r="AD594" s="96"/>
      <c r="AE594" s="96"/>
      <c r="AF594" s="96"/>
      <c r="AG594" s="96"/>
      <c r="AH594" s="96"/>
      <c r="AI594" s="96"/>
      <c r="AJ594" s="96"/>
      <c r="AK594" s="96"/>
      <c r="AL594" s="96"/>
      <c r="AM594" s="96"/>
      <c r="AN594" s="96"/>
      <c r="AO594" s="96"/>
      <c r="AP594" s="96"/>
      <c r="AQ594" s="96"/>
      <c r="AR594" s="96"/>
    </row>
    <row r="595" spans="1:44" s="272" customFormat="1" ht="12" customHeight="1">
      <c r="A595" s="96"/>
      <c r="P595" s="146"/>
      <c r="X595" s="96"/>
      <c r="Y595" s="96"/>
      <c r="Z595" s="1255"/>
      <c r="AA595" s="96"/>
      <c r="AB595" s="96"/>
      <c r="AC595" s="96"/>
      <c r="AD595" s="96"/>
      <c r="AE595" s="96"/>
      <c r="AF595" s="96"/>
      <c r="AG595" s="96"/>
      <c r="AH595" s="96"/>
      <c r="AI595" s="96"/>
      <c r="AJ595" s="96"/>
      <c r="AK595" s="96"/>
      <c r="AL595" s="96"/>
      <c r="AM595" s="96"/>
      <c r="AN595" s="96"/>
      <c r="AO595" s="96"/>
      <c r="AP595" s="96"/>
      <c r="AQ595" s="96"/>
      <c r="AR595" s="96"/>
    </row>
    <row r="596" spans="1:44" s="272" customFormat="1" ht="12" customHeight="1">
      <c r="A596" s="96"/>
      <c r="P596" s="146"/>
      <c r="X596" s="96"/>
      <c r="Y596" s="96"/>
      <c r="Z596" s="1255"/>
      <c r="AA596" s="96"/>
      <c r="AB596" s="96"/>
      <c r="AC596" s="96"/>
      <c r="AD596" s="96"/>
      <c r="AE596" s="96"/>
      <c r="AF596" s="96"/>
      <c r="AG596" s="96"/>
      <c r="AH596" s="96"/>
      <c r="AI596" s="96"/>
      <c r="AJ596" s="96"/>
      <c r="AK596" s="96"/>
      <c r="AL596" s="96"/>
      <c r="AM596" s="96"/>
      <c r="AN596" s="96"/>
      <c r="AO596" s="96"/>
      <c r="AP596" s="96"/>
      <c r="AQ596" s="96"/>
      <c r="AR596" s="96"/>
    </row>
    <row r="597" spans="1:44" s="272" customFormat="1" ht="12" customHeight="1">
      <c r="A597" s="96"/>
      <c r="P597" s="146"/>
      <c r="X597" s="96"/>
      <c r="Y597" s="96"/>
      <c r="Z597" s="1255"/>
      <c r="AA597" s="96"/>
      <c r="AB597" s="96"/>
      <c r="AC597" s="96"/>
      <c r="AD597" s="96"/>
      <c r="AE597" s="96"/>
      <c r="AF597" s="96"/>
      <c r="AG597" s="96"/>
      <c r="AH597" s="96"/>
      <c r="AI597" s="96"/>
      <c r="AJ597" s="96"/>
      <c r="AK597" s="96"/>
      <c r="AL597" s="96"/>
      <c r="AM597" s="96"/>
      <c r="AN597" s="96"/>
      <c r="AO597" s="96"/>
      <c r="AP597" s="96"/>
      <c r="AQ597" s="96"/>
      <c r="AR597" s="96"/>
    </row>
    <row r="598" spans="1:44" s="272" customFormat="1" ht="12" customHeight="1">
      <c r="A598" s="96"/>
      <c r="P598" s="300"/>
      <c r="X598" s="96"/>
      <c r="Y598" s="96"/>
      <c r="Z598" s="1255"/>
      <c r="AA598" s="96"/>
      <c r="AB598" s="96"/>
      <c r="AC598" s="96"/>
      <c r="AD598" s="96"/>
      <c r="AE598" s="96"/>
      <c r="AF598" s="96"/>
      <c r="AG598" s="96"/>
      <c r="AH598" s="96"/>
      <c r="AI598" s="96"/>
      <c r="AJ598" s="96"/>
      <c r="AK598" s="96"/>
      <c r="AL598" s="96"/>
      <c r="AM598" s="96"/>
      <c r="AN598" s="96"/>
      <c r="AO598" s="96"/>
      <c r="AP598" s="96"/>
      <c r="AQ598" s="96"/>
      <c r="AR598" s="96"/>
    </row>
    <row r="599" spans="1:44" s="272" customFormat="1" ht="12" customHeight="1">
      <c r="A599" s="96"/>
      <c r="P599" s="146"/>
      <c r="X599" s="96"/>
      <c r="Y599" s="96"/>
      <c r="Z599" s="1255"/>
      <c r="AA599" s="96"/>
      <c r="AB599" s="96"/>
      <c r="AC599" s="96"/>
      <c r="AD599" s="96"/>
      <c r="AE599" s="96"/>
      <c r="AF599" s="96"/>
      <c r="AG599" s="96"/>
      <c r="AH599" s="96"/>
      <c r="AI599" s="96"/>
      <c r="AJ599" s="96"/>
      <c r="AK599" s="96"/>
      <c r="AL599" s="96"/>
      <c r="AM599" s="96"/>
      <c r="AN599" s="96"/>
      <c r="AO599" s="96"/>
      <c r="AP599" s="96"/>
      <c r="AQ599" s="96"/>
      <c r="AR599" s="96"/>
    </row>
    <row r="600" spans="1:44" s="272" customFormat="1" ht="12" customHeight="1">
      <c r="A600" s="96"/>
      <c r="P600" s="146"/>
      <c r="X600" s="96"/>
      <c r="Y600" s="96"/>
      <c r="Z600" s="1255"/>
      <c r="AA600" s="96"/>
      <c r="AB600" s="96"/>
      <c r="AC600" s="96"/>
      <c r="AD600" s="96"/>
      <c r="AE600" s="96"/>
      <c r="AF600" s="96"/>
      <c r="AG600" s="96"/>
      <c r="AH600" s="96"/>
      <c r="AI600" s="96"/>
      <c r="AJ600" s="96"/>
      <c r="AK600" s="96"/>
      <c r="AL600" s="96"/>
      <c r="AM600" s="96"/>
      <c r="AN600" s="96"/>
      <c r="AO600" s="96"/>
      <c r="AP600" s="96"/>
      <c r="AQ600" s="96"/>
      <c r="AR600" s="96"/>
    </row>
    <row r="601" spans="1:44" s="272" customFormat="1" ht="12" customHeight="1">
      <c r="A601" s="96"/>
      <c r="P601" s="146"/>
      <c r="X601" s="96"/>
      <c r="Y601" s="96"/>
      <c r="Z601" s="1255"/>
      <c r="AA601" s="96"/>
      <c r="AB601" s="96"/>
      <c r="AC601" s="96"/>
      <c r="AD601" s="96"/>
      <c r="AE601" s="96"/>
      <c r="AF601" s="96"/>
      <c r="AG601" s="96"/>
      <c r="AH601" s="96"/>
      <c r="AI601" s="96"/>
      <c r="AJ601" s="96"/>
      <c r="AK601" s="96"/>
      <c r="AL601" s="96"/>
      <c r="AM601" s="96"/>
      <c r="AN601" s="96"/>
      <c r="AO601" s="96"/>
      <c r="AP601" s="96"/>
      <c r="AQ601" s="96"/>
      <c r="AR601" s="96"/>
    </row>
    <row r="602" spans="1:44" s="272" customFormat="1" ht="12" customHeight="1">
      <c r="A602" s="96"/>
      <c r="P602" s="146"/>
      <c r="X602" s="96"/>
      <c r="Y602" s="96"/>
      <c r="Z602" s="1255"/>
      <c r="AA602" s="96"/>
      <c r="AB602" s="96"/>
      <c r="AC602" s="96"/>
      <c r="AD602" s="96"/>
      <c r="AE602" s="96"/>
      <c r="AF602" s="96"/>
      <c r="AG602" s="96"/>
      <c r="AH602" s="96"/>
      <c r="AI602" s="96"/>
      <c r="AJ602" s="96"/>
      <c r="AK602" s="96"/>
      <c r="AL602" s="96"/>
      <c r="AM602" s="96"/>
      <c r="AN602" s="96"/>
      <c r="AO602" s="96"/>
      <c r="AP602" s="96"/>
      <c r="AQ602" s="96"/>
      <c r="AR602" s="96"/>
    </row>
    <row r="603" spans="1:44" s="272" customFormat="1" ht="12" customHeight="1">
      <c r="A603" s="96"/>
      <c r="P603" s="146"/>
      <c r="X603" s="96"/>
      <c r="Y603" s="96"/>
      <c r="Z603" s="1255"/>
      <c r="AA603" s="96"/>
      <c r="AB603" s="96"/>
      <c r="AC603" s="96"/>
      <c r="AD603" s="96"/>
      <c r="AE603" s="96"/>
      <c r="AF603" s="96"/>
      <c r="AG603" s="96"/>
      <c r="AH603" s="96"/>
      <c r="AI603" s="96"/>
      <c r="AJ603" s="96"/>
      <c r="AK603" s="96"/>
      <c r="AL603" s="96"/>
      <c r="AM603" s="96"/>
      <c r="AN603" s="96"/>
      <c r="AO603" s="96"/>
      <c r="AP603" s="96"/>
      <c r="AQ603" s="96"/>
      <c r="AR603" s="96"/>
    </row>
    <row r="604" spans="1:44" s="272" customFormat="1" ht="12" customHeight="1">
      <c r="A604" s="96"/>
      <c r="P604" s="146"/>
      <c r="X604" s="96"/>
      <c r="Y604" s="96"/>
      <c r="Z604" s="1255"/>
      <c r="AA604" s="96"/>
      <c r="AB604" s="96"/>
      <c r="AC604" s="96"/>
      <c r="AD604" s="96"/>
      <c r="AE604" s="96"/>
      <c r="AF604" s="96"/>
      <c r="AG604" s="96"/>
      <c r="AH604" s="96"/>
      <c r="AI604" s="96"/>
      <c r="AJ604" s="96"/>
      <c r="AK604" s="96"/>
      <c r="AL604" s="96"/>
      <c r="AM604" s="96"/>
      <c r="AN604" s="96"/>
      <c r="AO604" s="96"/>
      <c r="AP604" s="96"/>
      <c r="AQ604" s="96"/>
      <c r="AR604" s="96"/>
    </row>
    <row r="605" spans="1:44" s="272" customFormat="1" ht="12" customHeight="1">
      <c r="A605" s="96"/>
      <c r="P605" s="146"/>
      <c r="X605" s="96"/>
      <c r="Y605" s="96"/>
      <c r="Z605" s="1255"/>
      <c r="AA605" s="96"/>
      <c r="AB605" s="96"/>
      <c r="AC605" s="96"/>
      <c r="AD605" s="96"/>
      <c r="AE605" s="96"/>
      <c r="AF605" s="96"/>
      <c r="AG605" s="96"/>
      <c r="AH605" s="96"/>
      <c r="AI605" s="96"/>
      <c r="AJ605" s="96"/>
      <c r="AK605" s="96"/>
      <c r="AL605" s="96"/>
      <c r="AM605" s="96"/>
      <c r="AN605" s="96"/>
      <c r="AO605" s="96"/>
      <c r="AP605" s="96"/>
      <c r="AQ605" s="96"/>
      <c r="AR605" s="96"/>
    </row>
    <row r="606" spans="1:44" s="272" customFormat="1" ht="12" customHeight="1">
      <c r="A606" s="96"/>
      <c r="P606" s="146"/>
      <c r="X606" s="96"/>
      <c r="Y606" s="96"/>
      <c r="Z606" s="1255"/>
      <c r="AA606" s="96"/>
      <c r="AB606" s="96"/>
      <c r="AC606" s="96"/>
      <c r="AD606" s="96"/>
      <c r="AE606" s="96"/>
      <c r="AF606" s="96"/>
      <c r="AG606" s="96"/>
      <c r="AH606" s="96"/>
      <c r="AI606" s="96"/>
      <c r="AJ606" s="96"/>
      <c r="AK606" s="96"/>
      <c r="AL606" s="96"/>
      <c r="AM606" s="96"/>
      <c r="AN606" s="96"/>
      <c r="AO606" s="96"/>
      <c r="AP606" s="96"/>
      <c r="AQ606" s="96"/>
      <c r="AR606" s="96"/>
    </row>
    <row r="607" spans="1:44" s="272" customFormat="1" ht="12" customHeight="1">
      <c r="A607" s="96"/>
      <c r="P607" s="146"/>
      <c r="X607" s="96"/>
      <c r="Y607" s="96"/>
      <c r="Z607" s="1255"/>
      <c r="AA607" s="96"/>
      <c r="AB607" s="96"/>
      <c r="AC607" s="96"/>
      <c r="AD607" s="96"/>
      <c r="AE607" s="96"/>
      <c r="AF607" s="96"/>
      <c r="AG607" s="96"/>
      <c r="AH607" s="96"/>
      <c r="AI607" s="96"/>
      <c r="AJ607" s="96"/>
      <c r="AK607" s="96"/>
      <c r="AL607" s="96"/>
      <c r="AM607" s="96"/>
      <c r="AN607" s="96"/>
      <c r="AO607" s="96"/>
      <c r="AP607" s="96"/>
      <c r="AQ607" s="96"/>
      <c r="AR607" s="96"/>
    </row>
    <row r="608" spans="1:44" s="272" customFormat="1" ht="12" customHeight="1">
      <c r="A608" s="96"/>
      <c r="P608" s="300"/>
      <c r="X608" s="96"/>
      <c r="Y608" s="96"/>
      <c r="Z608" s="1255"/>
      <c r="AA608" s="96"/>
      <c r="AB608" s="96"/>
      <c r="AC608" s="96"/>
      <c r="AD608" s="96"/>
      <c r="AE608" s="96"/>
      <c r="AF608" s="96"/>
      <c r="AG608" s="96"/>
      <c r="AH608" s="96"/>
      <c r="AI608" s="96"/>
      <c r="AJ608" s="96"/>
      <c r="AK608" s="96"/>
      <c r="AL608" s="96"/>
      <c r="AM608" s="96"/>
      <c r="AN608" s="96"/>
      <c r="AO608" s="96"/>
      <c r="AP608" s="96"/>
      <c r="AQ608" s="96"/>
      <c r="AR608" s="96"/>
    </row>
    <row r="609" spans="1:44" s="272" customFormat="1" ht="12" customHeight="1">
      <c r="A609" s="96"/>
      <c r="P609" s="146"/>
      <c r="X609" s="96"/>
      <c r="Y609" s="96"/>
      <c r="Z609" s="1255"/>
      <c r="AA609" s="96"/>
      <c r="AB609" s="96"/>
      <c r="AC609" s="96"/>
      <c r="AD609" s="96"/>
      <c r="AE609" s="96"/>
      <c r="AF609" s="96"/>
      <c r="AG609" s="96"/>
      <c r="AH609" s="96"/>
      <c r="AI609" s="96"/>
      <c r="AJ609" s="96"/>
      <c r="AK609" s="96"/>
      <c r="AL609" s="96"/>
      <c r="AM609" s="96"/>
      <c r="AN609" s="96"/>
      <c r="AO609" s="96"/>
      <c r="AP609" s="96"/>
      <c r="AQ609" s="96"/>
      <c r="AR609" s="96"/>
    </row>
    <row r="610" spans="1:44" s="272" customFormat="1" ht="12" customHeight="1">
      <c r="A610" s="96"/>
      <c r="P610" s="146"/>
      <c r="X610" s="96"/>
      <c r="Y610" s="96"/>
      <c r="Z610" s="1255"/>
      <c r="AA610" s="96"/>
      <c r="AB610" s="96"/>
      <c r="AC610" s="96"/>
      <c r="AD610" s="96"/>
      <c r="AE610" s="96"/>
      <c r="AF610" s="96"/>
      <c r="AG610" s="96"/>
      <c r="AH610" s="96"/>
      <c r="AI610" s="96"/>
      <c r="AJ610" s="96"/>
      <c r="AK610" s="96"/>
      <c r="AL610" s="96"/>
      <c r="AM610" s="96"/>
      <c r="AN610" s="96"/>
      <c r="AO610" s="96"/>
      <c r="AP610" s="96"/>
      <c r="AQ610" s="96"/>
      <c r="AR610" s="96"/>
    </row>
    <row r="611" spans="1:44" s="272" customFormat="1" ht="12" customHeight="1">
      <c r="A611" s="96"/>
      <c r="P611" s="146"/>
      <c r="X611" s="96"/>
      <c r="Y611" s="96"/>
      <c r="Z611" s="1255"/>
      <c r="AA611" s="96"/>
      <c r="AB611" s="96"/>
      <c r="AC611" s="96"/>
      <c r="AD611" s="96"/>
      <c r="AE611" s="96"/>
      <c r="AF611" s="96"/>
      <c r="AG611" s="96"/>
      <c r="AH611" s="96"/>
      <c r="AI611" s="96"/>
      <c r="AJ611" s="96"/>
      <c r="AK611" s="96"/>
      <c r="AL611" s="96"/>
      <c r="AM611" s="96"/>
      <c r="AN611" s="96"/>
      <c r="AO611" s="96"/>
      <c r="AP611" s="96"/>
      <c r="AQ611" s="96"/>
      <c r="AR611" s="96"/>
    </row>
    <row r="612" spans="1:44" s="272" customFormat="1" ht="12" customHeight="1">
      <c r="A612" s="96"/>
      <c r="P612" s="146"/>
      <c r="X612" s="96"/>
      <c r="Y612" s="96"/>
      <c r="Z612" s="1255"/>
      <c r="AA612" s="96"/>
      <c r="AB612" s="96"/>
      <c r="AC612" s="96"/>
      <c r="AD612" s="96"/>
      <c r="AE612" s="96"/>
      <c r="AF612" s="96"/>
      <c r="AG612" s="96"/>
      <c r="AH612" s="96"/>
      <c r="AI612" s="96"/>
      <c r="AJ612" s="96"/>
      <c r="AK612" s="96"/>
      <c r="AL612" s="96"/>
      <c r="AM612" s="96"/>
      <c r="AN612" s="96"/>
      <c r="AO612" s="96"/>
      <c r="AP612" s="96"/>
      <c r="AQ612" s="96"/>
      <c r="AR612" s="96"/>
    </row>
    <row r="613" spans="1:44" s="272" customFormat="1" ht="12" customHeight="1">
      <c r="A613" s="96"/>
      <c r="P613" s="146"/>
      <c r="X613" s="96"/>
      <c r="Y613" s="96"/>
      <c r="Z613" s="1255"/>
      <c r="AA613" s="96"/>
      <c r="AB613" s="96"/>
      <c r="AC613" s="96"/>
      <c r="AD613" s="96"/>
      <c r="AE613" s="96"/>
      <c r="AF613" s="96"/>
      <c r="AG613" s="96"/>
      <c r="AH613" s="96"/>
      <c r="AI613" s="96"/>
      <c r="AJ613" s="96"/>
      <c r="AK613" s="96"/>
      <c r="AL613" s="96"/>
      <c r="AM613" s="96"/>
      <c r="AN613" s="96"/>
      <c r="AO613" s="96"/>
      <c r="AP613" s="96"/>
      <c r="AQ613" s="96"/>
      <c r="AR613" s="96"/>
    </row>
    <row r="614" spans="1:44" s="272" customFormat="1" ht="12" customHeight="1">
      <c r="A614" s="96"/>
      <c r="P614" s="300"/>
      <c r="X614" s="96"/>
      <c r="Y614" s="96"/>
      <c r="Z614" s="1255"/>
      <c r="AA614" s="96"/>
      <c r="AB614" s="96"/>
      <c r="AC614" s="96"/>
      <c r="AD614" s="96"/>
      <c r="AE614" s="96"/>
      <c r="AF614" s="96"/>
      <c r="AG614" s="96"/>
      <c r="AH614" s="96"/>
      <c r="AI614" s="96"/>
      <c r="AJ614" s="96"/>
      <c r="AK614" s="96"/>
      <c r="AL614" s="96"/>
      <c r="AM614" s="96"/>
      <c r="AN614" s="96"/>
      <c r="AO614" s="96"/>
      <c r="AP614" s="96"/>
      <c r="AQ614" s="96"/>
      <c r="AR614" s="96"/>
    </row>
    <row r="615" spans="1:44" s="272" customFormat="1" ht="12" customHeight="1">
      <c r="A615" s="96"/>
      <c r="P615" s="146"/>
      <c r="X615" s="96"/>
      <c r="Y615" s="96"/>
      <c r="Z615" s="1255"/>
      <c r="AA615" s="96"/>
      <c r="AB615" s="96"/>
      <c r="AC615" s="96"/>
      <c r="AD615" s="96"/>
      <c r="AE615" s="96"/>
      <c r="AF615" s="96"/>
      <c r="AG615" s="96"/>
      <c r="AH615" s="96"/>
      <c r="AI615" s="96"/>
      <c r="AJ615" s="96"/>
      <c r="AK615" s="96"/>
      <c r="AL615" s="96"/>
      <c r="AM615" s="96"/>
      <c r="AN615" s="96"/>
      <c r="AO615" s="96"/>
      <c r="AP615" s="96"/>
      <c r="AQ615" s="96"/>
      <c r="AR615" s="96"/>
    </row>
    <row r="616" spans="1:44" s="272" customFormat="1" ht="12" customHeight="1">
      <c r="A616" s="96"/>
      <c r="P616" s="146"/>
      <c r="X616" s="96"/>
      <c r="Y616" s="96"/>
      <c r="Z616" s="1255"/>
      <c r="AA616" s="96"/>
      <c r="AB616" s="96"/>
      <c r="AC616" s="96"/>
      <c r="AD616" s="96"/>
      <c r="AE616" s="96"/>
      <c r="AF616" s="96"/>
      <c r="AG616" s="96"/>
      <c r="AH616" s="96"/>
      <c r="AI616" s="96"/>
      <c r="AJ616" s="96"/>
      <c r="AK616" s="96"/>
      <c r="AL616" s="96"/>
      <c r="AM616" s="96"/>
      <c r="AN616" s="96"/>
      <c r="AO616" s="96"/>
      <c r="AP616" s="96"/>
      <c r="AQ616" s="96"/>
      <c r="AR616" s="96"/>
    </row>
    <row r="617" spans="1:44" s="272" customFormat="1" ht="12" customHeight="1">
      <c r="A617" s="96"/>
      <c r="P617" s="300"/>
      <c r="X617" s="96"/>
      <c r="Y617" s="96"/>
      <c r="Z617" s="1255"/>
      <c r="AA617" s="96"/>
      <c r="AB617" s="96"/>
      <c r="AC617" s="96"/>
      <c r="AD617" s="96"/>
      <c r="AE617" s="96"/>
      <c r="AF617" s="96"/>
      <c r="AG617" s="96"/>
      <c r="AH617" s="96"/>
      <c r="AI617" s="96"/>
      <c r="AJ617" s="96"/>
      <c r="AK617" s="96"/>
      <c r="AL617" s="96"/>
      <c r="AM617" s="96"/>
      <c r="AN617" s="96"/>
      <c r="AO617" s="96"/>
      <c r="AP617" s="96"/>
      <c r="AQ617" s="96"/>
      <c r="AR617" s="96"/>
    </row>
    <row r="618" spans="1:44" s="272" customFormat="1" ht="12" customHeight="1">
      <c r="A618" s="96"/>
      <c r="P618" s="146"/>
      <c r="X618" s="96"/>
      <c r="Y618" s="96"/>
      <c r="Z618" s="1255"/>
      <c r="AA618" s="96"/>
      <c r="AB618" s="96"/>
      <c r="AC618" s="96"/>
      <c r="AD618" s="96"/>
      <c r="AE618" s="96"/>
      <c r="AF618" s="96"/>
      <c r="AG618" s="96"/>
      <c r="AH618" s="96"/>
      <c r="AI618" s="96"/>
      <c r="AJ618" s="96"/>
      <c r="AK618" s="96"/>
      <c r="AL618" s="96"/>
      <c r="AM618" s="96"/>
      <c r="AN618" s="96"/>
      <c r="AO618" s="96"/>
      <c r="AP618" s="96"/>
      <c r="AQ618" s="96"/>
      <c r="AR618" s="96"/>
    </row>
    <row r="619" spans="1:44" s="272" customFormat="1" ht="12" customHeight="1">
      <c r="A619" s="96"/>
      <c r="P619" s="146"/>
      <c r="X619" s="96"/>
      <c r="Y619" s="96"/>
      <c r="Z619" s="1255"/>
      <c r="AA619" s="96"/>
      <c r="AB619" s="96"/>
      <c r="AC619" s="96"/>
      <c r="AD619" s="96"/>
      <c r="AE619" s="96"/>
      <c r="AF619" s="96"/>
      <c r="AG619" s="96"/>
      <c r="AH619" s="96"/>
      <c r="AI619" s="96"/>
      <c r="AJ619" s="96"/>
      <c r="AK619" s="96"/>
      <c r="AL619" s="96"/>
      <c r="AM619" s="96"/>
      <c r="AN619" s="96"/>
      <c r="AO619" s="96"/>
      <c r="AP619" s="96"/>
      <c r="AQ619" s="96"/>
      <c r="AR619" s="96"/>
    </row>
    <row r="620" spans="1:44" s="272" customFormat="1" ht="12" customHeight="1">
      <c r="A620" s="96"/>
      <c r="P620" s="146"/>
      <c r="X620" s="96"/>
      <c r="Y620" s="96"/>
      <c r="Z620" s="1255"/>
      <c r="AA620" s="96"/>
      <c r="AB620" s="96"/>
      <c r="AC620" s="96"/>
      <c r="AD620" s="96"/>
      <c r="AE620" s="96"/>
      <c r="AF620" s="96"/>
      <c r="AG620" s="96"/>
      <c r="AH620" s="96"/>
      <c r="AI620" s="96"/>
      <c r="AJ620" s="96"/>
      <c r="AK620" s="96"/>
      <c r="AL620" s="96"/>
      <c r="AM620" s="96"/>
      <c r="AN620" s="96"/>
      <c r="AO620" s="96"/>
      <c r="AP620" s="96"/>
      <c r="AQ620" s="96"/>
      <c r="AR620" s="96"/>
    </row>
    <row r="621" spans="1:44" s="272" customFormat="1" ht="12" customHeight="1">
      <c r="A621" s="96"/>
      <c r="P621" s="146"/>
      <c r="X621" s="96"/>
      <c r="Y621" s="96"/>
      <c r="Z621" s="1255"/>
      <c r="AA621" s="96"/>
      <c r="AB621" s="96"/>
      <c r="AC621" s="96"/>
      <c r="AD621" s="96"/>
      <c r="AE621" s="96"/>
      <c r="AF621" s="96"/>
      <c r="AG621" s="96"/>
      <c r="AH621" s="96"/>
      <c r="AI621" s="96"/>
      <c r="AJ621" s="96"/>
      <c r="AK621" s="96"/>
      <c r="AL621" s="96"/>
      <c r="AM621" s="96"/>
      <c r="AN621" s="96"/>
      <c r="AO621" s="96"/>
      <c r="AP621" s="96"/>
      <c r="AQ621" s="96"/>
      <c r="AR621" s="96"/>
    </row>
    <row r="622" spans="1:44" s="272" customFormat="1" ht="12" customHeight="1">
      <c r="A622" s="96"/>
      <c r="P622" s="146"/>
      <c r="X622" s="96"/>
      <c r="Y622" s="96"/>
      <c r="Z622" s="1255"/>
      <c r="AA622" s="96"/>
      <c r="AB622" s="96"/>
      <c r="AC622" s="96"/>
      <c r="AD622" s="96"/>
      <c r="AE622" s="96"/>
      <c r="AF622" s="96"/>
      <c r="AG622" s="96"/>
      <c r="AH622" s="96"/>
      <c r="AI622" s="96"/>
      <c r="AJ622" s="96"/>
      <c r="AK622" s="96"/>
      <c r="AL622" s="96"/>
      <c r="AM622" s="96"/>
      <c r="AN622" s="96"/>
      <c r="AO622" s="96"/>
      <c r="AP622" s="96"/>
      <c r="AQ622" s="96"/>
      <c r="AR622" s="96"/>
    </row>
    <row r="623" spans="1:44" s="272" customFormat="1" ht="12" customHeight="1">
      <c r="A623" s="96"/>
      <c r="P623" s="146"/>
      <c r="X623" s="96"/>
      <c r="Y623" s="96"/>
      <c r="Z623" s="1255"/>
      <c r="AA623" s="96"/>
      <c r="AB623" s="96"/>
      <c r="AC623" s="96"/>
      <c r="AD623" s="96"/>
      <c r="AE623" s="96"/>
      <c r="AF623" s="96"/>
      <c r="AG623" s="96"/>
      <c r="AH623" s="96"/>
      <c r="AI623" s="96"/>
      <c r="AJ623" s="96"/>
      <c r="AK623" s="96"/>
      <c r="AL623" s="96"/>
      <c r="AM623" s="96"/>
      <c r="AN623" s="96"/>
      <c r="AO623" s="96"/>
      <c r="AP623" s="96"/>
      <c r="AQ623" s="96"/>
      <c r="AR623" s="96"/>
    </row>
    <row r="624" spans="1:44" s="272" customFormat="1" ht="12" customHeight="1">
      <c r="A624" s="96"/>
      <c r="P624" s="146"/>
      <c r="X624" s="96"/>
      <c r="Y624" s="96"/>
      <c r="Z624" s="1255"/>
      <c r="AA624" s="96"/>
      <c r="AB624" s="96"/>
      <c r="AC624" s="96"/>
      <c r="AD624" s="96"/>
      <c r="AE624" s="96"/>
      <c r="AF624" s="96"/>
      <c r="AG624" s="96"/>
      <c r="AH624" s="96"/>
      <c r="AI624" s="96"/>
      <c r="AJ624" s="96"/>
      <c r="AK624" s="96"/>
      <c r="AL624" s="96"/>
      <c r="AM624" s="96"/>
      <c r="AN624" s="96"/>
      <c r="AO624" s="96"/>
      <c r="AP624" s="96"/>
      <c r="AQ624" s="96"/>
      <c r="AR624" s="96"/>
    </row>
    <row r="625" spans="1:44" s="272" customFormat="1" ht="12" customHeight="1">
      <c r="A625" s="96"/>
      <c r="P625" s="146"/>
      <c r="X625" s="96"/>
      <c r="Y625" s="96"/>
      <c r="Z625" s="1255"/>
      <c r="AA625" s="96"/>
      <c r="AB625" s="96"/>
      <c r="AC625" s="96"/>
      <c r="AD625" s="96"/>
      <c r="AE625" s="96"/>
      <c r="AF625" s="96"/>
      <c r="AG625" s="96"/>
      <c r="AH625" s="96"/>
      <c r="AI625" s="96"/>
      <c r="AJ625" s="96"/>
      <c r="AK625" s="96"/>
      <c r="AL625" s="96"/>
      <c r="AM625" s="96"/>
      <c r="AN625" s="96"/>
      <c r="AO625" s="96"/>
      <c r="AP625" s="96"/>
      <c r="AQ625" s="96"/>
      <c r="AR625" s="96"/>
    </row>
    <row r="626" spans="1:44" s="272" customFormat="1" ht="12" customHeight="1">
      <c r="A626" s="96"/>
      <c r="P626" s="146"/>
      <c r="X626" s="96"/>
      <c r="Y626" s="96"/>
      <c r="Z626" s="1255"/>
      <c r="AA626" s="96"/>
      <c r="AB626" s="96"/>
      <c r="AC626" s="96"/>
      <c r="AD626" s="96"/>
      <c r="AE626" s="96"/>
      <c r="AF626" s="96"/>
      <c r="AG626" s="96"/>
      <c r="AH626" s="96"/>
      <c r="AI626" s="96"/>
      <c r="AJ626" s="96"/>
      <c r="AK626" s="96"/>
      <c r="AL626" s="96"/>
      <c r="AM626" s="96"/>
      <c r="AN626" s="96"/>
      <c r="AO626" s="96"/>
      <c r="AP626" s="96"/>
      <c r="AQ626" s="96"/>
      <c r="AR626" s="96"/>
    </row>
    <row r="627" spans="1:44" s="272" customFormat="1" ht="12" customHeight="1">
      <c r="A627" s="96"/>
      <c r="P627" s="146"/>
      <c r="X627" s="96"/>
      <c r="Y627" s="96"/>
      <c r="Z627" s="1255"/>
      <c r="AA627" s="96"/>
      <c r="AB627" s="96"/>
      <c r="AC627" s="96"/>
      <c r="AD627" s="96"/>
      <c r="AE627" s="96"/>
      <c r="AF627" s="96"/>
      <c r="AG627" s="96"/>
      <c r="AH627" s="96"/>
      <c r="AI627" s="96"/>
      <c r="AJ627" s="96"/>
      <c r="AK627" s="96"/>
      <c r="AL627" s="96"/>
      <c r="AM627" s="96"/>
      <c r="AN627" s="96"/>
      <c r="AO627" s="96"/>
      <c r="AP627" s="96"/>
      <c r="AQ627" s="96"/>
      <c r="AR627" s="96"/>
    </row>
    <row r="628" spans="1:44" s="272" customFormat="1" ht="12" customHeight="1">
      <c r="A628" s="96"/>
      <c r="P628" s="146"/>
      <c r="X628" s="96"/>
      <c r="Y628" s="96"/>
      <c r="Z628" s="1255"/>
      <c r="AA628" s="96"/>
      <c r="AB628" s="96"/>
      <c r="AC628" s="96"/>
      <c r="AD628" s="96"/>
      <c r="AE628" s="96"/>
      <c r="AF628" s="96"/>
      <c r="AG628" s="96"/>
      <c r="AH628" s="96"/>
      <c r="AI628" s="96"/>
      <c r="AJ628" s="96"/>
      <c r="AK628" s="96"/>
      <c r="AL628" s="96"/>
      <c r="AM628" s="96"/>
      <c r="AN628" s="96"/>
      <c r="AO628" s="96"/>
      <c r="AP628" s="96"/>
      <c r="AQ628" s="96"/>
      <c r="AR628" s="96"/>
    </row>
    <row r="629" spans="1:44" s="272" customFormat="1" ht="12" customHeight="1">
      <c r="A629" s="96"/>
      <c r="P629" s="146"/>
      <c r="X629" s="96"/>
      <c r="Y629" s="96"/>
      <c r="Z629" s="1255"/>
      <c r="AA629" s="96"/>
      <c r="AB629" s="96"/>
      <c r="AC629" s="96"/>
      <c r="AD629" s="96"/>
      <c r="AE629" s="96"/>
      <c r="AF629" s="96"/>
      <c r="AG629" s="96"/>
      <c r="AH629" s="96"/>
      <c r="AI629" s="96"/>
      <c r="AJ629" s="96"/>
      <c r="AK629" s="96"/>
      <c r="AL629" s="96"/>
      <c r="AM629" s="96"/>
      <c r="AN629" s="96"/>
      <c r="AO629" s="96"/>
      <c r="AP629" s="96"/>
      <c r="AQ629" s="96"/>
      <c r="AR629" s="96"/>
    </row>
    <row r="630" spans="1:44" s="272" customFormat="1" ht="12" customHeight="1">
      <c r="A630" s="96"/>
      <c r="P630" s="146"/>
      <c r="X630" s="96"/>
      <c r="Y630" s="96"/>
      <c r="Z630" s="1255"/>
      <c r="AA630" s="96"/>
      <c r="AB630" s="96"/>
      <c r="AC630" s="96"/>
      <c r="AD630" s="96"/>
      <c r="AE630" s="96"/>
      <c r="AF630" s="96"/>
      <c r="AG630" s="96"/>
      <c r="AH630" s="96"/>
      <c r="AI630" s="96"/>
      <c r="AJ630" s="96"/>
      <c r="AK630" s="96"/>
      <c r="AL630" s="96"/>
      <c r="AM630" s="96"/>
      <c r="AN630" s="96"/>
      <c r="AO630" s="96"/>
      <c r="AP630" s="96"/>
      <c r="AQ630" s="96"/>
      <c r="AR630" s="96"/>
    </row>
    <row r="631" spans="1:44" s="272" customFormat="1" ht="12" customHeight="1">
      <c r="A631" s="96"/>
      <c r="P631" s="146"/>
      <c r="X631" s="96"/>
      <c r="Y631" s="96"/>
      <c r="Z631" s="1255"/>
      <c r="AA631" s="96"/>
      <c r="AB631" s="96"/>
      <c r="AC631" s="96"/>
      <c r="AD631" s="96"/>
      <c r="AE631" s="96"/>
      <c r="AF631" s="96"/>
      <c r="AG631" s="96"/>
      <c r="AH631" s="96"/>
      <c r="AI631" s="96"/>
      <c r="AJ631" s="96"/>
      <c r="AK631" s="96"/>
      <c r="AL631" s="96"/>
      <c r="AM631" s="96"/>
      <c r="AN631" s="96"/>
      <c r="AO631" s="96"/>
      <c r="AP631" s="96"/>
      <c r="AQ631" s="96"/>
      <c r="AR631" s="96"/>
    </row>
    <row r="632" spans="1:44" s="272" customFormat="1" ht="12" customHeight="1">
      <c r="A632" s="96"/>
      <c r="P632" s="146"/>
      <c r="X632" s="96"/>
      <c r="Y632" s="96"/>
      <c r="Z632" s="1255"/>
      <c r="AA632" s="96"/>
      <c r="AB632" s="96"/>
      <c r="AC632" s="96"/>
      <c r="AD632" s="96"/>
      <c r="AE632" s="96"/>
      <c r="AF632" s="96"/>
      <c r="AG632" s="96"/>
      <c r="AH632" s="96"/>
      <c r="AI632" s="96"/>
      <c r="AJ632" s="96"/>
      <c r="AK632" s="96"/>
      <c r="AL632" s="96"/>
      <c r="AM632" s="96"/>
      <c r="AN632" s="96"/>
      <c r="AO632" s="96"/>
      <c r="AP632" s="96"/>
      <c r="AQ632" s="96"/>
      <c r="AR632" s="96"/>
    </row>
    <row r="633" spans="1:44" s="272" customFormat="1" ht="12" customHeight="1">
      <c r="A633" s="96"/>
      <c r="P633" s="300"/>
      <c r="X633" s="96"/>
      <c r="Y633" s="96"/>
      <c r="Z633" s="1255"/>
      <c r="AA633" s="96"/>
      <c r="AB633" s="96"/>
      <c r="AC633" s="96"/>
      <c r="AD633" s="96"/>
      <c r="AE633" s="96"/>
      <c r="AF633" s="96"/>
      <c r="AG633" s="96"/>
      <c r="AH633" s="96"/>
      <c r="AI633" s="96"/>
      <c r="AJ633" s="96"/>
      <c r="AK633" s="96"/>
      <c r="AL633" s="96"/>
      <c r="AM633" s="96"/>
      <c r="AN633" s="96"/>
      <c r="AO633" s="96"/>
      <c r="AP633" s="96"/>
      <c r="AQ633" s="96"/>
      <c r="AR633" s="96"/>
    </row>
    <row r="634" spans="1:44" s="272" customFormat="1" ht="12" customHeight="1">
      <c r="A634" s="96"/>
      <c r="P634" s="146"/>
      <c r="X634" s="96"/>
      <c r="Y634" s="96"/>
      <c r="Z634" s="1255"/>
      <c r="AA634" s="96"/>
      <c r="AB634" s="96"/>
      <c r="AC634" s="96"/>
      <c r="AD634" s="96"/>
      <c r="AE634" s="96"/>
      <c r="AF634" s="96"/>
      <c r="AG634" s="96"/>
      <c r="AH634" s="96"/>
      <c r="AI634" s="96"/>
      <c r="AJ634" s="96"/>
      <c r="AK634" s="96"/>
      <c r="AL634" s="96"/>
      <c r="AM634" s="96"/>
      <c r="AN634" s="96"/>
      <c r="AO634" s="96"/>
      <c r="AP634" s="96"/>
      <c r="AQ634" s="96"/>
      <c r="AR634" s="96"/>
    </row>
    <row r="635" spans="1:44" s="272" customFormat="1" ht="12" customHeight="1">
      <c r="A635" s="96"/>
      <c r="P635" s="146"/>
      <c r="X635" s="96"/>
      <c r="Y635" s="96"/>
      <c r="Z635" s="1255"/>
      <c r="AA635" s="96"/>
      <c r="AB635" s="96"/>
      <c r="AC635" s="96"/>
      <c r="AD635" s="96"/>
      <c r="AE635" s="96"/>
      <c r="AF635" s="96"/>
      <c r="AG635" s="96"/>
      <c r="AH635" s="96"/>
      <c r="AI635" s="96"/>
      <c r="AJ635" s="96"/>
      <c r="AK635" s="96"/>
      <c r="AL635" s="96"/>
      <c r="AM635" s="96"/>
      <c r="AN635" s="96"/>
      <c r="AO635" s="96"/>
      <c r="AP635" s="96"/>
      <c r="AQ635" s="96"/>
      <c r="AR635" s="96"/>
    </row>
    <row r="636" spans="1:44" s="272" customFormat="1" ht="12" customHeight="1">
      <c r="A636" s="96"/>
      <c r="P636" s="146"/>
      <c r="X636" s="96"/>
      <c r="Y636" s="96"/>
      <c r="Z636" s="1255"/>
      <c r="AA636" s="96"/>
      <c r="AB636" s="96"/>
      <c r="AC636" s="96"/>
      <c r="AD636" s="96"/>
      <c r="AE636" s="96"/>
      <c r="AF636" s="96"/>
      <c r="AG636" s="96"/>
      <c r="AH636" s="96"/>
      <c r="AI636" s="96"/>
      <c r="AJ636" s="96"/>
      <c r="AK636" s="96"/>
      <c r="AL636" s="96"/>
      <c r="AM636" s="96"/>
      <c r="AN636" s="96"/>
      <c r="AO636" s="96"/>
      <c r="AP636" s="96"/>
      <c r="AQ636" s="96"/>
      <c r="AR636" s="96"/>
    </row>
    <row r="637" spans="1:44" s="272" customFormat="1" ht="12" customHeight="1">
      <c r="A637" s="96"/>
      <c r="P637" s="300"/>
      <c r="X637" s="96"/>
      <c r="Y637" s="96"/>
      <c r="Z637" s="1255"/>
      <c r="AA637" s="96"/>
      <c r="AB637" s="96"/>
      <c r="AC637" s="96"/>
      <c r="AD637" s="96"/>
      <c r="AE637" s="96"/>
      <c r="AF637" s="96"/>
      <c r="AG637" s="96"/>
      <c r="AH637" s="96"/>
      <c r="AI637" s="96"/>
      <c r="AJ637" s="96"/>
      <c r="AK637" s="96"/>
      <c r="AL637" s="96"/>
      <c r="AM637" s="96"/>
      <c r="AN637" s="96"/>
      <c r="AO637" s="96"/>
      <c r="AP637" s="96"/>
      <c r="AQ637" s="96"/>
      <c r="AR637" s="96"/>
    </row>
    <row r="638" spans="1:44" s="272" customFormat="1" ht="12" customHeight="1">
      <c r="A638" s="96"/>
      <c r="P638" s="146"/>
      <c r="X638" s="96"/>
      <c r="Y638" s="96"/>
      <c r="Z638" s="1255"/>
      <c r="AA638" s="96"/>
      <c r="AB638" s="96"/>
      <c r="AC638" s="96"/>
      <c r="AD638" s="96"/>
      <c r="AE638" s="96"/>
      <c r="AF638" s="96"/>
      <c r="AG638" s="96"/>
      <c r="AH638" s="96"/>
      <c r="AI638" s="96"/>
      <c r="AJ638" s="96"/>
      <c r="AK638" s="96"/>
      <c r="AL638" s="96"/>
      <c r="AM638" s="96"/>
      <c r="AN638" s="96"/>
      <c r="AO638" s="96"/>
      <c r="AP638" s="96"/>
      <c r="AQ638" s="96"/>
      <c r="AR638" s="96"/>
    </row>
    <row r="639" spans="1:44" s="272" customFormat="1" ht="12" customHeight="1">
      <c r="A639" s="96"/>
      <c r="P639" s="146"/>
      <c r="X639" s="96"/>
      <c r="Y639" s="96"/>
      <c r="Z639" s="1255"/>
      <c r="AA639" s="96"/>
      <c r="AB639" s="96"/>
      <c r="AC639" s="96"/>
      <c r="AD639" s="96"/>
      <c r="AE639" s="96"/>
      <c r="AF639" s="96"/>
      <c r="AG639" s="96"/>
      <c r="AH639" s="96"/>
      <c r="AI639" s="96"/>
      <c r="AJ639" s="96"/>
      <c r="AK639" s="96"/>
      <c r="AL639" s="96"/>
      <c r="AM639" s="96"/>
      <c r="AN639" s="96"/>
      <c r="AO639" s="96"/>
      <c r="AP639" s="96"/>
      <c r="AQ639" s="96"/>
      <c r="AR639" s="96"/>
    </row>
    <row r="640" spans="1:44" s="272" customFormat="1" ht="12" customHeight="1">
      <c r="A640" s="96"/>
      <c r="P640" s="146"/>
      <c r="X640" s="96"/>
      <c r="Y640" s="96"/>
      <c r="Z640" s="1255"/>
      <c r="AA640" s="96"/>
      <c r="AB640" s="96"/>
      <c r="AC640" s="96"/>
      <c r="AD640" s="96"/>
      <c r="AE640" s="96"/>
      <c r="AF640" s="96"/>
      <c r="AG640" s="96"/>
      <c r="AH640" s="96"/>
      <c r="AI640" s="96"/>
      <c r="AJ640" s="96"/>
      <c r="AK640" s="96"/>
      <c r="AL640" s="96"/>
      <c r="AM640" s="96"/>
      <c r="AN640" s="96"/>
      <c r="AO640" s="96"/>
      <c r="AP640" s="96"/>
      <c r="AQ640" s="96"/>
      <c r="AR640" s="96"/>
    </row>
    <row r="641" spans="1:44" s="272" customFormat="1" ht="12" customHeight="1">
      <c r="A641" s="96"/>
      <c r="P641" s="300"/>
      <c r="X641" s="96"/>
      <c r="Y641" s="96"/>
      <c r="Z641" s="1255"/>
      <c r="AA641" s="96"/>
      <c r="AB641" s="96"/>
      <c r="AC641" s="96"/>
      <c r="AD641" s="96"/>
      <c r="AE641" s="96"/>
      <c r="AF641" s="96"/>
      <c r="AG641" s="96"/>
      <c r="AH641" s="96"/>
      <c r="AI641" s="96"/>
      <c r="AJ641" s="96"/>
      <c r="AK641" s="96"/>
      <c r="AL641" s="96"/>
      <c r="AM641" s="96"/>
      <c r="AN641" s="96"/>
      <c r="AO641" s="96"/>
      <c r="AP641" s="96"/>
      <c r="AQ641" s="96"/>
      <c r="AR641" s="96"/>
    </row>
    <row r="642" spans="1:44" s="272" customFormat="1" ht="12" customHeight="1">
      <c r="A642" s="96"/>
      <c r="P642" s="146"/>
      <c r="X642" s="96"/>
      <c r="Y642" s="96"/>
      <c r="Z642" s="1255"/>
      <c r="AA642" s="96"/>
      <c r="AB642" s="96"/>
      <c r="AC642" s="96"/>
      <c r="AD642" s="96"/>
      <c r="AE642" s="96"/>
      <c r="AF642" s="96"/>
      <c r="AG642" s="96"/>
      <c r="AH642" s="96"/>
      <c r="AI642" s="96"/>
      <c r="AJ642" s="96"/>
      <c r="AK642" s="96"/>
      <c r="AL642" s="96"/>
      <c r="AM642" s="96"/>
      <c r="AN642" s="96"/>
      <c r="AO642" s="96"/>
      <c r="AP642" s="96"/>
      <c r="AQ642" s="96"/>
      <c r="AR642" s="96"/>
    </row>
    <row r="643" spans="1:44" s="272" customFormat="1" ht="12" customHeight="1">
      <c r="A643" s="96"/>
      <c r="P643" s="146"/>
      <c r="X643" s="96"/>
      <c r="Y643" s="96"/>
      <c r="Z643" s="1255"/>
      <c r="AA643" s="96"/>
      <c r="AB643" s="96"/>
      <c r="AC643" s="96"/>
      <c r="AD643" s="96"/>
      <c r="AE643" s="96"/>
      <c r="AF643" s="96"/>
      <c r="AG643" s="96"/>
      <c r="AH643" s="96"/>
      <c r="AI643" s="96"/>
      <c r="AJ643" s="96"/>
      <c r="AK643" s="96"/>
      <c r="AL643" s="96"/>
      <c r="AM643" s="96"/>
      <c r="AN643" s="96"/>
      <c r="AO643" s="96"/>
      <c r="AP643" s="96"/>
      <c r="AQ643" s="96"/>
      <c r="AR643" s="96"/>
    </row>
    <row r="644" spans="1:44" s="272" customFormat="1" ht="12" customHeight="1">
      <c r="A644" s="96"/>
      <c r="P644" s="146"/>
      <c r="X644" s="96"/>
      <c r="Y644" s="96"/>
      <c r="Z644" s="1255"/>
      <c r="AA644" s="96"/>
      <c r="AB644" s="96"/>
      <c r="AC644" s="96"/>
      <c r="AD644" s="96"/>
      <c r="AE644" s="96"/>
      <c r="AF644" s="96"/>
      <c r="AG644" s="96"/>
      <c r="AH644" s="96"/>
      <c r="AI644" s="96"/>
      <c r="AJ644" s="96"/>
      <c r="AK644" s="96"/>
      <c r="AL644" s="96"/>
      <c r="AM644" s="96"/>
      <c r="AN644" s="96"/>
      <c r="AO644" s="96"/>
      <c r="AP644" s="96"/>
      <c r="AQ644" s="96"/>
      <c r="AR644" s="96"/>
    </row>
    <row r="645" spans="1:44" s="272" customFormat="1" ht="12" customHeight="1">
      <c r="A645" s="96"/>
      <c r="P645" s="146"/>
      <c r="X645" s="96"/>
      <c r="Y645" s="96"/>
      <c r="Z645" s="1255"/>
      <c r="AA645" s="96"/>
      <c r="AB645" s="96"/>
      <c r="AC645" s="96"/>
      <c r="AD645" s="96"/>
      <c r="AE645" s="96"/>
      <c r="AF645" s="96"/>
      <c r="AG645" s="96"/>
      <c r="AH645" s="96"/>
      <c r="AI645" s="96"/>
      <c r="AJ645" s="96"/>
      <c r="AK645" s="96"/>
      <c r="AL645" s="96"/>
      <c r="AM645" s="96"/>
      <c r="AN645" s="96"/>
      <c r="AO645" s="96"/>
      <c r="AP645" s="96"/>
      <c r="AQ645" s="96"/>
      <c r="AR645" s="96"/>
    </row>
    <row r="646" spans="1:44" s="272" customFormat="1" ht="12" customHeight="1">
      <c r="A646" s="96"/>
      <c r="P646" s="146"/>
      <c r="X646" s="96"/>
      <c r="Y646" s="96"/>
      <c r="Z646" s="1255"/>
      <c r="AA646" s="96"/>
      <c r="AB646" s="96"/>
      <c r="AC646" s="96"/>
      <c r="AD646" s="96"/>
      <c r="AE646" s="96"/>
      <c r="AF646" s="96"/>
      <c r="AG646" s="96"/>
      <c r="AH646" s="96"/>
      <c r="AI646" s="96"/>
      <c r="AJ646" s="96"/>
      <c r="AK646" s="96"/>
      <c r="AL646" s="96"/>
      <c r="AM646" s="96"/>
      <c r="AN646" s="96"/>
      <c r="AO646" s="96"/>
      <c r="AP646" s="96"/>
      <c r="AQ646" s="96"/>
      <c r="AR646" s="96"/>
    </row>
    <row r="647" spans="1:44" s="272" customFormat="1" ht="12" customHeight="1">
      <c r="A647" s="96"/>
      <c r="P647" s="146"/>
      <c r="X647" s="96"/>
      <c r="Y647" s="96"/>
      <c r="Z647" s="1255"/>
      <c r="AA647" s="96"/>
      <c r="AB647" s="96"/>
      <c r="AC647" s="96"/>
      <c r="AD647" s="96"/>
      <c r="AE647" s="96"/>
      <c r="AF647" s="96"/>
      <c r="AG647" s="96"/>
      <c r="AH647" s="96"/>
      <c r="AI647" s="96"/>
      <c r="AJ647" s="96"/>
      <c r="AK647" s="96"/>
      <c r="AL647" s="96"/>
      <c r="AM647" s="96"/>
      <c r="AN647" s="96"/>
      <c r="AO647" s="96"/>
      <c r="AP647" s="96"/>
      <c r="AQ647" s="96"/>
      <c r="AR647" s="96"/>
    </row>
    <row r="648" spans="1:44" s="272" customFormat="1" ht="12" customHeight="1">
      <c r="A648" s="96"/>
      <c r="P648" s="146"/>
      <c r="X648" s="96"/>
      <c r="Y648" s="96"/>
      <c r="Z648" s="1255"/>
      <c r="AA648" s="96"/>
      <c r="AB648" s="96"/>
      <c r="AC648" s="96"/>
      <c r="AD648" s="96"/>
      <c r="AE648" s="96"/>
      <c r="AF648" s="96"/>
      <c r="AG648" s="96"/>
      <c r="AH648" s="96"/>
      <c r="AI648" s="96"/>
      <c r="AJ648" s="96"/>
      <c r="AK648" s="96"/>
      <c r="AL648" s="96"/>
      <c r="AM648" s="96"/>
      <c r="AN648" s="96"/>
      <c r="AO648" s="96"/>
      <c r="AP648" s="96"/>
      <c r="AQ648" s="96"/>
      <c r="AR648" s="96"/>
    </row>
    <row r="649" spans="1:44" s="272" customFormat="1" ht="12" customHeight="1">
      <c r="A649" s="96"/>
      <c r="P649" s="146"/>
      <c r="X649" s="96"/>
      <c r="Y649" s="96"/>
      <c r="Z649" s="1255"/>
      <c r="AA649" s="96"/>
      <c r="AB649" s="96"/>
      <c r="AC649" s="96"/>
      <c r="AD649" s="96"/>
      <c r="AE649" s="96"/>
      <c r="AF649" s="96"/>
      <c r="AG649" s="96"/>
      <c r="AH649" s="96"/>
      <c r="AI649" s="96"/>
      <c r="AJ649" s="96"/>
      <c r="AK649" s="96"/>
      <c r="AL649" s="96"/>
      <c r="AM649" s="96"/>
      <c r="AN649" s="96"/>
      <c r="AO649" s="96"/>
      <c r="AP649" s="96"/>
      <c r="AQ649" s="96"/>
      <c r="AR649" s="96"/>
    </row>
    <row r="650" spans="1:44" s="272" customFormat="1" ht="12" customHeight="1">
      <c r="A650" s="96"/>
      <c r="P650" s="146"/>
      <c r="X650" s="96"/>
      <c r="Y650" s="96"/>
      <c r="Z650" s="1255"/>
      <c r="AA650" s="96"/>
      <c r="AB650" s="96"/>
      <c r="AC650" s="96"/>
      <c r="AD650" s="96"/>
      <c r="AE650" s="96"/>
      <c r="AF650" s="96"/>
      <c r="AG650" s="96"/>
      <c r="AH650" s="96"/>
      <c r="AI650" s="96"/>
      <c r="AJ650" s="96"/>
      <c r="AK650" s="96"/>
      <c r="AL650" s="96"/>
      <c r="AM650" s="96"/>
      <c r="AN650" s="96"/>
      <c r="AO650" s="96"/>
      <c r="AP650" s="96"/>
      <c r="AQ650" s="96"/>
      <c r="AR650" s="96"/>
    </row>
    <row r="651" spans="1:44" s="272" customFormat="1" ht="12" customHeight="1">
      <c r="A651" s="96"/>
      <c r="P651" s="146"/>
      <c r="X651" s="96"/>
      <c r="Y651" s="96"/>
      <c r="Z651" s="1255"/>
      <c r="AA651" s="96"/>
      <c r="AB651" s="96"/>
      <c r="AC651" s="96"/>
      <c r="AD651" s="96"/>
      <c r="AE651" s="96"/>
      <c r="AF651" s="96"/>
      <c r="AG651" s="96"/>
      <c r="AH651" s="96"/>
      <c r="AI651" s="96"/>
      <c r="AJ651" s="96"/>
      <c r="AK651" s="96"/>
      <c r="AL651" s="96"/>
      <c r="AM651" s="96"/>
      <c r="AN651" s="96"/>
      <c r="AO651" s="96"/>
      <c r="AP651" s="96"/>
      <c r="AQ651" s="96"/>
      <c r="AR651" s="96"/>
    </row>
    <row r="652" spans="1:44" s="272" customFormat="1" ht="12" customHeight="1">
      <c r="A652" s="96"/>
      <c r="P652" s="146"/>
      <c r="X652" s="96"/>
      <c r="Y652" s="96"/>
      <c r="Z652" s="1255"/>
      <c r="AA652" s="96"/>
      <c r="AB652" s="96"/>
      <c r="AC652" s="96"/>
      <c r="AD652" s="96"/>
      <c r="AE652" s="96"/>
      <c r="AF652" s="96"/>
      <c r="AG652" s="96"/>
      <c r="AH652" s="96"/>
      <c r="AI652" s="96"/>
      <c r="AJ652" s="96"/>
      <c r="AK652" s="96"/>
      <c r="AL652" s="96"/>
      <c r="AM652" s="96"/>
      <c r="AN652" s="96"/>
      <c r="AO652" s="96"/>
      <c r="AP652" s="96"/>
      <c r="AQ652" s="96"/>
      <c r="AR652" s="96"/>
    </row>
    <row r="653" spans="1:44" s="272" customFormat="1" ht="12" customHeight="1">
      <c r="A653" s="96"/>
      <c r="P653" s="146"/>
      <c r="X653" s="96"/>
      <c r="Y653" s="96"/>
      <c r="Z653" s="1255"/>
      <c r="AA653" s="96"/>
      <c r="AB653" s="96"/>
      <c r="AC653" s="96"/>
      <c r="AD653" s="96"/>
      <c r="AE653" s="96"/>
      <c r="AF653" s="96"/>
      <c r="AG653" s="96"/>
      <c r="AH653" s="96"/>
      <c r="AI653" s="96"/>
      <c r="AJ653" s="96"/>
      <c r="AK653" s="96"/>
      <c r="AL653" s="96"/>
      <c r="AM653" s="96"/>
      <c r="AN653" s="96"/>
      <c r="AO653" s="96"/>
      <c r="AP653" s="96"/>
      <c r="AQ653" s="96"/>
      <c r="AR653" s="96"/>
    </row>
    <row r="654" spans="1:44" s="272" customFormat="1" ht="12" customHeight="1">
      <c r="A654" s="96"/>
      <c r="P654" s="146"/>
      <c r="X654" s="96"/>
      <c r="Y654" s="96"/>
      <c r="Z654" s="1255"/>
      <c r="AA654" s="96"/>
      <c r="AB654" s="96"/>
      <c r="AC654" s="96"/>
      <c r="AD654" s="96"/>
      <c r="AE654" s="96"/>
      <c r="AF654" s="96"/>
      <c r="AG654" s="96"/>
      <c r="AH654" s="96"/>
      <c r="AI654" s="96"/>
      <c r="AJ654" s="96"/>
      <c r="AK654" s="96"/>
      <c r="AL654" s="96"/>
      <c r="AM654" s="96"/>
      <c r="AN654" s="96"/>
      <c r="AO654" s="96"/>
      <c r="AP654" s="96"/>
      <c r="AQ654" s="96"/>
      <c r="AR654" s="96"/>
    </row>
    <row r="655" spans="1:44" s="272" customFormat="1" ht="12" customHeight="1">
      <c r="A655" s="96"/>
      <c r="P655" s="96"/>
      <c r="X655" s="96"/>
      <c r="Y655" s="96"/>
      <c r="Z655" s="1255"/>
      <c r="AA655" s="96"/>
      <c r="AB655" s="96"/>
      <c r="AC655" s="96"/>
      <c r="AD655" s="96"/>
      <c r="AE655" s="96"/>
      <c r="AF655" s="96"/>
      <c r="AG655" s="96"/>
      <c r="AH655" s="96"/>
      <c r="AI655" s="96"/>
      <c r="AJ655" s="96"/>
      <c r="AK655" s="96"/>
      <c r="AL655" s="96"/>
      <c r="AM655" s="96"/>
      <c r="AN655" s="96"/>
      <c r="AO655" s="96"/>
      <c r="AP655" s="96"/>
      <c r="AQ655" s="96"/>
      <c r="AR655" s="96"/>
    </row>
    <row r="656" spans="1:44" s="272" customFormat="1" ht="12" customHeight="1">
      <c r="A656" s="96"/>
      <c r="P656" s="96"/>
      <c r="X656" s="96"/>
      <c r="Y656" s="96"/>
      <c r="Z656" s="1255"/>
      <c r="AA656" s="96"/>
      <c r="AB656" s="96"/>
      <c r="AC656" s="96"/>
      <c r="AD656" s="96"/>
      <c r="AE656" s="96"/>
      <c r="AF656" s="96"/>
      <c r="AG656" s="96"/>
      <c r="AH656" s="96"/>
      <c r="AI656" s="96"/>
      <c r="AJ656" s="96"/>
      <c r="AK656" s="96"/>
      <c r="AL656" s="96"/>
      <c r="AM656" s="96"/>
      <c r="AN656" s="96"/>
      <c r="AO656" s="96"/>
      <c r="AP656" s="96"/>
      <c r="AQ656" s="96"/>
      <c r="AR656" s="96"/>
    </row>
    <row r="657" spans="1:44" s="272" customFormat="1" ht="12" customHeight="1">
      <c r="A657" s="96"/>
      <c r="P657" s="96"/>
      <c r="X657" s="96"/>
      <c r="Y657" s="96"/>
      <c r="Z657" s="1255"/>
      <c r="AA657" s="96"/>
      <c r="AB657" s="96"/>
      <c r="AC657" s="96"/>
      <c r="AD657" s="96"/>
      <c r="AE657" s="96"/>
      <c r="AF657" s="96"/>
      <c r="AG657" s="96"/>
      <c r="AH657" s="96"/>
      <c r="AI657" s="96"/>
      <c r="AJ657" s="96"/>
      <c r="AK657" s="96"/>
      <c r="AL657" s="96"/>
      <c r="AM657" s="96"/>
      <c r="AN657" s="96"/>
      <c r="AO657" s="96"/>
      <c r="AP657" s="96"/>
      <c r="AQ657" s="96"/>
      <c r="AR657" s="96"/>
    </row>
    <row r="658" spans="1:44" s="272" customFormat="1" ht="12" customHeight="1">
      <c r="A658" s="96"/>
      <c r="P658" s="96"/>
      <c r="X658" s="96"/>
      <c r="Y658" s="96"/>
      <c r="Z658" s="1255"/>
      <c r="AA658" s="96"/>
      <c r="AB658" s="96"/>
      <c r="AC658" s="96"/>
      <c r="AD658" s="96"/>
      <c r="AE658" s="96"/>
      <c r="AF658" s="96"/>
      <c r="AG658" s="96"/>
      <c r="AH658" s="96"/>
      <c r="AI658" s="96"/>
      <c r="AJ658" s="96"/>
      <c r="AK658" s="96"/>
      <c r="AL658" s="96"/>
      <c r="AM658" s="96"/>
      <c r="AN658" s="96"/>
      <c r="AO658" s="96"/>
      <c r="AP658" s="96"/>
      <c r="AQ658" s="96"/>
      <c r="AR658" s="96"/>
    </row>
    <row r="659" spans="1:44" s="272" customFormat="1" ht="12" customHeight="1">
      <c r="A659" s="96"/>
      <c r="P659" s="96"/>
      <c r="X659" s="96"/>
      <c r="Y659" s="96"/>
      <c r="Z659" s="1255"/>
      <c r="AA659" s="96"/>
      <c r="AB659" s="96"/>
      <c r="AC659" s="96"/>
      <c r="AD659" s="96"/>
      <c r="AE659" s="96"/>
      <c r="AF659" s="96"/>
      <c r="AG659" s="96"/>
      <c r="AH659" s="96"/>
      <c r="AI659" s="96"/>
      <c r="AJ659" s="96"/>
      <c r="AK659" s="96"/>
      <c r="AL659" s="96"/>
      <c r="AM659" s="96"/>
      <c r="AN659" s="96"/>
      <c r="AO659" s="96"/>
      <c r="AP659" s="96"/>
      <c r="AQ659" s="96"/>
      <c r="AR659" s="96"/>
    </row>
    <row r="660" spans="1:44" s="272" customFormat="1" ht="12" customHeight="1">
      <c r="A660" s="96"/>
      <c r="P660" s="96"/>
      <c r="X660" s="96"/>
      <c r="Y660" s="96"/>
      <c r="Z660" s="1255"/>
      <c r="AA660" s="96"/>
      <c r="AB660" s="96"/>
      <c r="AC660" s="96"/>
      <c r="AD660" s="96"/>
      <c r="AE660" s="96"/>
      <c r="AF660" s="96"/>
      <c r="AG660" s="96"/>
      <c r="AH660" s="96"/>
      <c r="AI660" s="96"/>
      <c r="AJ660" s="96"/>
      <c r="AK660" s="96"/>
      <c r="AL660" s="96"/>
      <c r="AM660" s="96"/>
      <c r="AN660" s="96"/>
      <c r="AO660" s="96"/>
      <c r="AP660" s="96"/>
      <c r="AQ660" s="96"/>
      <c r="AR660" s="96"/>
    </row>
    <row r="661" spans="1:44" s="272" customFormat="1" ht="12" customHeight="1">
      <c r="A661" s="96"/>
      <c r="P661" s="96"/>
      <c r="X661" s="96"/>
      <c r="Y661" s="96"/>
      <c r="Z661" s="1255"/>
      <c r="AA661" s="96"/>
      <c r="AB661" s="96"/>
      <c r="AC661" s="96"/>
      <c r="AD661" s="96"/>
      <c r="AE661" s="96"/>
      <c r="AF661" s="96"/>
      <c r="AG661" s="96"/>
      <c r="AH661" s="96"/>
      <c r="AI661" s="96"/>
      <c r="AJ661" s="96"/>
      <c r="AK661" s="96"/>
      <c r="AL661" s="96"/>
      <c r="AM661" s="96"/>
      <c r="AN661" s="96"/>
      <c r="AO661" s="96"/>
      <c r="AP661" s="96"/>
      <c r="AQ661" s="96"/>
      <c r="AR661" s="96"/>
    </row>
    <row r="662" spans="1:44" s="272" customFormat="1" ht="12" customHeight="1">
      <c r="A662" s="96"/>
      <c r="P662" s="96"/>
      <c r="X662" s="96"/>
      <c r="Y662" s="96"/>
      <c r="Z662" s="1255"/>
      <c r="AA662" s="96"/>
      <c r="AB662" s="96"/>
      <c r="AC662" s="96"/>
      <c r="AD662" s="96"/>
      <c r="AE662" s="96"/>
      <c r="AF662" s="96"/>
      <c r="AG662" s="96"/>
      <c r="AH662" s="96"/>
      <c r="AI662" s="96"/>
      <c r="AJ662" s="96"/>
      <c r="AK662" s="96"/>
      <c r="AL662" s="96"/>
      <c r="AM662" s="96"/>
      <c r="AN662" s="96"/>
      <c r="AO662" s="96"/>
      <c r="AP662" s="96"/>
      <c r="AQ662" s="96"/>
      <c r="AR662" s="96"/>
    </row>
    <row r="663" spans="1:44" s="272" customFormat="1" ht="12" customHeight="1">
      <c r="A663" s="96"/>
      <c r="P663" s="96"/>
      <c r="X663" s="96"/>
      <c r="Y663" s="96"/>
      <c r="Z663" s="1255"/>
      <c r="AA663" s="96"/>
      <c r="AB663" s="96"/>
      <c r="AC663" s="96"/>
      <c r="AD663" s="96"/>
      <c r="AE663" s="96"/>
      <c r="AF663" s="96"/>
      <c r="AG663" s="96"/>
      <c r="AH663" s="96"/>
      <c r="AI663" s="96"/>
      <c r="AJ663" s="96"/>
      <c r="AK663" s="96"/>
      <c r="AL663" s="96"/>
      <c r="AM663" s="96"/>
      <c r="AN663" s="96"/>
      <c r="AO663" s="96"/>
      <c r="AP663" s="96"/>
      <c r="AQ663" s="96"/>
      <c r="AR663" s="96"/>
    </row>
    <row r="664" spans="1:44" s="272" customFormat="1" ht="12" customHeight="1">
      <c r="A664" s="96"/>
      <c r="P664" s="96"/>
      <c r="X664" s="96"/>
      <c r="Y664" s="96"/>
      <c r="Z664" s="1255"/>
      <c r="AA664" s="96"/>
      <c r="AB664" s="96"/>
      <c r="AC664" s="96"/>
      <c r="AD664" s="96"/>
      <c r="AE664" s="96"/>
      <c r="AF664" s="96"/>
      <c r="AG664" s="96"/>
      <c r="AH664" s="96"/>
      <c r="AI664" s="96"/>
      <c r="AJ664" s="96"/>
      <c r="AK664" s="96"/>
      <c r="AL664" s="96"/>
      <c r="AM664" s="96"/>
      <c r="AN664" s="96"/>
      <c r="AO664" s="96"/>
      <c r="AP664" s="96"/>
      <c r="AQ664" s="96"/>
      <c r="AR664" s="96"/>
    </row>
    <row r="665" spans="1:44" s="272" customFormat="1" ht="12" customHeight="1">
      <c r="A665" s="96"/>
      <c r="P665" s="96"/>
      <c r="X665" s="96"/>
      <c r="Y665" s="96"/>
      <c r="Z665" s="1255"/>
      <c r="AA665" s="96"/>
      <c r="AB665" s="96"/>
      <c r="AC665" s="96"/>
      <c r="AD665" s="96"/>
      <c r="AE665" s="96"/>
      <c r="AF665" s="96"/>
      <c r="AG665" s="96"/>
      <c r="AH665" s="96"/>
      <c r="AI665" s="96"/>
      <c r="AJ665" s="96"/>
      <c r="AK665" s="96"/>
      <c r="AL665" s="96"/>
      <c r="AM665" s="96"/>
      <c r="AN665" s="96"/>
      <c r="AO665" s="96"/>
      <c r="AP665" s="96"/>
      <c r="AQ665" s="96"/>
      <c r="AR665" s="96"/>
    </row>
    <row r="666" spans="1:44" s="272" customFormat="1" ht="12" customHeight="1">
      <c r="A666" s="96"/>
      <c r="P666" s="96"/>
      <c r="X666" s="96"/>
      <c r="Y666" s="96"/>
      <c r="Z666" s="1255"/>
      <c r="AA666" s="96"/>
      <c r="AB666" s="96"/>
      <c r="AC666" s="96"/>
      <c r="AD666" s="96"/>
      <c r="AE666" s="96"/>
      <c r="AF666" s="96"/>
      <c r="AG666" s="96"/>
      <c r="AH666" s="96"/>
      <c r="AI666" s="96"/>
      <c r="AJ666" s="96"/>
      <c r="AK666" s="96"/>
      <c r="AL666" s="96"/>
      <c r="AM666" s="96"/>
      <c r="AN666" s="96"/>
      <c r="AO666" s="96"/>
      <c r="AP666" s="96"/>
      <c r="AQ666" s="96"/>
      <c r="AR666" s="96"/>
    </row>
    <row r="667" spans="1:44" s="272" customFormat="1" ht="12" customHeight="1">
      <c r="A667" s="96"/>
      <c r="P667" s="96"/>
      <c r="X667" s="96"/>
      <c r="Y667" s="96"/>
      <c r="Z667" s="1255"/>
      <c r="AA667" s="96"/>
      <c r="AB667" s="96"/>
      <c r="AC667" s="96"/>
      <c r="AD667" s="96"/>
      <c r="AE667" s="96"/>
      <c r="AF667" s="96"/>
      <c r="AG667" s="96"/>
      <c r="AH667" s="96"/>
      <c r="AI667" s="96"/>
      <c r="AJ667" s="96"/>
      <c r="AK667" s="96"/>
      <c r="AL667" s="96"/>
      <c r="AM667" s="96"/>
      <c r="AN667" s="96"/>
      <c r="AO667" s="96"/>
      <c r="AP667" s="96"/>
      <c r="AQ667" s="96"/>
      <c r="AR667" s="96"/>
    </row>
    <row r="668" spans="1:44" s="272" customFormat="1" ht="12" customHeight="1">
      <c r="A668" s="96"/>
      <c r="P668" s="96"/>
      <c r="X668" s="96"/>
      <c r="Y668" s="96"/>
      <c r="Z668" s="1255"/>
      <c r="AA668" s="96"/>
      <c r="AB668" s="96"/>
      <c r="AC668" s="96"/>
      <c r="AD668" s="96"/>
      <c r="AE668" s="96"/>
      <c r="AF668" s="96"/>
      <c r="AG668" s="96"/>
      <c r="AH668" s="96"/>
      <c r="AI668" s="96"/>
      <c r="AJ668" s="96"/>
      <c r="AK668" s="96"/>
      <c r="AL668" s="96"/>
      <c r="AM668" s="96"/>
      <c r="AN668" s="96"/>
      <c r="AO668" s="96"/>
      <c r="AP668" s="96"/>
      <c r="AQ668" s="96"/>
      <c r="AR668" s="96"/>
    </row>
    <row r="669" spans="1:44" s="272" customFormat="1" ht="12" customHeight="1">
      <c r="A669" s="96"/>
      <c r="P669" s="96"/>
      <c r="X669" s="96"/>
      <c r="Y669" s="96"/>
      <c r="Z669" s="1255"/>
      <c r="AA669" s="96"/>
      <c r="AB669" s="96"/>
      <c r="AC669" s="96"/>
      <c r="AD669" s="96"/>
      <c r="AE669" s="96"/>
      <c r="AF669" s="96"/>
      <c r="AG669" s="96"/>
    </row>
    <row r="670" spans="1:44" s="272" customFormat="1" ht="12" customHeight="1">
      <c r="A670" s="96"/>
      <c r="P670" s="96"/>
      <c r="X670" s="96"/>
      <c r="Y670" s="96"/>
      <c r="Z670" s="1255"/>
      <c r="AA670" s="96"/>
      <c r="AB670" s="96"/>
      <c r="AC670" s="96"/>
      <c r="AD670" s="96"/>
      <c r="AE670" s="96"/>
      <c r="AF670" s="96"/>
      <c r="AG670" s="96"/>
    </row>
    <row r="671" spans="1:44" s="272" customFormat="1" ht="12" customHeight="1">
      <c r="A671" s="96"/>
      <c r="P671" s="96"/>
      <c r="X671" s="96"/>
      <c r="Y671" s="96"/>
      <c r="Z671" s="1255"/>
      <c r="AA671" s="96"/>
      <c r="AB671" s="96"/>
      <c r="AC671" s="96"/>
      <c r="AD671" s="96"/>
      <c r="AE671" s="96"/>
      <c r="AF671" s="96"/>
      <c r="AG671" s="96"/>
    </row>
    <row r="672" spans="1:44" s="272" customFormat="1" ht="12" customHeight="1">
      <c r="A672" s="96"/>
      <c r="P672" s="96"/>
      <c r="X672" s="96"/>
      <c r="Y672" s="96"/>
      <c r="Z672" s="1255"/>
      <c r="AA672" s="96"/>
      <c r="AB672" s="96"/>
      <c r="AC672" s="96"/>
      <c r="AD672" s="96"/>
      <c r="AE672" s="96"/>
      <c r="AF672" s="96"/>
      <c r="AG672" s="96"/>
    </row>
    <row r="673" spans="1:33" s="272" customFormat="1" ht="12" customHeight="1">
      <c r="A673" s="96"/>
      <c r="P673" s="96"/>
      <c r="X673" s="96"/>
      <c r="Y673" s="96"/>
      <c r="Z673" s="1255"/>
      <c r="AA673" s="96"/>
      <c r="AB673" s="96"/>
      <c r="AC673" s="96"/>
      <c r="AD673" s="96"/>
      <c r="AE673" s="96"/>
      <c r="AF673" s="96"/>
      <c r="AG673" s="96"/>
    </row>
    <row r="674" spans="1:33" s="272" customFormat="1" ht="12" customHeight="1">
      <c r="A674" s="96"/>
      <c r="P674" s="96"/>
      <c r="X674" s="96"/>
      <c r="Y674" s="96"/>
      <c r="Z674" s="1255"/>
      <c r="AA674" s="96"/>
      <c r="AB674" s="96"/>
      <c r="AC674" s="96"/>
      <c r="AD674" s="96"/>
      <c r="AE674" s="96"/>
      <c r="AF674" s="96"/>
      <c r="AG674" s="96"/>
    </row>
    <row r="675" spans="1:33" s="272" customFormat="1" ht="12" customHeight="1">
      <c r="A675" s="96"/>
      <c r="P675" s="96"/>
      <c r="X675" s="96"/>
      <c r="Y675" s="96"/>
      <c r="Z675" s="1255"/>
      <c r="AA675" s="96"/>
      <c r="AB675" s="96"/>
      <c r="AC675" s="96"/>
      <c r="AD675" s="96"/>
      <c r="AE675" s="96"/>
      <c r="AF675" s="96"/>
      <c r="AG675" s="96"/>
    </row>
    <row r="676" spans="1:33" s="272" customFormat="1" ht="12" customHeight="1">
      <c r="A676" s="96"/>
      <c r="P676" s="96"/>
      <c r="X676" s="96"/>
      <c r="Y676" s="96"/>
      <c r="Z676" s="1255"/>
      <c r="AA676" s="96"/>
      <c r="AB676" s="96"/>
      <c r="AC676" s="96"/>
      <c r="AD676" s="96"/>
      <c r="AE676" s="96"/>
      <c r="AF676" s="96"/>
      <c r="AG676" s="96"/>
    </row>
    <row r="677" spans="1:33" s="272" customFormat="1" ht="12" customHeight="1">
      <c r="A677" s="96"/>
      <c r="P677" s="96"/>
      <c r="X677" s="96"/>
      <c r="Y677" s="96"/>
      <c r="Z677" s="1255"/>
      <c r="AA677" s="96"/>
      <c r="AB677" s="96"/>
      <c r="AC677" s="96"/>
      <c r="AD677" s="96"/>
      <c r="AE677" s="96"/>
      <c r="AF677" s="96"/>
      <c r="AG677" s="96"/>
    </row>
    <row r="678" spans="1:33" s="272" customFormat="1" ht="12" customHeight="1">
      <c r="A678" s="96"/>
      <c r="P678" s="96"/>
      <c r="X678" s="96"/>
      <c r="Y678" s="96"/>
      <c r="Z678" s="1255"/>
      <c r="AA678" s="96"/>
      <c r="AB678" s="96"/>
      <c r="AC678" s="96"/>
      <c r="AD678" s="96"/>
      <c r="AE678" s="96"/>
      <c r="AF678" s="96"/>
      <c r="AG678" s="96"/>
    </row>
    <row r="679" spans="1:33" s="272" customFormat="1" ht="12" customHeight="1">
      <c r="A679" s="96"/>
      <c r="P679" s="96"/>
      <c r="X679" s="96"/>
      <c r="Y679" s="96"/>
      <c r="Z679" s="1255"/>
      <c r="AA679" s="96"/>
      <c r="AB679" s="96"/>
      <c r="AC679" s="96"/>
      <c r="AD679" s="96"/>
      <c r="AE679" s="96"/>
      <c r="AF679" s="96"/>
      <c r="AG679" s="96"/>
    </row>
    <row r="680" spans="1:33" s="272" customFormat="1" ht="12" customHeight="1">
      <c r="A680" s="96"/>
      <c r="P680" s="96"/>
      <c r="X680" s="96"/>
      <c r="Y680" s="96"/>
      <c r="Z680" s="1255"/>
      <c r="AA680" s="96"/>
      <c r="AB680" s="96"/>
      <c r="AC680" s="96"/>
      <c r="AD680" s="96"/>
      <c r="AE680" s="96"/>
      <c r="AF680" s="96"/>
      <c r="AG680" s="96"/>
    </row>
    <row r="681" spans="1:33" s="272" customFormat="1" ht="12" customHeight="1">
      <c r="A681" s="96"/>
      <c r="P681" s="96"/>
      <c r="X681" s="96"/>
      <c r="Y681" s="96"/>
      <c r="Z681" s="1255"/>
      <c r="AA681" s="96"/>
      <c r="AB681" s="96"/>
      <c r="AC681" s="96"/>
      <c r="AD681" s="96"/>
      <c r="AE681" s="96"/>
      <c r="AF681" s="96"/>
      <c r="AG681" s="96"/>
    </row>
    <row r="682" spans="1:33" s="272" customFormat="1" ht="12" customHeight="1">
      <c r="A682" s="96"/>
      <c r="P682" s="96"/>
      <c r="X682" s="96"/>
      <c r="Y682" s="96"/>
      <c r="Z682" s="1255"/>
      <c r="AA682" s="96"/>
      <c r="AB682" s="96"/>
      <c r="AC682" s="96"/>
      <c r="AD682" s="96"/>
      <c r="AE682" s="96"/>
      <c r="AF682" s="96"/>
      <c r="AG682" s="96"/>
    </row>
    <row r="683" spans="1:33" s="272" customFormat="1" ht="12" customHeight="1">
      <c r="A683" s="96"/>
      <c r="P683" s="96"/>
      <c r="X683" s="96"/>
      <c r="Y683" s="96"/>
      <c r="Z683" s="1255"/>
      <c r="AA683" s="96"/>
      <c r="AB683" s="96"/>
      <c r="AC683" s="96"/>
      <c r="AD683" s="96"/>
      <c r="AE683" s="96"/>
      <c r="AF683" s="96"/>
      <c r="AG683" s="96"/>
    </row>
    <row r="684" spans="1:33" s="272" customFormat="1" ht="12" customHeight="1">
      <c r="B684" s="271"/>
      <c r="X684" s="96"/>
      <c r="Y684" s="96"/>
      <c r="Z684" s="1255"/>
      <c r="AA684" s="96"/>
      <c r="AB684" s="96"/>
      <c r="AC684" s="96"/>
      <c r="AD684" s="96"/>
      <c r="AE684" s="96"/>
      <c r="AF684" s="96"/>
      <c r="AG684" s="96"/>
    </row>
    <row r="685" spans="1:33" s="272" customFormat="1" ht="12" customHeight="1">
      <c r="B685" s="271"/>
      <c r="Z685" s="1255"/>
    </row>
    <row r="686" spans="1:33" s="272" customFormat="1" ht="12" customHeight="1">
      <c r="B686" s="271"/>
      <c r="Z686" s="1255"/>
    </row>
    <row r="687" spans="1:33" s="272" customFormat="1" ht="12" customHeight="1">
      <c r="B687" s="271"/>
      <c r="Z687" s="1255"/>
    </row>
    <row r="688" spans="1:33" s="272" customFormat="1" ht="12" customHeight="1">
      <c r="B688" s="271"/>
      <c r="Z688" s="1255"/>
    </row>
    <row r="689" spans="2:26" s="272" customFormat="1" ht="12" customHeight="1">
      <c r="B689" s="271"/>
      <c r="Z689" s="1255"/>
    </row>
    <row r="690" spans="2:26" s="272" customFormat="1" ht="12" customHeight="1">
      <c r="B690" s="271"/>
      <c r="Z690" s="1255"/>
    </row>
    <row r="691" spans="2:26" s="272" customFormat="1" ht="12" customHeight="1">
      <c r="B691" s="271"/>
      <c r="Z691" s="1255"/>
    </row>
    <row r="692" spans="2:26" s="272" customFormat="1" ht="12" customHeight="1">
      <c r="B692" s="271"/>
      <c r="Z692" s="1255"/>
    </row>
    <row r="693" spans="2:26" s="272" customFormat="1" ht="12" customHeight="1">
      <c r="B693" s="271"/>
      <c r="Z693" s="1255"/>
    </row>
    <row r="694" spans="2:26" s="272" customFormat="1" ht="12" customHeight="1">
      <c r="B694" s="271"/>
      <c r="Z694" s="1255"/>
    </row>
    <row r="695" spans="2:26" s="272" customFormat="1" ht="12" customHeight="1">
      <c r="B695" s="271"/>
      <c r="Z695" s="1255"/>
    </row>
    <row r="696" spans="2:26" s="272" customFormat="1" ht="12" customHeight="1">
      <c r="B696" s="271"/>
      <c r="Z696" s="1255"/>
    </row>
    <row r="697" spans="2:26" s="272" customFormat="1" ht="12" customHeight="1">
      <c r="B697" s="271"/>
      <c r="Z697" s="1255"/>
    </row>
    <row r="698" spans="2:26" s="272" customFormat="1" ht="12" customHeight="1">
      <c r="B698" s="271"/>
      <c r="Z698" s="1255"/>
    </row>
    <row r="699" spans="2:26" s="272" customFormat="1" ht="12" customHeight="1">
      <c r="B699" s="271"/>
      <c r="Z699" s="1255"/>
    </row>
    <row r="700" spans="2:26" s="272" customFormat="1" ht="12" customHeight="1">
      <c r="B700" s="271"/>
      <c r="Z700" s="1255"/>
    </row>
    <row r="701" spans="2:26" s="272" customFormat="1" ht="12" customHeight="1">
      <c r="B701" s="271"/>
      <c r="Z701" s="1255"/>
    </row>
    <row r="702" spans="2:26" s="272" customFormat="1" ht="12" customHeight="1">
      <c r="B702" s="271"/>
      <c r="Z702" s="1255"/>
    </row>
    <row r="703" spans="2:26" s="272" customFormat="1" ht="12" customHeight="1">
      <c r="B703" s="271"/>
      <c r="Z703" s="1255"/>
    </row>
    <row r="704" spans="2:26" s="272" customFormat="1" ht="12" customHeight="1">
      <c r="B704" s="271"/>
      <c r="Z704" s="1255"/>
    </row>
    <row r="705" spans="2:27" s="272" customFormat="1" ht="12" customHeight="1">
      <c r="B705" s="271"/>
      <c r="Z705" s="1255"/>
    </row>
    <row r="706" spans="2:27" s="272" customFormat="1" ht="12" customHeight="1">
      <c r="B706" s="271"/>
      <c r="Z706" s="1255"/>
    </row>
    <row r="707" spans="2:27" s="272" customFormat="1" ht="12" customHeight="1">
      <c r="B707" s="271"/>
      <c r="Z707" s="1255"/>
    </row>
    <row r="708" spans="2:27" s="272" customFormat="1" ht="12" customHeight="1">
      <c r="B708" s="271"/>
      <c r="Z708" s="1255"/>
    </row>
    <row r="709" spans="2:27" s="272" customFormat="1" ht="12" customHeight="1">
      <c r="B709" s="271"/>
      <c r="Z709" s="1255"/>
    </row>
    <row r="710" spans="2:27" s="272" customFormat="1" ht="12" customHeight="1">
      <c r="B710" s="271"/>
      <c r="Z710" s="1255"/>
    </row>
    <row r="711" spans="2:27" s="272" customFormat="1" ht="12" customHeight="1">
      <c r="B711" s="271"/>
      <c r="Z711" s="1255"/>
    </row>
    <row r="712" spans="2:27" s="272" customFormat="1" ht="12" customHeight="1">
      <c r="B712" s="271"/>
      <c r="N712" s="96"/>
      <c r="O712" s="96"/>
      <c r="Z712" s="1255"/>
    </row>
    <row r="713" spans="2:27" ht="12" customHeight="1">
      <c r="I713" s="272"/>
      <c r="AA713" s="220"/>
    </row>
    <row r="714" spans="2:27" ht="12" customHeight="1">
      <c r="AA714" s="220"/>
    </row>
    <row r="715" spans="2:27" ht="12" customHeight="1">
      <c r="AA715" s="220"/>
    </row>
    <row r="716" spans="2:27" ht="12" customHeight="1">
      <c r="AA716" s="220"/>
    </row>
  </sheetData>
  <sheetProtection algorithmName="SHA-512" hashValue="3h0pZgal2cxaoZuYpXobUIGEuMuOQs2JkvCJNpmNd85Vd3kRM1afoZFhpygb+xsjGSEd5vXVBnPTPJs5KW7veA==" saltValue="o1iWXGOX9zBzOLv38JE2JA==" spinCount="100000" sheet="1" objects="1" scenarios="1"/>
  <mergeCells count="35">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 ref="F18:L18"/>
    <mergeCell ref="N18:P18"/>
    <mergeCell ref="F20:H20"/>
    <mergeCell ref="J20:L20"/>
    <mergeCell ref="N20:P20"/>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8515625" defaultRowHeight="15"/>
  <cols>
    <col min="1" max="3" width="12.7109375" style="367" customWidth="1"/>
    <col min="4" max="4" width="15.42578125" style="367" customWidth="1"/>
    <col min="5" max="5" width="4.7109375" style="367" customWidth="1"/>
    <col min="6" max="9" width="12.7109375" style="367" customWidth="1"/>
    <col min="10" max="10" width="5.28515625" style="367" customWidth="1"/>
    <col min="11" max="16384" width="9.28515625" style="367"/>
  </cols>
  <sheetData>
    <row r="1" spans="1:16" ht="15.75">
      <c r="A1" s="4500" t="s">
        <v>3005</v>
      </c>
      <c r="B1" s="4500"/>
      <c r="C1" s="4500"/>
      <c r="D1" s="4500"/>
      <c r="E1" s="4500"/>
      <c r="F1" s="4500"/>
      <c r="G1" s="4500"/>
      <c r="H1" s="4500"/>
      <c r="I1" s="4500"/>
      <c r="J1" s="4500"/>
      <c r="K1" s="2508"/>
      <c r="L1" s="2508"/>
      <c r="M1" s="2508"/>
      <c r="N1" s="2508"/>
      <c r="O1" s="2508"/>
      <c r="P1" s="2508"/>
    </row>
    <row r="2" spans="1:16" ht="15.75">
      <c r="A2" s="4500" t="str">
        <f>'Sensitivity Analysis'!C8</f>
        <v>Finley Place</v>
      </c>
      <c r="B2" s="4500"/>
      <c r="C2" s="4500"/>
      <c r="D2" s="4500"/>
      <c r="E2" s="4500"/>
      <c r="F2" s="4500"/>
      <c r="G2" s="4500"/>
      <c r="H2" s="4500"/>
      <c r="I2" s="4500"/>
      <c r="J2" s="4500"/>
      <c r="K2" s="2508"/>
      <c r="L2" s="2508"/>
      <c r="M2" s="2508"/>
      <c r="N2" s="2508"/>
      <c r="O2" s="2508"/>
      <c r="P2" s="2508"/>
    </row>
    <row r="3" spans="1:16" ht="15.75">
      <c r="A3" s="4500" t="str">
        <f>'Subsidy Layering Memo'!F14</f>
        <v>Austell, Cobb</v>
      </c>
      <c r="B3" s="4500"/>
      <c r="C3" s="4500"/>
      <c r="D3" s="4500"/>
      <c r="E3" s="4500"/>
      <c r="F3" s="4500"/>
      <c r="G3" s="4500"/>
      <c r="H3" s="4500"/>
      <c r="I3" s="4500"/>
      <c r="J3" s="4500"/>
      <c r="K3" s="2508"/>
      <c r="L3" s="2508"/>
      <c r="M3" s="2508"/>
      <c r="N3" s="2508"/>
      <c r="O3" s="2508"/>
      <c r="P3" s="2508"/>
    </row>
    <row r="4" spans="1:16" ht="15.75">
      <c r="A4" s="4501" t="s">
        <v>3006</v>
      </c>
      <c r="B4" s="4500"/>
      <c r="C4" s="4500"/>
      <c r="D4" s="4500"/>
      <c r="E4" s="4500"/>
      <c r="F4" s="4500"/>
      <c r="G4" s="4500"/>
      <c r="H4" s="4500"/>
      <c r="I4" s="4500"/>
      <c r="J4" s="4500"/>
      <c r="K4" s="2508"/>
      <c r="L4" s="2508"/>
      <c r="M4" s="2508"/>
      <c r="N4" s="2508"/>
      <c r="O4" s="2508"/>
      <c r="P4" s="2508"/>
    </row>
    <row r="5" spans="1:16" ht="5.25" customHeight="1">
      <c r="A5" s="2508"/>
      <c r="B5" s="2508"/>
      <c r="C5" s="2508"/>
      <c r="D5" s="2508"/>
      <c r="E5" s="2508"/>
      <c r="F5" s="2508"/>
      <c r="G5" s="2508"/>
      <c r="H5" s="2508"/>
      <c r="I5" s="2508"/>
      <c r="J5" s="2508"/>
      <c r="K5" s="2508"/>
      <c r="L5" s="2508"/>
      <c r="M5" s="2508"/>
      <c r="N5" s="2508"/>
      <c r="O5" s="2508"/>
      <c r="P5" s="2508"/>
    </row>
    <row r="6" spans="1:16" ht="5.25" customHeight="1">
      <c r="A6" s="2508"/>
      <c r="B6" s="2508"/>
      <c r="C6" s="2508"/>
      <c r="D6" s="2508"/>
      <c r="E6" s="2508"/>
      <c r="F6" s="2508"/>
      <c r="G6" s="2508"/>
      <c r="H6" s="2508"/>
      <c r="I6" s="2508"/>
      <c r="J6" s="2508"/>
      <c r="K6" s="2508"/>
      <c r="L6" s="2508"/>
      <c r="M6" s="2508"/>
      <c r="N6" s="2508"/>
      <c r="O6" s="2508"/>
      <c r="P6" s="2508"/>
    </row>
    <row r="7" spans="1:16" ht="15.75">
      <c r="A7" s="4502" t="s">
        <v>3007</v>
      </c>
      <c r="B7" s="4502"/>
      <c r="C7" s="4503"/>
      <c r="D7" s="2508"/>
      <c r="E7" s="2508"/>
      <c r="F7" s="2508"/>
      <c r="G7" s="2508"/>
      <c r="H7" s="2508"/>
      <c r="I7" s="2508"/>
      <c r="J7" s="2508"/>
      <c r="K7" s="2508"/>
      <c r="L7" s="2508"/>
      <c r="M7" s="4494"/>
      <c r="N7" s="4494"/>
      <c r="O7" s="4494"/>
      <c r="P7" s="4494"/>
    </row>
    <row r="8" spans="1:16" ht="57" customHeight="1">
      <c r="A8" s="4495" t="s">
        <v>3008</v>
      </c>
      <c r="B8" s="4495"/>
      <c r="C8" s="4495"/>
      <c r="D8" s="4495"/>
      <c r="E8" s="4495"/>
      <c r="F8" s="4495"/>
      <c r="G8" s="4495"/>
      <c r="H8" s="4495"/>
      <c r="I8" s="4495"/>
      <c r="J8" s="4495"/>
      <c r="K8" s="368"/>
      <c r="L8" s="2508"/>
      <c r="M8" s="2508"/>
      <c r="N8" s="2508"/>
      <c r="O8" s="2508"/>
      <c r="P8" s="2508"/>
    </row>
    <row r="9" spans="1:16" ht="45.75" customHeight="1">
      <c r="A9" s="4495"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Austell, Cobb County, Georgia, with the development of 58 units set aside for &lt;&lt; Select PROPOSED Tenancy &gt;&gt;.</v>
      </c>
      <c r="B9" s="4495"/>
      <c r="C9" s="4495"/>
      <c r="D9" s="4495"/>
      <c r="E9" s="4495"/>
      <c r="F9" s="4495"/>
      <c r="G9" s="4495"/>
      <c r="H9" s="4495"/>
      <c r="I9" s="4495"/>
      <c r="J9" s="4495"/>
      <c r="K9" s="368"/>
      <c r="L9" s="2508"/>
      <c r="M9" s="2508"/>
      <c r="N9" s="2508"/>
      <c r="O9" s="2508"/>
      <c r="P9" s="2508"/>
    </row>
    <row r="10" spans="1:16" ht="15.75">
      <c r="A10" s="2507" t="s">
        <v>3009</v>
      </c>
      <c r="B10" s="2508"/>
      <c r="C10" s="2508"/>
      <c r="D10" s="2508"/>
      <c r="E10" s="2508"/>
      <c r="F10" s="2508"/>
      <c r="G10" s="2508"/>
      <c r="H10" s="2508"/>
      <c r="I10" s="2508"/>
      <c r="J10" s="2508"/>
      <c r="K10" s="2508"/>
      <c r="L10" s="2508"/>
      <c r="M10" s="2508"/>
      <c r="N10" s="2508"/>
      <c r="O10" s="2508"/>
      <c r="P10" s="2508"/>
    </row>
    <row r="11" spans="1:16" ht="16.5" customHeight="1">
      <c r="A11" s="4495" t="str">
        <f>'Subsidy Layering Memo'!A50</f>
        <v xml:space="preserve">Ownership entity:  (NAME) LP, a Georgia Limited Partnership, will be the ownership entity for the proposed project. </v>
      </c>
      <c r="B11" s="4497"/>
      <c r="C11" s="4497"/>
      <c r="D11" s="4497"/>
      <c r="E11" s="4497"/>
      <c r="F11" s="4497"/>
      <c r="G11" s="4497"/>
      <c r="H11" s="4497"/>
      <c r="I11" s="4497"/>
      <c r="J11" s="4495"/>
      <c r="K11" s="2508"/>
      <c r="L11" s="2508"/>
      <c r="M11" s="2508"/>
      <c r="N11" s="2508"/>
      <c r="O11" s="2508"/>
      <c r="P11" s="2508"/>
    </row>
    <row r="12" spans="1:16" ht="63.75" customHeight="1">
      <c r="A12" s="449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95"/>
      <c r="C12" s="4495"/>
      <c r="D12" s="4495"/>
      <c r="E12" s="4495"/>
      <c r="F12" s="4495"/>
      <c r="G12" s="4495"/>
      <c r="H12" s="4495"/>
      <c r="I12" s="4495"/>
      <c r="J12" s="4495"/>
      <c r="K12" s="2508"/>
      <c r="L12" s="2508"/>
      <c r="M12" s="2508"/>
      <c r="N12" s="2508"/>
      <c r="O12" s="2508"/>
      <c r="P12" s="2508"/>
    </row>
    <row r="13" spans="1:16" ht="48.75" customHeight="1">
      <c r="A13" s="449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95"/>
      <c r="C13" s="4495"/>
      <c r="D13" s="4495"/>
      <c r="E13" s="4495"/>
      <c r="F13" s="4495"/>
      <c r="G13" s="4495"/>
      <c r="H13" s="4495"/>
      <c r="I13" s="4495"/>
      <c r="J13" s="4495"/>
      <c r="K13" s="2508"/>
      <c r="L13" s="2508"/>
      <c r="M13" s="2508"/>
      <c r="N13" s="2508"/>
      <c r="O13" s="2508"/>
      <c r="P13" s="2508"/>
    </row>
    <row r="14" spans="1:16" ht="15.75">
      <c r="A14" s="2507" t="s">
        <v>3010</v>
      </c>
      <c r="B14" s="369"/>
      <c r="C14" s="2508"/>
      <c r="D14" s="2508"/>
      <c r="E14" s="2508"/>
      <c r="F14" s="2508"/>
      <c r="G14" s="2508"/>
      <c r="H14" s="2508"/>
      <c r="I14" s="2508"/>
      <c r="J14" s="2508"/>
      <c r="K14" s="2508"/>
      <c r="L14" s="2508"/>
      <c r="M14" s="2508"/>
      <c r="N14" s="2508"/>
      <c r="O14" s="2508"/>
      <c r="P14" s="2508"/>
    </row>
    <row r="15" spans="1:16">
      <c r="A15" s="2508" t="s">
        <v>3011</v>
      </c>
      <c r="B15" s="2508"/>
      <c r="C15" s="2508"/>
      <c r="D15" s="771" t="s">
        <v>3012</v>
      </c>
      <c r="E15" s="2508"/>
      <c r="F15" s="2508"/>
      <c r="G15" s="2508"/>
      <c r="H15" s="2508"/>
      <c r="I15" s="2508"/>
      <c r="J15" s="2508"/>
      <c r="K15" s="2508"/>
      <c r="L15" s="2508"/>
      <c r="M15" s="2508"/>
      <c r="N15" s="2508"/>
      <c r="O15" s="2508"/>
      <c r="P15" s="2508"/>
    </row>
    <row r="16" spans="1:16">
      <c r="A16" s="2508" t="s">
        <v>3013</v>
      </c>
      <c r="B16" s="2508"/>
      <c r="C16" s="2508"/>
      <c r="D16" s="917">
        <f>'Sensitivity Analysis'!C25</f>
        <v>3110008</v>
      </c>
      <c r="E16" s="2508"/>
      <c r="F16" s="2508"/>
      <c r="G16" s="2508"/>
      <c r="H16" s="2508"/>
      <c r="I16" s="2508"/>
      <c r="J16" s="2508"/>
      <c r="K16" s="2508"/>
      <c r="L16" s="2508"/>
      <c r="M16" s="2508"/>
      <c r="N16" s="2508"/>
      <c r="O16" s="2508"/>
      <c r="P16" s="2508"/>
    </row>
    <row r="17" spans="1:11">
      <c r="A17" s="370" t="s">
        <v>3014</v>
      </c>
      <c r="B17" s="2508"/>
      <c r="C17" s="2508"/>
      <c r="D17" s="918">
        <f>'Sensitivity Analysis'!C13</f>
        <v>58</v>
      </c>
      <c r="E17" s="2508"/>
      <c r="F17" s="2508"/>
      <c r="G17" s="2508"/>
      <c r="H17" s="2508"/>
      <c r="I17" s="2508"/>
      <c r="J17" s="2508"/>
      <c r="K17" s="2508"/>
    </row>
    <row r="18" spans="1:11" ht="14.25" customHeight="1">
      <c r="A18" s="2508"/>
      <c r="B18" s="2508"/>
      <c r="C18" s="2508"/>
      <c r="D18" s="2508"/>
      <c r="E18" s="2508"/>
      <c r="F18" s="2508"/>
      <c r="G18" s="2508"/>
      <c r="H18" s="2508"/>
      <c r="I18" s="2508"/>
      <c r="J18" s="2508"/>
      <c r="K18" s="2508"/>
    </row>
    <row r="19" spans="1:11" ht="15.75">
      <c r="A19" s="2507" t="s">
        <v>3015</v>
      </c>
      <c r="B19" s="369"/>
      <c r="C19" s="369"/>
      <c r="D19" s="2508"/>
      <c r="E19" s="2508"/>
      <c r="F19" s="2508"/>
      <c r="G19" s="2508"/>
      <c r="H19" s="2508"/>
      <c r="I19" s="2508"/>
      <c r="J19" s="2508"/>
      <c r="K19" s="2508"/>
    </row>
    <row r="20" spans="1:11" ht="48.75" customHeight="1">
      <c r="A20" s="449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98"/>
      <c r="C20" s="4498"/>
      <c r="D20" s="4498"/>
      <c r="E20" s="4498"/>
      <c r="F20" s="4498"/>
      <c r="G20" s="4498"/>
      <c r="H20" s="4498"/>
      <c r="I20" s="4498"/>
      <c r="J20" s="4498"/>
      <c r="K20" s="2508"/>
    </row>
    <row r="21" spans="1:11" ht="72.75" customHeight="1">
      <c r="A21" s="4495" t="str">
        <f>'Subsidy Layering Memo'!A67</f>
        <v xml:space="preserve"> will make a capital contribution totaling 10358964 via the syndication of the 2024 Federal LIHTC allocation of 1295000 per annum. will make a capital contribution totaling 6475000 via the syndication of the 2024 State LIHTC allocation of 1295000 per annum.</v>
      </c>
      <c r="B21" s="4495"/>
      <c r="C21" s="4495"/>
      <c r="D21" s="4495"/>
      <c r="E21" s="4495"/>
      <c r="F21" s="4495"/>
      <c r="G21" s="4495"/>
      <c r="H21" s="4495"/>
      <c r="I21" s="4495"/>
      <c r="J21" s="4495"/>
      <c r="K21" s="2508"/>
    </row>
    <row r="22" spans="1:11" ht="43.5" customHeight="1">
      <c r="A22" s="4499" t="str">
        <f>'Subsidy Layering Memo'!A68</f>
        <v xml:space="preserve">The total equity price per credit will be 1.3 (0.8 Federal tax credit and 0.5 State tax credit) for a (X%) ownership interest of the Federal Credits and a (X%) ownership interest of the State Credits. </v>
      </c>
      <c r="B22" s="4499"/>
      <c r="C22" s="4499"/>
      <c r="D22" s="4499"/>
      <c r="E22" s="4499"/>
      <c r="F22" s="4499"/>
      <c r="G22" s="4499"/>
      <c r="H22" s="4499"/>
      <c r="I22" s="4499"/>
      <c r="J22" s="4499"/>
      <c r="K22" s="2508"/>
    </row>
    <row r="23" spans="1:11" ht="15.75">
      <c r="A23" s="2507" t="s">
        <v>3016</v>
      </c>
      <c r="B23" s="369"/>
      <c r="C23" s="369"/>
      <c r="D23" s="369"/>
      <c r="E23" s="369"/>
      <c r="F23" s="369"/>
      <c r="G23" s="2508"/>
      <c r="H23" s="2508"/>
      <c r="I23" s="2508"/>
      <c r="J23" s="2508"/>
      <c r="K23" s="2508"/>
    </row>
    <row r="24" spans="1:11" ht="102.75" customHeight="1">
      <c r="A24" s="449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95"/>
      <c r="C24" s="4495"/>
      <c r="D24" s="4495"/>
      <c r="E24" s="4495"/>
      <c r="F24" s="4495"/>
      <c r="G24" s="4495"/>
      <c r="H24" s="4495"/>
      <c r="I24" s="4495"/>
      <c r="J24" s="4495"/>
      <c r="K24" s="2508"/>
    </row>
    <row r="25" spans="1:11" ht="15" customHeight="1">
      <c r="A25" s="4496"/>
      <c r="B25" s="4496"/>
      <c r="C25" s="4496"/>
      <c r="D25" s="4496"/>
      <c r="E25" s="4496"/>
      <c r="F25" s="4496"/>
      <c r="G25" s="4496"/>
      <c r="H25" s="4496"/>
      <c r="I25" s="4496"/>
      <c r="J25" s="4496"/>
      <c r="K25" s="2508" t="s">
        <v>3017</v>
      </c>
    </row>
    <row r="26" spans="1:11" ht="15" customHeight="1">
      <c r="A26" s="2508"/>
      <c r="B26" s="2610"/>
      <c r="C26" s="2610"/>
      <c r="D26" s="2610"/>
      <c r="E26" s="2610"/>
      <c r="F26" s="2610"/>
      <c r="G26" s="2610"/>
      <c r="H26" s="2610"/>
      <c r="I26" s="2610" t="s">
        <v>3017</v>
      </c>
      <c r="J26" s="2610"/>
      <c r="K26" s="2508"/>
    </row>
    <row r="27" spans="1:11" ht="15.75">
      <c r="A27" s="369" t="s">
        <v>3018</v>
      </c>
      <c r="B27" s="2508"/>
      <c r="C27" s="2508"/>
      <c r="D27" s="2508"/>
      <c r="E27" s="2508"/>
      <c r="F27" s="2508"/>
      <c r="G27" s="2508"/>
      <c r="H27" s="2508"/>
      <c r="I27" s="2508"/>
      <c r="J27" s="2508"/>
      <c r="K27" s="2508"/>
    </row>
    <row r="29" spans="1:11" ht="15.75" thickBot="1">
      <c r="A29" s="371"/>
      <c r="B29" s="371"/>
      <c r="C29" s="371"/>
      <c r="D29" s="371"/>
      <c r="E29" s="2508"/>
      <c r="F29" s="371"/>
      <c r="G29" s="371"/>
      <c r="H29" s="371"/>
      <c r="I29" s="371"/>
      <c r="J29" s="2508"/>
      <c r="K29" s="2508"/>
    </row>
    <row r="30" spans="1:11">
      <c r="A30" s="2508" t="s">
        <v>3019</v>
      </c>
      <c r="B30" s="2508"/>
      <c r="C30" s="2508"/>
      <c r="D30" s="2508" t="s">
        <v>2336</v>
      </c>
      <c r="E30" s="2508"/>
      <c r="F30" s="2508" t="s">
        <v>3020</v>
      </c>
      <c r="G30" s="2508"/>
      <c r="H30" s="2508"/>
      <c r="I30" s="2508" t="s">
        <v>2336</v>
      </c>
      <c r="J30" s="2508" t="s">
        <v>3017</v>
      </c>
      <c r="K30" s="2508"/>
    </row>
  </sheetData>
  <sheetProtection algorithmName="SHA-512" hashValue="pU2rSqZXUitWtipKXXUi6Ioo+4/Icg4OowImeiSKfyV2bzn+7fOT7qlIOWCkP51ANHJro6lQ793sIQvUUCii5A==" saltValue="IGcQ8uGrNcjIQJyDRMor7w=="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8515625" defaultRowHeight="14.25"/>
  <cols>
    <col min="1" max="1" width="9.28515625" style="375"/>
    <col min="2" max="2" width="7.7109375" style="375" customWidth="1"/>
    <col min="3" max="3" width="14.7109375" style="375" customWidth="1"/>
    <col min="4" max="4" width="20.28515625" style="375" customWidth="1"/>
    <col min="5" max="5" width="8" style="375" customWidth="1"/>
    <col min="6" max="6" width="5.28515625" style="375" customWidth="1"/>
    <col min="7" max="7" width="5.42578125" style="375" customWidth="1"/>
    <col min="8" max="8" width="8.5703125" style="375" customWidth="1"/>
    <col min="9" max="9" width="28.5703125" style="375" customWidth="1"/>
    <col min="10" max="10" width="4.28515625" style="375" hidden="1" customWidth="1"/>
    <col min="11" max="11" width="9.28515625" style="375"/>
    <col min="12" max="12" width="16.28515625" style="375" customWidth="1"/>
    <col min="13" max="13" width="11.28515625" style="375" customWidth="1"/>
    <col min="14" max="14" width="10.7109375" style="375" bestFit="1" customWidth="1"/>
    <col min="15" max="15" width="28.5703125" style="375" customWidth="1"/>
    <col min="16" max="16384" width="9.28515625" style="375"/>
  </cols>
  <sheetData>
    <row r="2" spans="1:10" ht="15">
      <c r="A2" s="372" t="s">
        <v>3021</v>
      </c>
      <c r="B2" s="373"/>
      <c r="C2" s="373"/>
      <c r="D2" s="373"/>
      <c r="E2" s="374"/>
      <c r="F2" s="373"/>
      <c r="G2" s="373"/>
      <c r="H2" s="373"/>
      <c r="I2" s="373"/>
      <c r="J2" s="373"/>
    </row>
    <row r="3" spans="1:10" ht="15">
      <c r="A3" s="376"/>
    </row>
    <row r="4" spans="1:10" ht="15">
      <c r="A4" s="376" t="s">
        <v>3022</v>
      </c>
      <c r="D4" s="375" t="s">
        <v>3023</v>
      </c>
    </row>
    <row r="5" spans="1:10" ht="15">
      <c r="A5" s="376"/>
    </row>
    <row r="6" spans="1:10" ht="15">
      <c r="A6" s="376" t="s">
        <v>3024</v>
      </c>
      <c r="D6" s="375" t="s">
        <v>3025</v>
      </c>
    </row>
    <row r="7" spans="1:10" ht="15">
      <c r="A7" s="376"/>
    </row>
    <row r="8" spans="1:10" ht="15">
      <c r="A8" s="376" t="s">
        <v>3026</v>
      </c>
      <c r="D8" s="377" t="s">
        <v>3027</v>
      </c>
    </row>
    <row r="9" spans="1:10" ht="15">
      <c r="A9" s="376"/>
    </row>
    <row r="10" spans="1:10" ht="15">
      <c r="A10" s="376" t="s">
        <v>3028</v>
      </c>
      <c r="D10" s="377" t="s">
        <v>3029</v>
      </c>
    </row>
    <row r="11" spans="1:10" ht="15">
      <c r="A11" s="376"/>
      <c r="D11" s="2615"/>
    </row>
    <row r="12" spans="1:10" ht="15">
      <c r="A12" s="376" t="s">
        <v>3030</v>
      </c>
      <c r="D12" s="375" t="s">
        <v>53</v>
      </c>
      <c r="F12" s="2615" t="str">
        <f>'Sensitivity Analysis'!$C$8</f>
        <v>Finley Place</v>
      </c>
    </row>
    <row r="13" spans="1:10" ht="15">
      <c r="A13" s="376"/>
      <c r="D13" s="375" t="s">
        <v>3031</v>
      </c>
      <c r="F13" s="2615" t="str">
        <f>'Sensitivity Analysis'!E8</f>
        <v>2024-0</v>
      </c>
    </row>
    <row r="14" spans="1:10" ht="15">
      <c r="A14" s="376"/>
      <c r="D14" s="375" t="s">
        <v>3032</v>
      </c>
      <c r="F14" s="2615" t="str">
        <f>'Sensitivity Analysis'!H8</f>
        <v>Austell, Cobb</v>
      </c>
    </row>
    <row r="15" spans="1:10" ht="15">
      <c r="A15" s="376"/>
      <c r="D15" s="375" t="s">
        <v>3033</v>
      </c>
      <c r="F15" s="4504">
        <f>'Sensitivity Analysis'!$C$25</f>
        <v>3110008</v>
      </c>
      <c r="G15" s="4504"/>
      <c r="H15" s="4504"/>
    </row>
    <row r="16" spans="1:10">
      <c r="D16" s="378" t="s">
        <v>3034</v>
      </c>
      <c r="F16" s="1997">
        <f>'Sensitivity Analysis'!C13</f>
        <v>58</v>
      </c>
      <c r="G16" s="1995">
        <f>'Sensitivity Analysis'!E13</f>
        <v>52</v>
      </c>
      <c r="H16" s="1996">
        <f>ProrationMethodCostAllocatnDCA!$D$64</f>
        <v>0</v>
      </c>
    </row>
    <row r="17" spans="1:18">
      <c r="A17" s="378"/>
      <c r="D17" s="378" t="s">
        <v>3035</v>
      </c>
      <c r="F17" s="379" t="str">
        <f>'Sensitivity Analysis'!C14</f>
        <v>&lt;&lt; Select PROPOSED Tenancy &gt;&gt;</v>
      </c>
    </row>
    <row r="18" spans="1:18" ht="15">
      <c r="A18" s="376"/>
      <c r="D18" s="378" t="s">
        <v>3036</v>
      </c>
      <c r="F18" s="2615" t="str">
        <f>'Sensitivity Analysis'!H15</f>
        <v>Urban</v>
      </c>
    </row>
    <row r="19" spans="1:18" ht="15">
      <c r="A19" s="376"/>
      <c r="D19" s="378" t="s">
        <v>3037</v>
      </c>
      <c r="F19" s="2615">
        <f>'Sensitivity Analysis'!E16</f>
        <v>0</v>
      </c>
    </row>
    <row r="20" spans="1:18" ht="15">
      <c r="A20" s="376"/>
      <c r="D20" s="378"/>
    </row>
    <row r="21" spans="1:18" ht="15">
      <c r="A21" s="2509" t="s">
        <v>3038</v>
      </c>
    </row>
    <row r="22" spans="1:18" ht="111.75" customHeight="1">
      <c r="A22" s="4510" t="s">
        <v>3039</v>
      </c>
      <c r="B22" s="4510"/>
      <c r="C22" s="4510"/>
      <c r="D22" s="4510"/>
      <c r="E22" s="4510"/>
      <c r="F22" s="4510"/>
      <c r="G22" s="4510"/>
      <c r="H22" s="4510"/>
      <c r="I22" s="4510"/>
      <c r="J22" s="4510"/>
      <c r="K22" s="4512" t="s">
        <v>3040</v>
      </c>
      <c r="L22" s="4512"/>
      <c r="M22" s="4512"/>
      <c r="N22" s="4512"/>
      <c r="O22" s="919"/>
      <c r="P22" s="919"/>
      <c r="Q22" s="919"/>
      <c r="R22" s="919"/>
    </row>
    <row r="23" spans="1:18" ht="0.75" hidden="1" customHeight="1">
      <c r="A23" s="2609"/>
      <c r="B23" s="2609"/>
      <c r="C23" s="2609"/>
      <c r="D23" s="2609"/>
      <c r="E23" s="2609"/>
      <c r="F23" s="2609"/>
      <c r="G23" s="2609"/>
      <c r="H23" s="2609"/>
      <c r="I23" s="2609"/>
      <c r="J23" s="2609"/>
    </row>
    <row r="24" spans="1:18" ht="9.75" hidden="1" customHeight="1">
      <c r="A24" s="4517"/>
      <c r="B24" s="4517"/>
      <c r="C24" s="4517"/>
      <c r="D24" s="4517"/>
      <c r="E24" s="4517"/>
      <c r="F24" s="4517"/>
      <c r="G24" s="4517"/>
      <c r="H24" s="4517"/>
      <c r="I24" s="4517"/>
      <c r="J24" s="4517"/>
    </row>
    <row r="25" spans="1:18" ht="10.5" hidden="1" customHeight="1">
      <c r="A25" s="4499"/>
      <c r="B25" s="4499"/>
      <c r="C25" s="4499"/>
      <c r="D25" s="4499"/>
      <c r="E25" s="4499"/>
      <c r="F25" s="4499"/>
      <c r="G25" s="4499"/>
      <c r="H25" s="4499"/>
      <c r="I25" s="4499"/>
      <c r="J25" s="4499"/>
    </row>
    <row r="26" spans="1:18" ht="15">
      <c r="A26" s="2509" t="s">
        <v>3041</v>
      </c>
    </row>
    <row r="27" spans="1:18" ht="14.25" customHeight="1">
      <c r="A27" s="4518" t="s">
        <v>3042</v>
      </c>
      <c r="B27" s="4518"/>
      <c r="C27" s="4518"/>
      <c r="D27" s="4518"/>
      <c r="E27" s="4518"/>
      <c r="F27" s="4518"/>
      <c r="G27" s="4518"/>
      <c r="H27" s="4518"/>
      <c r="I27" s="4518"/>
      <c r="J27" s="4518"/>
    </row>
    <row r="28" spans="1:18" ht="14.25" customHeight="1">
      <c r="A28" s="4518"/>
      <c r="B28" s="4518"/>
      <c r="C28" s="4518"/>
      <c r="D28" s="4518"/>
      <c r="E28" s="4518"/>
      <c r="F28" s="4518"/>
      <c r="G28" s="4518"/>
      <c r="H28" s="4518"/>
      <c r="I28" s="4518"/>
      <c r="J28" s="4518"/>
    </row>
    <row r="29" spans="1:18" ht="6.75" customHeight="1">
      <c r="A29" s="4518"/>
      <c r="B29" s="4518"/>
      <c r="C29" s="4518"/>
      <c r="D29" s="4518"/>
      <c r="E29" s="4518"/>
      <c r="F29" s="4518"/>
      <c r="G29" s="4518"/>
      <c r="H29" s="4518"/>
      <c r="I29" s="4518"/>
      <c r="J29" s="4518"/>
    </row>
    <row r="30" spans="1:18" ht="21.75" customHeight="1">
      <c r="A30" s="4518"/>
      <c r="B30" s="4518"/>
      <c r="C30" s="4518"/>
      <c r="D30" s="4518"/>
      <c r="E30" s="4518"/>
      <c r="F30" s="4518"/>
      <c r="G30" s="4518"/>
      <c r="H30" s="4518"/>
      <c r="I30" s="4518"/>
      <c r="J30" s="4518"/>
    </row>
    <row r="31" spans="1:18" ht="20.25" customHeight="1">
      <c r="A31" s="4518"/>
      <c r="B31" s="4518"/>
      <c r="C31" s="4518"/>
      <c r="D31" s="4518"/>
      <c r="E31" s="4518"/>
      <c r="F31" s="4518"/>
      <c r="G31" s="4518"/>
      <c r="H31" s="4518"/>
      <c r="I31" s="4518"/>
      <c r="J31" s="4518"/>
    </row>
    <row r="32" spans="1:18" ht="54.75" customHeight="1">
      <c r="A32" s="4518"/>
      <c r="B32" s="4518"/>
      <c r="C32" s="4518"/>
      <c r="D32" s="4518"/>
      <c r="E32" s="4518"/>
      <c r="F32" s="4518"/>
      <c r="G32" s="4518"/>
      <c r="H32" s="4518"/>
      <c r="I32" s="4518"/>
      <c r="J32" s="4518"/>
    </row>
    <row r="33" spans="1:10" ht="0.75" hidden="1" customHeight="1">
      <c r="A33" s="4518"/>
      <c r="B33" s="4518"/>
      <c r="C33" s="4518"/>
      <c r="D33" s="4518"/>
      <c r="E33" s="4518"/>
      <c r="F33" s="4518"/>
      <c r="G33" s="4518"/>
      <c r="H33" s="4518"/>
      <c r="I33" s="4518"/>
      <c r="J33" s="4518"/>
    </row>
    <row r="34" spans="1:10" ht="3.75" hidden="1" customHeight="1">
      <c r="A34" s="4518"/>
      <c r="B34" s="4518"/>
      <c r="C34" s="4518"/>
      <c r="D34" s="4518"/>
      <c r="E34" s="4518"/>
      <c r="F34" s="4518"/>
      <c r="G34" s="4518"/>
      <c r="H34" s="4518"/>
      <c r="I34" s="4518"/>
      <c r="J34" s="4518"/>
    </row>
    <row r="35" spans="1:10" ht="5.25" customHeight="1">
      <c r="A35" s="2613"/>
      <c r="B35" s="2613"/>
      <c r="C35" s="2613"/>
      <c r="D35" s="2613"/>
      <c r="E35" s="2613"/>
      <c r="F35" s="2613"/>
      <c r="G35" s="2613"/>
      <c r="H35" s="2613"/>
      <c r="I35" s="2613"/>
      <c r="J35" s="2613"/>
    </row>
    <row r="36" spans="1:10" ht="19.5" customHeight="1">
      <c r="A36" s="4517" t="s">
        <v>3043</v>
      </c>
      <c r="B36" s="4517"/>
      <c r="C36" s="4517"/>
      <c r="D36" s="2609"/>
      <c r="E36" s="2609"/>
      <c r="F36" s="2609"/>
      <c r="G36" s="2609"/>
      <c r="H36" s="2609"/>
      <c r="I36" s="2609"/>
      <c r="J36" s="2609"/>
    </row>
    <row r="37" spans="1:10" ht="22.5" customHeight="1">
      <c r="A37" s="4499" t="s">
        <v>1521</v>
      </c>
      <c r="B37" s="4499"/>
      <c r="C37" s="4499"/>
      <c r="D37" s="4499"/>
      <c r="E37" s="4499"/>
      <c r="F37" s="4499"/>
      <c r="G37" s="4499"/>
      <c r="H37" s="4499"/>
      <c r="I37" s="4499"/>
      <c r="J37" s="4499"/>
    </row>
    <row r="38" spans="1:10" ht="22.5" customHeight="1">
      <c r="A38" s="4499" t="s">
        <v>1524</v>
      </c>
      <c r="B38" s="4499"/>
      <c r="C38" s="4499"/>
      <c r="D38" s="4499"/>
      <c r="E38" s="4499"/>
      <c r="F38" s="4499"/>
      <c r="G38" s="4499"/>
      <c r="H38" s="4499"/>
      <c r="I38" s="4499"/>
      <c r="J38" s="4499"/>
    </row>
    <row r="39" spans="1:10" ht="22.5" customHeight="1">
      <c r="A39" s="4499" t="s">
        <v>1526</v>
      </c>
      <c r="B39" s="4499"/>
      <c r="C39" s="4499"/>
      <c r="D39" s="4499"/>
      <c r="E39" s="4499"/>
      <c r="F39" s="4499"/>
      <c r="G39" s="4499"/>
      <c r="H39" s="4499"/>
      <c r="I39" s="4499"/>
      <c r="J39" s="4499"/>
    </row>
    <row r="40" spans="1:10" ht="22.5" customHeight="1">
      <c r="A40" s="4499" t="s">
        <v>1528</v>
      </c>
      <c r="B40" s="4499"/>
      <c r="C40" s="4499"/>
      <c r="D40" s="4499"/>
      <c r="E40" s="4499"/>
      <c r="F40" s="4499"/>
      <c r="G40" s="4499"/>
      <c r="H40" s="4499"/>
      <c r="I40" s="4499"/>
      <c r="J40" s="4499"/>
    </row>
    <row r="41" spans="1:10" ht="22.5" customHeight="1">
      <c r="A41" s="4499" t="s">
        <v>2316</v>
      </c>
      <c r="B41" s="4499"/>
      <c r="C41" s="4499"/>
      <c r="D41" s="4499"/>
      <c r="E41" s="4499"/>
      <c r="F41" s="4499"/>
      <c r="G41" s="4499"/>
      <c r="H41" s="4499"/>
      <c r="I41" s="4499"/>
      <c r="J41" s="4499"/>
    </row>
    <row r="42" spans="1:10" ht="22.5" customHeight="1">
      <c r="A42" s="4499" t="s">
        <v>2318</v>
      </c>
      <c r="B42" s="4499"/>
      <c r="C42" s="4499"/>
      <c r="D42" s="4499"/>
      <c r="E42" s="4499"/>
      <c r="F42" s="4499"/>
      <c r="G42" s="4499"/>
      <c r="H42" s="4499"/>
      <c r="I42" s="4499"/>
      <c r="J42" s="4499"/>
    </row>
    <row r="43" spans="1:10" ht="22.5" customHeight="1">
      <c r="A43" s="4499" t="s">
        <v>2320</v>
      </c>
      <c r="B43" s="4499"/>
      <c r="C43" s="4499"/>
      <c r="D43" s="4499"/>
      <c r="E43" s="4499"/>
      <c r="F43" s="4499"/>
      <c r="G43" s="4499"/>
      <c r="H43" s="4499"/>
      <c r="I43" s="4499"/>
      <c r="J43" s="4499"/>
    </row>
    <row r="44" spans="1:10" ht="22.5" customHeight="1">
      <c r="A44" s="4499" t="s">
        <v>2322</v>
      </c>
      <c r="B44" s="4499"/>
      <c r="C44" s="4499"/>
      <c r="D44" s="4499"/>
      <c r="E44" s="4499"/>
      <c r="F44" s="4499"/>
      <c r="G44" s="4499"/>
      <c r="H44" s="4499"/>
      <c r="I44" s="4499"/>
      <c r="J44" s="4499"/>
    </row>
    <row r="45" spans="1:10" ht="2.25" customHeight="1">
      <c r="A45" s="2609"/>
      <c r="B45" s="2609"/>
      <c r="C45" s="2609"/>
      <c r="D45" s="2609"/>
      <c r="E45" s="2609"/>
      <c r="F45" s="2609"/>
      <c r="G45" s="2609"/>
      <c r="H45" s="2609"/>
      <c r="I45" s="2609"/>
      <c r="J45" s="2609"/>
    </row>
    <row r="46" spans="1:10" ht="15">
      <c r="A46" s="2509" t="s">
        <v>3044</v>
      </c>
    </row>
    <row r="47" spans="1:10" ht="135" customHeight="1">
      <c r="A47" s="4499" t="s">
        <v>3045</v>
      </c>
      <c r="B47" s="4499"/>
      <c r="C47" s="4499"/>
      <c r="D47" s="4499"/>
      <c r="E47" s="4499"/>
      <c r="F47" s="4499"/>
      <c r="G47" s="4499"/>
      <c r="H47" s="4499"/>
      <c r="I47" s="4499"/>
      <c r="J47" s="4499"/>
    </row>
    <row r="48" spans="1:10" ht="6" customHeight="1">
      <c r="A48" s="2611"/>
      <c r="B48" s="2611"/>
      <c r="C48" s="2611"/>
      <c r="D48" s="2611"/>
      <c r="E48" s="2611"/>
      <c r="F48" s="2611"/>
      <c r="G48" s="2611"/>
      <c r="H48" s="2611"/>
      <c r="I48" s="2611"/>
      <c r="J48" s="2611"/>
    </row>
    <row r="49" spans="1:12" ht="15">
      <c r="A49" s="2509" t="s">
        <v>3046</v>
      </c>
    </row>
    <row r="50" spans="1:12" ht="33" customHeight="1">
      <c r="A50" s="4495" t="s">
        <v>3047</v>
      </c>
      <c r="B50" s="4497"/>
      <c r="C50" s="4497"/>
      <c r="D50" s="4497"/>
      <c r="E50" s="4497"/>
      <c r="F50" s="4497"/>
      <c r="G50" s="4497"/>
      <c r="H50" s="4497"/>
      <c r="I50" s="4497"/>
      <c r="J50" s="4495"/>
    </row>
    <row r="51" spans="1:12" ht="3" customHeight="1"/>
    <row r="52" spans="1:12" ht="72.75" customHeight="1">
      <c r="A52" s="4495" t="s">
        <v>3048</v>
      </c>
      <c r="B52" s="4495"/>
      <c r="C52" s="4495"/>
      <c r="D52" s="4495"/>
      <c r="E52" s="4495"/>
      <c r="F52" s="4495"/>
      <c r="G52" s="4495"/>
      <c r="H52" s="4495"/>
      <c r="I52" s="4495"/>
      <c r="J52" s="4495"/>
    </row>
    <row r="53" spans="1:12" ht="3" customHeight="1">
      <c r="A53" s="2609"/>
      <c r="B53" s="2609"/>
      <c r="C53" s="2609"/>
      <c r="D53" s="2609"/>
      <c r="E53" s="2609"/>
      <c r="F53" s="2609"/>
      <c r="G53" s="2609"/>
      <c r="H53" s="2609"/>
      <c r="I53" s="2609"/>
      <c r="J53" s="2609"/>
    </row>
    <row r="54" spans="1:12" ht="56.25" customHeight="1">
      <c r="A54" s="4495" t="s">
        <v>3049</v>
      </c>
      <c r="B54" s="4495"/>
      <c r="C54" s="4495"/>
      <c r="D54" s="4495"/>
      <c r="E54" s="4495"/>
      <c r="F54" s="4495"/>
      <c r="G54" s="4495"/>
      <c r="H54" s="4495"/>
      <c r="I54" s="4495"/>
      <c r="J54" s="4495"/>
    </row>
    <row r="55" spans="1:12" ht="3" customHeight="1">
      <c r="A55" s="2609"/>
      <c r="B55" s="2609"/>
      <c r="C55" s="2609"/>
      <c r="D55" s="2609"/>
      <c r="E55" s="2609"/>
      <c r="F55" s="2609"/>
      <c r="G55" s="2609"/>
      <c r="H55" s="2609"/>
      <c r="I55" s="2609"/>
      <c r="J55" s="2609"/>
    </row>
    <row r="56" spans="1:12" ht="49.5" customHeight="1">
      <c r="A56" s="4495" t="s">
        <v>3050</v>
      </c>
      <c r="B56" s="4495"/>
      <c r="C56" s="4495"/>
      <c r="D56" s="4495"/>
      <c r="E56" s="4495"/>
      <c r="F56" s="4495"/>
      <c r="G56" s="4495"/>
      <c r="H56" s="4495"/>
      <c r="I56" s="4495"/>
      <c r="J56" s="2609"/>
    </row>
    <row r="57" spans="1:12" ht="3" customHeight="1">
      <c r="A57" s="2609"/>
      <c r="B57" s="2609"/>
      <c r="C57" s="2609"/>
      <c r="D57" s="2609"/>
      <c r="E57" s="2609"/>
      <c r="F57" s="2609"/>
      <c r="G57" s="2609"/>
      <c r="H57" s="2609"/>
      <c r="I57" s="2609"/>
      <c r="J57" s="2609"/>
    </row>
    <row r="58" spans="1:12" ht="54.75" customHeight="1">
      <c r="A58" s="4509" t="s">
        <v>3051</v>
      </c>
      <c r="B58" s="4495"/>
      <c r="C58" s="4495"/>
      <c r="D58" s="4495"/>
      <c r="E58" s="4495"/>
      <c r="F58" s="4495"/>
      <c r="G58" s="4495"/>
      <c r="H58" s="4495"/>
      <c r="I58" s="4495"/>
      <c r="J58" s="2609"/>
    </row>
    <row r="59" spans="1:12" ht="3" customHeight="1">
      <c r="A59" s="2609"/>
      <c r="B59" s="2609"/>
      <c r="C59" s="2609"/>
      <c r="D59" s="2609"/>
      <c r="E59" s="2609"/>
      <c r="F59" s="2609"/>
      <c r="G59" s="2609"/>
      <c r="H59" s="2609"/>
      <c r="I59" s="2609"/>
      <c r="J59" s="2609"/>
    </row>
    <row r="60" spans="1:12" ht="62.25" customHeight="1">
      <c r="A60" s="4495" t="s">
        <v>3052</v>
      </c>
      <c r="B60" s="4495"/>
      <c r="C60" s="4495"/>
      <c r="D60" s="4495"/>
      <c r="E60" s="4495"/>
      <c r="F60" s="4495"/>
      <c r="G60" s="4495"/>
      <c r="H60" s="4495"/>
      <c r="I60" s="4495"/>
      <c r="J60" s="4495"/>
    </row>
    <row r="61" spans="1:12" ht="3" customHeight="1"/>
    <row r="62" spans="1:12" ht="73.5" customHeight="1">
      <c r="A62" s="4495" t="s">
        <v>3053</v>
      </c>
      <c r="B62" s="4495"/>
      <c r="C62" s="4495"/>
      <c r="D62" s="4495"/>
      <c r="E62" s="4495"/>
      <c r="F62" s="4495"/>
      <c r="G62" s="4495"/>
      <c r="H62" s="4495"/>
      <c r="I62" s="4495"/>
      <c r="J62" s="4495"/>
    </row>
    <row r="63" spans="1:12" ht="6" customHeight="1">
      <c r="A63" s="2609" t="s">
        <v>3017</v>
      </c>
      <c r="B63" s="2609"/>
      <c r="C63" s="2609"/>
      <c r="D63" s="2609"/>
      <c r="E63" s="2609"/>
      <c r="F63" s="2609"/>
      <c r="G63" s="2609"/>
      <c r="H63" s="2609"/>
      <c r="I63" s="2609"/>
      <c r="J63" s="2609"/>
    </row>
    <row r="64" spans="1:12" ht="15">
      <c r="A64" s="2509" t="s">
        <v>3054</v>
      </c>
      <c r="L64" s="381" t="s">
        <v>3055</v>
      </c>
    </row>
    <row r="65" spans="1:17" ht="46.5" customHeight="1">
      <c r="A65" s="4510" t="s">
        <v>3056</v>
      </c>
      <c r="B65" s="4510"/>
      <c r="C65" s="4510"/>
      <c r="D65" s="4510"/>
      <c r="E65" s="4510"/>
      <c r="F65" s="4510"/>
      <c r="G65" s="4510"/>
      <c r="H65" s="4510"/>
      <c r="I65" s="4510"/>
      <c r="J65" s="4510"/>
      <c r="L65" s="382">
        <f>'Closing term sheet'!C135</f>
        <v>772209</v>
      </c>
      <c r="M65" s="383"/>
      <c r="N65" s="383"/>
      <c r="O65" s="383"/>
    </row>
    <row r="66" spans="1:17" ht="7.5" customHeight="1">
      <c r="A66" s="2609"/>
      <c r="B66" s="2609"/>
      <c r="C66" s="2609"/>
      <c r="D66" s="2609"/>
      <c r="E66" s="2609"/>
      <c r="F66" s="2609"/>
      <c r="G66" s="2609"/>
      <c r="H66" s="2609"/>
      <c r="I66" s="2609"/>
      <c r="J66" s="2609"/>
      <c r="L66" s="384" t="s">
        <v>3057</v>
      </c>
      <c r="M66" s="385" t="s">
        <v>3058</v>
      </c>
      <c r="N66" s="386" t="s">
        <v>3059</v>
      </c>
      <c r="O66" s="384" t="s">
        <v>3060</v>
      </c>
      <c r="P66" s="385" t="s">
        <v>3061</v>
      </c>
      <c r="Q66" s="386" t="s">
        <v>3062</v>
      </c>
    </row>
    <row r="67" spans="1:17" ht="78.75" customHeight="1">
      <c r="A67" s="4495"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10358964 via the syndication of the 2024 Federal LIHTC allocation of 1295000 per annum. will make a capital contribution totaling 6475000 via the syndication of the 2024 State LIHTC allocation of 1295000 per annum.</v>
      </c>
      <c r="B67" s="4495"/>
      <c r="C67" s="4495"/>
      <c r="D67" s="4495"/>
      <c r="E67" s="4495"/>
      <c r="F67" s="4495"/>
      <c r="G67" s="4495"/>
      <c r="H67" s="4495"/>
      <c r="I67" s="4495"/>
      <c r="J67" s="387"/>
      <c r="L67" s="1998">
        <f>'Part II-Sources of Funds'!I51</f>
        <v>10358964</v>
      </c>
      <c r="M67" s="1999">
        <f>'Part III-A-Uses of Funds'!$J$191</f>
        <v>1295000</v>
      </c>
      <c r="N67" s="2000">
        <f>'Part III-A-Uses of Funds'!N182</f>
        <v>0.8</v>
      </c>
      <c r="O67" s="1998">
        <f>'Part II-Sources of Funds'!I52</f>
        <v>6475000</v>
      </c>
      <c r="P67" s="1999">
        <f>M67</f>
        <v>1295000</v>
      </c>
      <c r="Q67" s="2000">
        <f>'Part III-A-Uses of Funds'!Q182</f>
        <v>0.5</v>
      </c>
    </row>
    <row r="68" spans="1:17" ht="39.75" customHeight="1">
      <c r="A68" s="449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 (0.8 Federal tax credit and 0.5 State tax credit) for a (X%) ownership interest of the Federal Credits and a (X%) ownership interest of the State Credits. </v>
      </c>
      <c r="B68" s="4499"/>
      <c r="C68" s="4499"/>
      <c r="D68" s="4499"/>
      <c r="E68" s="4499"/>
      <c r="F68" s="4499"/>
      <c r="G68" s="4499"/>
      <c r="H68" s="4499"/>
      <c r="I68" s="4499"/>
      <c r="J68" s="387"/>
      <c r="L68" s="1145"/>
      <c r="M68" s="1145"/>
      <c r="N68" s="478"/>
      <c r="O68" s="1145"/>
      <c r="P68" s="1145"/>
      <c r="Q68" s="478"/>
    </row>
    <row r="69" spans="1:17" ht="18.75" customHeight="1">
      <c r="A69" s="388" t="s">
        <v>3063</v>
      </c>
    </row>
    <row r="70" spans="1:17" ht="177" customHeight="1">
      <c r="A70" s="4495" t="s">
        <v>3064</v>
      </c>
      <c r="B70" s="4495"/>
      <c r="C70" s="4495"/>
      <c r="D70" s="4495"/>
      <c r="E70" s="4495"/>
      <c r="F70" s="4495"/>
      <c r="G70" s="4495"/>
      <c r="H70" s="4495"/>
      <c r="I70" s="4495"/>
      <c r="J70" s="4495"/>
      <c r="L70" s="389">
        <f>'Part VI-Pro Forma'!K72</f>
        <v>2183963.8801548667</v>
      </c>
      <c r="M70" s="4511" t="s">
        <v>3065</v>
      </c>
      <c r="N70" s="4512"/>
    </row>
    <row r="71" spans="1:17" ht="6" customHeight="1">
      <c r="A71" s="2509"/>
    </row>
    <row r="72" spans="1:17" ht="15">
      <c r="A72" s="2509" t="s">
        <v>3066</v>
      </c>
    </row>
    <row r="73" spans="1:17" ht="72.599999999999994" customHeight="1">
      <c r="A73" s="4495" t="s">
        <v>3067</v>
      </c>
      <c r="B73" s="4495"/>
      <c r="C73" s="4495"/>
      <c r="D73" s="4495"/>
      <c r="E73" s="4495"/>
      <c r="F73" s="4495"/>
      <c r="G73" s="4495"/>
      <c r="H73" s="4495"/>
      <c r="I73" s="4495"/>
      <c r="J73" s="4495"/>
    </row>
    <row r="74" spans="1:17" ht="36" customHeight="1">
      <c r="A74" s="4495" t="s">
        <v>3068</v>
      </c>
      <c r="B74" s="4495"/>
      <c r="C74" s="4495"/>
      <c r="D74" s="4495"/>
      <c r="E74" s="4495"/>
      <c r="F74" s="4495"/>
      <c r="G74" s="4495"/>
      <c r="H74" s="4495"/>
      <c r="I74" s="4495"/>
      <c r="J74" s="4495"/>
    </row>
    <row r="75" spans="1:17" ht="6" customHeight="1">
      <c r="A75" s="2509"/>
    </row>
    <row r="76" spans="1:17" ht="15">
      <c r="A76" s="2509" t="s">
        <v>3069</v>
      </c>
    </row>
    <row r="77" spans="1:17" ht="105.75" customHeight="1">
      <c r="A77" s="4495" t="s">
        <v>3070</v>
      </c>
      <c r="B77" s="4495"/>
      <c r="C77" s="4495"/>
      <c r="D77" s="4495"/>
      <c r="E77" s="4495"/>
      <c r="F77" s="4495"/>
      <c r="G77" s="4495"/>
      <c r="H77" s="4495"/>
      <c r="I77" s="4495"/>
      <c r="J77" s="4495"/>
    </row>
    <row r="78" spans="1:17" ht="6" customHeight="1">
      <c r="A78" s="2509"/>
    </row>
    <row r="79" spans="1:17" ht="15">
      <c r="A79" s="2509" t="s">
        <v>3071</v>
      </c>
    </row>
    <row r="80" spans="1:17" ht="66" customHeight="1">
      <c r="A80" s="4495" t="s">
        <v>3072</v>
      </c>
      <c r="B80" s="4495"/>
      <c r="C80" s="4495"/>
      <c r="D80" s="4495"/>
      <c r="E80" s="4495"/>
      <c r="F80" s="4495"/>
      <c r="G80" s="4495"/>
      <c r="H80" s="4495"/>
      <c r="I80" s="4495"/>
      <c r="J80" s="4495"/>
    </row>
    <row r="81" spans="1:15" s="916" customFormat="1" ht="6" customHeight="1">
      <c r="A81" s="4495"/>
      <c r="B81" s="4495"/>
      <c r="C81" s="4495"/>
      <c r="D81" s="4495"/>
      <c r="E81" s="4495"/>
      <c r="F81" s="4495"/>
      <c r="G81" s="4495"/>
      <c r="H81" s="4495"/>
      <c r="I81" s="4495"/>
      <c r="J81" s="4495"/>
      <c r="K81" s="2613"/>
      <c r="L81" s="2613"/>
      <c r="M81" s="2613"/>
      <c r="N81" s="2613"/>
      <c r="O81" s="2613"/>
    </row>
    <row r="82" spans="1:15" ht="16.5" customHeight="1">
      <c r="A82" s="2614" t="s">
        <v>3073</v>
      </c>
      <c r="B82" s="380"/>
      <c r="C82" s="380"/>
      <c r="D82" s="2615"/>
      <c r="E82" s="380"/>
      <c r="F82" s="380"/>
      <c r="G82" s="380"/>
      <c r="H82" s="380"/>
      <c r="I82" s="380"/>
      <c r="J82" s="390"/>
    </row>
    <row r="83" spans="1:15" s="916" customFormat="1" ht="63" customHeight="1">
      <c r="A83" s="4495" t="s">
        <v>3074</v>
      </c>
      <c r="B83" s="4495"/>
      <c r="C83" s="4495"/>
      <c r="D83" s="4495"/>
      <c r="E83" s="4495"/>
      <c r="F83" s="4495"/>
      <c r="G83" s="4495"/>
      <c r="H83" s="4495"/>
      <c r="I83" s="4495"/>
      <c r="J83" s="4495"/>
      <c r="K83" s="2613"/>
      <c r="L83" s="2613"/>
      <c r="M83" s="2613"/>
      <c r="N83" s="2613"/>
      <c r="O83" s="2613"/>
    </row>
    <row r="84" spans="1:15" s="916" customFormat="1" ht="6" customHeight="1">
      <c r="A84" s="2609"/>
      <c r="B84" s="2609"/>
      <c r="C84" s="2609"/>
      <c r="D84" s="2609"/>
      <c r="E84" s="2609"/>
      <c r="F84" s="2609"/>
      <c r="G84" s="2609"/>
      <c r="H84" s="2609"/>
      <c r="I84" s="2609"/>
      <c r="J84" s="2609"/>
      <c r="K84" s="2613"/>
      <c r="L84" s="2613"/>
      <c r="M84" s="2613"/>
      <c r="N84" s="2613"/>
      <c r="O84" s="2613"/>
    </row>
    <row r="85" spans="1:15" ht="16.5" customHeight="1">
      <c r="A85" s="4514" t="s">
        <v>3075</v>
      </c>
      <c r="B85" s="4515"/>
      <c r="C85" s="4515"/>
      <c r="D85" s="380"/>
      <c r="E85" s="380"/>
      <c r="F85" s="380"/>
      <c r="G85" s="380"/>
      <c r="H85" s="380"/>
      <c r="I85" s="380"/>
      <c r="J85" s="390"/>
    </row>
    <row r="86" spans="1:15" ht="41.25" customHeight="1">
      <c r="A86" s="4495" t="s">
        <v>3076</v>
      </c>
      <c r="B86" s="4516"/>
      <c r="C86" s="4516"/>
      <c r="D86" s="4516"/>
      <c r="E86" s="4516"/>
      <c r="F86" s="4516"/>
      <c r="G86" s="4516"/>
      <c r="H86" s="4516"/>
      <c r="I86" s="4516"/>
      <c r="J86" s="4516"/>
    </row>
    <row r="87" spans="1:15" ht="6" customHeight="1">
      <c r="A87" s="391"/>
      <c r="B87" s="380"/>
      <c r="C87" s="380"/>
      <c r="D87" s="380"/>
      <c r="E87" s="380"/>
      <c r="F87" s="380"/>
      <c r="G87" s="380"/>
      <c r="H87" s="380"/>
      <c r="I87" s="380"/>
      <c r="J87" s="390"/>
    </row>
    <row r="88" spans="1:15" ht="15">
      <c r="A88" s="2509" t="s">
        <v>3077</v>
      </c>
    </row>
    <row r="89" spans="1:15" ht="124.15" customHeight="1">
      <c r="A89" s="4495" t="s">
        <v>3078</v>
      </c>
      <c r="B89" s="4495"/>
      <c r="C89" s="4495"/>
      <c r="D89" s="4495"/>
      <c r="E89" s="4495"/>
      <c r="F89" s="4495"/>
      <c r="G89" s="4495"/>
      <c r="H89" s="4495"/>
      <c r="I89" s="4495"/>
      <c r="J89" s="4495"/>
      <c r="L89" s="4512" t="s">
        <v>3079</v>
      </c>
      <c r="M89" s="4512"/>
      <c r="N89" s="4512"/>
    </row>
    <row r="90" spans="1:15" ht="6" customHeight="1">
      <c r="A90" s="2609"/>
      <c r="B90" s="2609"/>
      <c r="C90" s="2609"/>
      <c r="D90" s="2609"/>
      <c r="E90" s="2609"/>
      <c r="F90" s="2609"/>
      <c r="G90" s="2609"/>
      <c r="H90" s="2609"/>
      <c r="I90" s="2609"/>
      <c r="J90" s="2609"/>
      <c r="L90" s="2612"/>
      <c r="M90" s="2612"/>
      <c r="N90" s="2612"/>
    </row>
    <row r="91" spans="1:15" ht="17.25" customHeight="1">
      <c r="A91" s="2509" t="s">
        <v>3080</v>
      </c>
    </row>
    <row r="92" spans="1:15" ht="105" customHeight="1">
      <c r="A92" s="4495" t="s">
        <v>3081</v>
      </c>
      <c r="B92" s="4495"/>
      <c r="C92" s="4495"/>
      <c r="D92" s="4495"/>
      <c r="E92" s="4495"/>
      <c r="F92" s="4495"/>
      <c r="G92" s="4495"/>
      <c r="H92" s="4495"/>
      <c r="I92" s="4495"/>
      <c r="J92" s="4495"/>
      <c r="L92" s="4512" t="s">
        <v>3082</v>
      </c>
      <c r="M92" s="4512"/>
      <c r="N92" s="392" t="e">
        <f>'After-Tax Analysis'!G66</f>
        <v>#VALUE!</v>
      </c>
      <c r="O92" s="393" t="s">
        <v>3083</v>
      </c>
    </row>
    <row r="93" spans="1:15" ht="6" customHeight="1">
      <c r="A93" s="2509"/>
    </row>
    <row r="94" spans="1:15" ht="15">
      <c r="A94" s="2509" t="s">
        <v>3084</v>
      </c>
    </row>
    <row r="95" spans="1:15" ht="118.5" customHeight="1">
      <c r="A95" s="4495" t="s">
        <v>3085</v>
      </c>
      <c r="B95" s="4495"/>
      <c r="C95" s="4495"/>
      <c r="D95" s="4495"/>
      <c r="E95" s="4495"/>
      <c r="F95" s="4495"/>
      <c r="G95" s="4495"/>
      <c r="H95" s="4495"/>
      <c r="I95" s="4495"/>
      <c r="J95" s="4495"/>
    </row>
    <row r="96" spans="1:15" ht="20.25" customHeight="1">
      <c r="A96" s="4497" t="s">
        <v>3086</v>
      </c>
      <c r="B96" s="4497"/>
      <c r="C96" s="4497"/>
      <c r="D96" s="4495"/>
      <c r="E96" s="2609"/>
      <c r="F96" s="2609"/>
      <c r="G96" s="2609"/>
      <c r="H96" s="2609"/>
      <c r="I96" s="2609"/>
      <c r="J96" s="2609"/>
    </row>
    <row r="97" spans="1:14" ht="109.5" customHeight="1">
      <c r="A97" s="4507" t="s">
        <v>3087</v>
      </c>
      <c r="B97" s="4508"/>
      <c r="C97" s="4508"/>
      <c r="D97" s="4508"/>
      <c r="E97" s="4508"/>
      <c r="F97" s="4508"/>
      <c r="G97" s="4508"/>
      <c r="H97" s="4508"/>
      <c r="I97" s="4508"/>
      <c r="J97" s="4508"/>
    </row>
    <row r="98" spans="1:14" ht="11.25" customHeight="1">
      <c r="A98" s="2509"/>
    </row>
    <row r="99" spans="1:14" ht="15">
      <c r="A99" s="2509" t="s">
        <v>3088</v>
      </c>
    </row>
    <row r="100" spans="1:14" ht="110.65" customHeight="1">
      <c r="A100" s="4510" t="s">
        <v>3089</v>
      </c>
      <c r="B100" s="4510"/>
      <c r="C100" s="4510"/>
      <c r="D100" s="4510"/>
      <c r="E100" s="4510"/>
      <c r="F100" s="4510"/>
      <c r="G100" s="4510"/>
      <c r="H100" s="4510"/>
      <c r="I100" s="4510"/>
      <c r="J100" s="4510"/>
      <c r="L100" s="732">
        <f>'Part VI-Pro Forma'!K72</f>
        <v>2183963.8801548667</v>
      </c>
      <c r="M100" s="4513" t="s">
        <v>3090</v>
      </c>
      <c r="N100" s="4513"/>
    </row>
    <row r="101" spans="1:14" ht="11.25" hidden="1" customHeight="1">
      <c r="A101" s="2609"/>
      <c r="B101" s="2609"/>
      <c r="C101" s="2609"/>
      <c r="D101" s="2609"/>
      <c r="E101" s="2609"/>
      <c r="F101" s="2609"/>
      <c r="G101" s="2609"/>
      <c r="H101" s="2609"/>
      <c r="I101" s="2609"/>
      <c r="J101" s="2609"/>
    </row>
    <row r="102" spans="1:14" ht="12" hidden="1" customHeight="1">
      <c r="A102" s="2609"/>
      <c r="B102" s="2609"/>
      <c r="C102" s="2609"/>
      <c r="D102" s="2609"/>
      <c r="E102" s="2609"/>
      <c r="F102" s="2609"/>
      <c r="G102" s="2609"/>
      <c r="H102" s="2609"/>
      <c r="I102" s="2609"/>
      <c r="J102" s="390"/>
    </row>
    <row r="103" spans="1:14" ht="6" customHeight="1">
      <c r="A103" s="2609"/>
      <c r="B103" s="2609"/>
      <c r="C103" s="2609"/>
      <c r="D103" s="2609"/>
      <c r="E103" s="2609"/>
      <c r="F103" s="2609"/>
      <c r="G103" s="2609"/>
      <c r="H103" s="2609"/>
      <c r="I103" s="2609"/>
      <c r="J103" s="390"/>
    </row>
    <row r="104" spans="1:14" ht="17.25" customHeight="1">
      <c r="A104" s="4497" t="s">
        <v>3091</v>
      </c>
      <c r="B104" s="4497"/>
      <c r="C104" s="4497"/>
      <c r="D104" s="2609"/>
      <c r="E104" s="2609"/>
      <c r="F104" s="2609"/>
      <c r="G104" s="2609"/>
      <c r="H104" s="2609"/>
      <c r="I104" s="2609"/>
      <c r="J104" s="390"/>
    </row>
    <row r="105" spans="1:14" ht="37.5" customHeight="1">
      <c r="A105" s="4495" t="s">
        <v>3092</v>
      </c>
      <c r="B105" s="4495"/>
      <c r="C105" s="4495"/>
      <c r="D105" s="4495"/>
      <c r="E105" s="4495"/>
      <c r="F105" s="4495"/>
      <c r="G105" s="4495"/>
      <c r="H105" s="4495"/>
      <c r="I105" s="4495"/>
      <c r="J105" s="4495"/>
    </row>
    <row r="106" spans="1:14" ht="6" customHeight="1">
      <c r="A106" s="2509"/>
    </row>
    <row r="107" spans="1:14" ht="15">
      <c r="A107" s="2509" t="s">
        <v>3093</v>
      </c>
    </row>
    <row r="108" spans="1:14" ht="43.5" customHeight="1">
      <c r="A108" s="4495" t="s">
        <v>3094</v>
      </c>
      <c r="B108" s="4495"/>
      <c r="C108" s="4495"/>
      <c r="D108" s="4495"/>
      <c r="E108" s="4495"/>
      <c r="F108" s="4495"/>
      <c r="G108" s="4495"/>
      <c r="H108" s="4495"/>
      <c r="I108" s="4495"/>
      <c r="J108" s="4495"/>
    </row>
    <row r="109" spans="1:14" ht="6" customHeight="1">
      <c r="A109" s="2609"/>
      <c r="B109" s="2609"/>
      <c r="C109" s="2609"/>
      <c r="D109" s="2609"/>
      <c r="E109" s="2609"/>
      <c r="F109" s="2609"/>
      <c r="G109" s="2609"/>
      <c r="H109" s="2609"/>
      <c r="I109" s="2609"/>
      <c r="J109" s="2609"/>
    </row>
    <row r="110" spans="1:14" ht="15">
      <c r="A110" s="2509" t="s">
        <v>3095</v>
      </c>
    </row>
    <row r="112" spans="1:14" ht="18.75" thickBot="1">
      <c r="A112" s="375" t="s">
        <v>3096</v>
      </c>
      <c r="G112" s="1093"/>
      <c r="H112" s="375" t="s">
        <v>3097</v>
      </c>
    </row>
    <row r="115" spans="1:10" ht="13.9" customHeight="1" thickBot="1">
      <c r="G115" s="1093"/>
      <c r="H115" s="375" t="s">
        <v>3098</v>
      </c>
    </row>
    <row r="116" spans="1:10">
      <c r="A116" s="375" t="s">
        <v>3099</v>
      </c>
    </row>
    <row r="119" spans="1:10" ht="15" thickBot="1">
      <c r="A119" s="394"/>
      <c r="B119" s="394"/>
      <c r="C119" s="394"/>
      <c r="D119" s="394"/>
      <c r="F119" s="394"/>
      <c r="G119" s="394"/>
      <c r="H119" s="394"/>
      <c r="I119" s="394"/>
      <c r="J119" s="394"/>
    </row>
    <row r="120" spans="1:10">
      <c r="A120" s="4505" t="s">
        <v>3100</v>
      </c>
      <c r="B120" s="4505"/>
      <c r="C120" s="4505"/>
      <c r="D120" s="4505"/>
      <c r="E120" s="4506"/>
      <c r="F120" s="1091" t="s">
        <v>3101</v>
      </c>
      <c r="G120" s="1091"/>
      <c r="H120" s="1091"/>
      <c r="I120" s="1091"/>
      <c r="J120" s="1091"/>
    </row>
    <row r="122" spans="1:10" ht="15" thickBot="1">
      <c r="A122" s="375" t="s">
        <v>3102</v>
      </c>
      <c r="B122" s="394"/>
      <c r="C122" s="394"/>
      <c r="H122" s="375" t="s">
        <v>3102</v>
      </c>
      <c r="I122" s="1092"/>
    </row>
    <row r="210" spans="1:1">
      <c r="A210" s="375"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6" customFormat="1" ht="18">
      <c r="A1" s="726" t="s">
        <v>3103</v>
      </c>
      <c r="B1" s="401"/>
      <c r="C1" s="401"/>
      <c r="D1" s="401"/>
      <c r="E1" s="401"/>
      <c r="F1" s="401"/>
      <c r="G1" s="401"/>
      <c r="H1" s="401"/>
      <c r="I1" s="401"/>
      <c r="J1" s="401"/>
      <c r="K1" s="401"/>
      <c r="L1" s="369"/>
      <c r="M1" s="369"/>
    </row>
    <row r="2" spans="1:14" s="6" customFormat="1" ht="18">
      <c r="A2" s="726" t="str">
        <f>+"Financial Analysis for:  "&amp;E8&amp;"  "&amp;C8</f>
        <v>Financial Analysis for:  2024-0  Finley Place</v>
      </c>
      <c r="B2" s="401"/>
      <c r="C2" s="401"/>
      <c r="D2" s="401"/>
      <c r="E2" s="401"/>
      <c r="F2" s="401"/>
      <c r="G2" s="401"/>
      <c r="H2" s="401"/>
      <c r="I2" s="401"/>
      <c r="J2" s="401"/>
      <c r="K2" s="401"/>
      <c r="L2" s="369"/>
      <c r="M2" s="369"/>
    </row>
    <row r="5" spans="1:14" ht="15.75">
      <c r="A5" s="396"/>
      <c r="B5" s="397"/>
      <c r="C5" s="398"/>
      <c r="D5" s="397"/>
      <c r="E5" s="397"/>
      <c r="F5" s="396"/>
      <c r="G5" s="397"/>
      <c r="H5" s="398"/>
      <c r="I5" s="397"/>
      <c r="J5" s="397"/>
      <c r="K5" s="397"/>
      <c r="L5" s="397"/>
      <c r="M5" s="2508"/>
    </row>
    <row r="7" spans="1:14" ht="15.75">
      <c r="A7" s="424" t="s">
        <v>3104</v>
      </c>
      <c r="B7" s="417"/>
      <c r="C7" s="1531"/>
      <c r="D7" s="417"/>
      <c r="E7" s="417"/>
      <c r="F7" s="424" t="s">
        <v>3105</v>
      </c>
      <c r="G7" s="417"/>
      <c r="H7" s="4520"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520"/>
      <c r="J7" s="4520"/>
      <c r="K7" s="4520"/>
      <c r="L7" s="417"/>
      <c r="M7" s="2508"/>
    </row>
    <row r="8" spans="1:14" ht="15.75">
      <c r="A8" s="424" t="s">
        <v>3106</v>
      </c>
      <c r="B8" s="424"/>
      <c r="C8" s="4520" t="str">
        <f>'Part I-Project Identification'!$F$26</f>
        <v>Finley Place</v>
      </c>
      <c r="D8" s="4520"/>
      <c r="E8" s="2616" t="str">
        <f>'Part I-Project Identification'!$O$7</f>
        <v>2024-0</v>
      </c>
      <c r="F8" s="424" t="s">
        <v>3107</v>
      </c>
      <c r="G8" s="417"/>
      <c r="H8" s="4520" t="str">
        <f>CONCATENATE('Part I-Project Identification'!$F$27,", ",'Part I-Project Identification'!$J$27)</f>
        <v>Austell, Cobb</v>
      </c>
      <c r="I8" s="4520"/>
      <c r="J8" s="4520"/>
      <c r="K8" s="4520"/>
      <c r="L8" s="417"/>
      <c r="M8" s="399"/>
    </row>
    <row r="9" spans="1:14" ht="15.75">
      <c r="A9" s="424" t="s">
        <v>3108</v>
      </c>
      <c r="B9" s="424"/>
      <c r="C9" s="4520" t="s">
        <v>730</v>
      </c>
      <c r="D9" s="4520"/>
      <c r="E9" s="417"/>
      <c r="F9" s="424" t="s">
        <v>3109</v>
      </c>
      <c r="G9" s="417"/>
      <c r="H9" s="4529"/>
      <c r="I9" s="4529"/>
      <c r="J9" s="4529"/>
      <c r="K9" s="4529"/>
      <c r="L9" s="4529"/>
      <c r="M9" s="399"/>
    </row>
    <row r="10" spans="1:14" ht="15.75">
      <c r="A10" s="424" t="s">
        <v>3110</v>
      </c>
      <c r="B10" s="417"/>
      <c r="C10" s="4530"/>
      <c r="D10" s="4530"/>
      <c r="E10" s="417"/>
      <c r="F10" s="424" t="s">
        <v>3111</v>
      </c>
      <c r="G10" s="417"/>
      <c r="H10" s="4525"/>
      <c r="I10" s="4525"/>
      <c r="J10" s="4525"/>
      <c r="K10" s="4525"/>
      <c r="L10" s="4525"/>
    </row>
    <row r="11" spans="1:14" ht="15.75">
      <c r="A11" s="424" t="s">
        <v>3112</v>
      </c>
      <c r="B11" s="417"/>
      <c r="C11" s="4524"/>
      <c r="D11" s="4524"/>
      <c r="E11" s="1542"/>
      <c r="F11" s="424" t="s">
        <v>227</v>
      </c>
      <c r="G11" s="417"/>
      <c r="H11" s="4525"/>
      <c r="I11" s="4525"/>
      <c r="J11" s="4525"/>
      <c r="K11" s="4525"/>
      <c r="L11" s="4525"/>
      <c r="M11" s="4526"/>
      <c r="N11" s="4527"/>
    </row>
    <row r="12" spans="1:14" ht="15.75">
      <c r="A12" s="424" t="s">
        <v>3113</v>
      </c>
      <c r="B12" s="417"/>
      <c r="C12" s="4524"/>
      <c r="D12" s="4524"/>
      <c r="E12" s="417"/>
      <c r="F12" s="424" t="s">
        <v>3114</v>
      </c>
      <c r="G12" s="417"/>
      <c r="H12" s="4524"/>
      <c r="I12" s="4524"/>
      <c r="J12" s="4524"/>
      <c r="K12" s="4524"/>
      <c r="L12" s="4524"/>
      <c r="M12" s="2508"/>
    </row>
    <row r="13" spans="1:14" ht="15.75">
      <c r="A13" s="424" t="s">
        <v>3115</v>
      </c>
      <c r="B13" s="424"/>
      <c r="C13" s="1532">
        <f>'Part V-Revenues &amp; Expenses'!$P$67</f>
        <v>58</v>
      </c>
      <c r="D13" s="11"/>
      <c r="E13" s="1533">
        <f>'Part V-Revenues &amp; Expenses'!$P$63</f>
        <v>52</v>
      </c>
      <c r="F13" s="424" t="s">
        <v>3116</v>
      </c>
      <c r="G13" s="417"/>
      <c r="H13" s="1541"/>
      <c r="I13" s="1535"/>
      <c r="J13" s="1535"/>
      <c r="K13" s="1534">
        <f>'Part V-Revenues &amp; Expenses'!$K$179</f>
        <v>49144</v>
      </c>
      <c r="L13" s="417"/>
      <c r="M13" s="2508"/>
    </row>
    <row r="14" spans="1:14" ht="15.75">
      <c r="A14" s="424" t="s">
        <v>3117</v>
      </c>
      <c r="B14" s="417"/>
      <c r="C14" s="1534" t="str">
        <f>'Part VII-Threshold Criteria OLD'!J35</f>
        <v>&lt;&lt; Select PROPOSED Tenancy &gt;&gt;</v>
      </c>
      <c r="D14" s="4520" t="str">
        <f>IF('Part VII-Threshold Criteria OLD'!$N$35=0,"",'Part VII-Threshold Criteria OLD'!$N$35)</f>
        <v/>
      </c>
      <c r="E14" s="4520"/>
      <c r="F14" s="424" t="s">
        <v>3118</v>
      </c>
      <c r="G14" s="417"/>
      <c r="H14" s="4528" t="s">
        <v>3119</v>
      </c>
      <c r="I14" s="4528"/>
      <c r="J14" s="4528"/>
      <c r="K14" s="4528" t="s">
        <v>3119</v>
      </c>
      <c r="L14" s="4528"/>
      <c r="M14" s="2508"/>
    </row>
    <row r="15" spans="1:14" ht="15.75">
      <c r="A15" s="424" t="s">
        <v>3120</v>
      </c>
      <c r="B15" s="417"/>
      <c r="C15" s="1536" t="s">
        <v>730</v>
      </c>
      <c r="D15" s="417"/>
      <c r="E15" s="417"/>
      <c r="F15" s="424" t="s">
        <v>3121</v>
      </c>
      <c r="G15" s="417"/>
      <c r="H15" s="2616" t="str">
        <f>'Part I-Project Identification'!K29</f>
        <v>Urban</v>
      </c>
      <c r="I15" s="417"/>
      <c r="J15" s="417"/>
      <c r="K15" s="417"/>
      <c r="L15" s="417"/>
      <c r="M15" s="2508"/>
    </row>
    <row r="16" spans="1:14" ht="15.75">
      <c r="A16" s="424" t="s">
        <v>3122</v>
      </c>
      <c r="B16" s="417"/>
      <c r="C16" s="2616">
        <f>'Part VIII Scoring Criteria OLD'!$P$42</f>
        <v>0</v>
      </c>
      <c r="D16" s="1537" t="s">
        <v>2140</v>
      </c>
      <c r="E16" s="2616">
        <f>'Part VIII Scoring Criteria OLD'!$P$48</f>
        <v>0</v>
      </c>
      <c r="F16" s="424"/>
      <c r="G16" s="417"/>
      <c r="H16" s="417"/>
      <c r="I16" s="417"/>
      <c r="J16" s="417"/>
      <c r="K16" s="417"/>
      <c r="L16" s="417"/>
      <c r="M16" s="2508"/>
    </row>
    <row r="17" spans="1:13" ht="15">
      <c r="A17" s="417"/>
      <c r="B17" s="417"/>
      <c r="C17" s="417"/>
      <c r="D17" s="417"/>
      <c r="E17" s="417"/>
      <c r="F17" s="417"/>
      <c r="G17" s="417"/>
      <c r="H17" s="417"/>
      <c r="I17" s="417"/>
      <c r="J17" s="417"/>
      <c r="K17" s="417"/>
      <c r="L17" s="417"/>
      <c r="M17" s="2508"/>
    </row>
    <row r="18" spans="1:13" ht="15.75">
      <c r="A18" s="424" t="s">
        <v>3123</v>
      </c>
      <c r="B18" s="417"/>
      <c r="C18" s="2617">
        <f>'Part III-A-Uses of Funds'!$G$146</f>
        <v>22230470</v>
      </c>
      <c r="D18" s="1538">
        <f>IF(C18=0,"",$C$29/C18)</f>
        <v>0.13989843669522056</v>
      </c>
      <c r="E18" s="417" t="s">
        <v>3124</v>
      </c>
      <c r="F18" s="424" t="s">
        <v>3125</v>
      </c>
      <c r="G18" s="417"/>
      <c r="H18" s="4519">
        <f>'Part III-A-Uses of Funds'!$C$49</f>
        <v>14368887</v>
      </c>
      <c r="I18" s="4519"/>
      <c r="J18" s="1539">
        <f>IF(H18=0,"",$C$29/H18)</f>
        <v>0.21644042436968153</v>
      </c>
      <c r="K18" s="4520" t="s">
        <v>3126</v>
      </c>
      <c r="L18" s="4520"/>
      <c r="M18" s="2508"/>
    </row>
    <row r="19" spans="1:13" ht="15.75">
      <c r="A19" s="424" t="s">
        <v>3127</v>
      </c>
      <c r="B19" s="417"/>
      <c r="C19" s="2618">
        <f>C18/C13</f>
        <v>383283.96551724139</v>
      </c>
      <c r="D19" s="417"/>
      <c r="E19" s="417"/>
      <c r="F19" s="424" t="s">
        <v>3127</v>
      </c>
      <c r="G19" s="417"/>
      <c r="H19" s="4521">
        <f>H18/C13</f>
        <v>247739.43103448275</v>
      </c>
      <c r="I19" s="4521"/>
      <c r="J19" s="417"/>
      <c r="K19" s="417"/>
      <c r="L19" s="417"/>
      <c r="M19" s="2508"/>
    </row>
    <row r="20" spans="1:13" ht="15.75">
      <c r="A20" s="424" t="s">
        <v>3128</v>
      </c>
      <c r="B20" s="417"/>
      <c r="C20" s="2616">
        <f>C18/K13</f>
        <v>452.35369526290089</v>
      </c>
      <c r="D20" s="1540"/>
      <c r="E20" s="1540"/>
      <c r="F20" s="424" t="s">
        <v>3128</v>
      </c>
      <c r="G20" s="417"/>
      <c r="H20" s="4520">
        <f>H18/K13</f>
        <v>292.38334282923654</v>
      </c>
      <c r="I20" s="4521"/>
      <c r="J20" s="417"/>
      <c r="K20" s="417"/>
      <c r="L20" s="417"/>
      <c r="M20" s="2508"/>
    </row>
    <row r="21" spans="1:13" ht="15.75">
      <c r="A21" s="369"/>
      <c r="B21" s="2508"/>
      <c r="C21" s="400"/>
      <c r="D21" s="2508"/>
      <c r="E21" s="2508"/>
      <c r="F21" s="369"/>
      <c r="G21" s="2508"/>
      <c r="H21" s="400"/>
      <c r="I21" s="2508"/>
      <c r="J21" s="2508"/>
      <c r="K21" s="2508"/>
      <c r="L21" s="2508"/>
      <c r="M21" s="2508"/>
    </row>
    <row r="22" spans="1:13" ht="15">
      <c r="A22" s="397"/>
      <c r="B22" s="397"/>
      <c r="C22" s="397"/>
      <c r="D22" s="397"/>
      <c r="E22" s="397"/>
      <c r="F22" s="397"/>
      <c r="G22" s="397"/>
      <c r="H22" s="397"/>
      <c r="I22" s="397"/>
      <c r="J22" s="397"/>
      <c r="K22" s="397"/>
      <c r="L22" s="397"/>
      <c r="M22" s="399"/>
    </row>
    <row r="23" spans="1:13" ht="15.75">
      <c r="A23" s="401" t="s">
        <v>3129</v>
      </c>
      <c r="B23" s="395"/>
      <c r="C23" s="395"/>
      <c r="D23" s="395"/>
      <c r="E23" s="2508"/>
      <c r="F23" s="2508"/>
      <c r="G23" s="2508"/>
      <c r="H23" s="2508"/>
      <c r="I23" s="2508"/>
      <c r="J23" s="2508"/>
      <c r="K23" s="2508"/>
      <c r="L23" s="2508"/>
      <c r="M23" s="399"/>
    </row>
    <row r="24" spans="1:13" ht="27" customHeight="1">
      <c r="A24" s="2508"/>
      <c r="B24" s="2508"/>
      <c r="C24" s="2508"/>
      <c r="D24" s="402" t="s">
        <v>3130</v>
      </c>
      <c r="E24" s="2508"/>
      <c r="F24" s="2508"/>
      <c r="G24" s="2508"/>
      <c r="H24" s="2508"/>
      <c r="I24" s="2508"/>
      <c r="J24" s="2508"/>
      <c r="K24" s="2508"/>
      <c r="L24" s="2508"/>
      <c r="M24" s="399"/>
    </row>
    <row r="25" spans="1:13" ht="15.75">
      <c r="A25" s="369" t="s">
        <v>3131</v>
      </c>
      <c r="B25" s="403" t="str">
        <f>'Part II-Sources of Funds'!E40</f>
        <v>Truist Bank</v>
      </c>
      <c r="C25" s="404">
        <f>'Part II-Sources of Funds'!I40</f>
        <v>3110008</v>
      </c>
      <c r="D25" s="405" t="s">
        <v>3132</v>
      </c>
      <c r="E25" s="2508"/>
      <c r="F25" s="2508"/>
      <c r="G25" s="2508" t="s">
        <v>3133</v>
      </c>
      <c r="H25" s="2508"/>
      <c r="I25" s="2508"/>
      <c r="K25" s="404"/>
      <c r="L25" s="2508"/>
      <c r="M25" s="399"/>
    </row>
    <row r="26" spans="1:13" ht="15">
      <c r="A26" s="2508"/>
      <c r="B26" s="403"/>
      <c r="C26" s="404"/>
      <c r="D26" s="405"/>
      <c r="E26" s="2508"/>
      <c r="F26" s="2508"/>
      <c r="G26" s="2508" t="s">
        <v>3134</v>
      </c>
      <c r="H26" s="2508"/>
      <c r="I26" s="2508"/>
      <c r="K26" s="406" t="e">
        <f>C29/K25</f>
        <v>#DIV/0!</v>
      </c>
      <c r="L26" s="2508"/>
      <c r="M26" s="2508"/>
    </row>
    <row r="27" spans="1:13" ht="15">
      <c r="A27" s="2508"/>
      <c r="B27" s="403"/>
      <c r="C27" s="404"/>
      <c r="D27" s="405"/>
      <c r="E27" s="2508"/>
      <c r="F27" s="2508"/>
      <c r="G27" s="2508"/>
      <c r="H27" s="2508"/>
      <c r="I27" s="2508"/>
      <c r="K27" s="2508"/>
      <c r="L27" s="2508"/>
      <c r="M27" s="2508"/>
    </row>
    <row r="28" spans="1:13" ht="15">
      <c r="A28" s="2508"/>
      <c r="B28" s="2508"/>
      <c r="C28" s="2508"/>
      <c r="D28" s="2508"/>
      <c r="E28" s="2508"/>
      <c r="F28" s="2508"/>
      <c r="G28" s="2508" t="s">
        <v>3135</v>
      </c>
      <c r="H28" s="2508"/>
      <c r="I28" s="2508"/>
      <c r="K28" s="404"/>
      <c r="L28" s="2508"/>
      <c r="M28" s="2508"/>
    </row>
    <row r="29" spans="1:13" ht="16.5" thickBot="1">
      <c r="A29" s="2508"/>
      <c r="B29" s="407" t="s">
        <v>3136</v>
      </c>
      <c r="C29" s="1530">
        <f>SUM(C25:C27)</f>
        <v>3110008</v>
      </c>
      <c r="D29" s="2508"/>
      <c r="E29" s="2508"/>
      <c r="F29" s="2508"/>
      <c r="G29" s="2508" t="s">
        <v>3137</v>
      </c>
      <c r="H29" s="2508"/>
      <c r="I29" s="2508"/>
      <c r="K29" s="406" t="e">
        <f>C29/K28</f>
        <v>#DIV/0!</v>
      </c>
      <c r="L29" s="2508"/>
      <c r="M29" s="2508"/>
    </row>
    <row r="30" spans="1:13" ht="16.5" thickTop="1">
      <c r="A30" s="369" t="s">
        <v>3138</v>
      </c>
      <c r="B30" s="407"/>
      <c r="C30" s="408">
        <f>'Part II-Sources of Funds'!$I$51+'Part II-Sources of Funds'!$I$52</f>
        <v>16833964</v>
      </c>
      <c r="D30" s="2508"/>
      <c r="E30" s="2508"/>
      <c r="F30" s="2508"/>
      <c r="G30" s="2508"/>
      <c r="H30" s="2508"/>
      <c r="I30" s="2508"/>
      <c r="K30" s="409"/>
      <c r="L30" s="2508"/>
      <c r="M30" s="2508"/>
    </row>
    <row r="31" spans="1:13" ht="15">
      <c r="A31" s="410" t="s">
        <v>3139</v>
      </c>
      <c r="B31" s="403" t="str">
        <f>'Part II-Sources of Funds'!E41</f>
        <v>Neighborhood Stabilization Program Loan</v>
      </c>
      <c r="C31" s="404">
        <f>'Part II-Sources of Funds'!I41</f>
        <v>2279916</v>
      </c>
      <c r="D31" s="405"/>
      <c r="E31" s="2508"/>
      <c r="F31" s="2508"/>
      <c r="G31" s="2508"/>
      <c r="H31" s="2508"/>
      <c r="I31" s="2508"/>
      <c r="K31" s="2508"/>
      <c r="L31" s="2508"/>
      <c r="M31" s="2508"/>
    </row>
    <row r="32" spans="1:13" ht="15">
      <c r="A32" s="410" t="s">
        <v>3139</v>
      </c>
      <c r="B32" s="403">
        <f>'Part II-Sources of Funds'!E42</f>
        <v>0</v>
      </c>
      <c r="C32" s="404">
        <f>'Part II-Sources of Funds'!I42</f>
        <v>0</v>
      </c>
      <c r="D32" s="405"/>
      <c r="E32" s="2508" t="s">
        <v>3017</v>
      </c>
      <c r="F32" s="2508"/>
      <c r="G32" s="2508" t="s">
        <v>3140</v>
      </c>
      <c r="H32" s="2508"/>
      <c r="I32" s="2508"/>
      <c r="K32" s="404"/>
      <c r="L32" s="2508"/>
      <c r="M32" s="2508"/>
    </row>
    <row r="33" spans="1:13" ht="15">
      <c r="A33" s="410" t="s">
        <v>3139</v>
      </c>
      <c r="B33" s="403">
        <f>'Part II-Sources of Funds'!E43</f>
        <v>0</v>
      </c>
      <c r="C33" s="404">
        <f>'Part II-Sources of Funds'!I43</f>
        <v>0</v>
      </c>
      <c r="D33" s="405"/>
      <c r="E33" s="2508"/>
      <c r="F33" s="2508"/>
      <c r="G33" s="730" t="s">
        <v>3141</v>
      </c>
      <c r="H33" s="730"/>
      <c r="I33" s="730"/>
      <c r="K33" s="406" t="e">
        <f>$C$29/K32</f>
        <v>#DIV/0!</v>
      </c>
      <c r="L33" s="2508"/>
      <c r="M33" s="411"/>
    </row>
    <row r="34" spans="1:13" ht="15.75">
      <c r="A34" s="2508"/>
      <c r="B34" s="407" t="s">
        <v>3142</v>
      </c>
      <c r="C34" s="408">
        <f>SUM(C31:C33)</f>
        <v>2279916</v>
      </c>
      <c r="D34" s="2508"/>
      <c r="E34" s="2508"/>
      <c r="F34" s="2508"/>
      <c r="G34" s="2508"/>
      <c r="H34" s="2508"/>
      <c r="I34" s="2508"/>
      <c r="K34" s="2508"/>
      <c r="L34" s="2508"/>
      <c r="M34" s="411"/>
    </row>
    <row r="35" spans="1:13" ht="15.75">
      <c r="A35" s="2508"/>
      <c r="B35" s="407"/>
      <c r="C35" s="2508"/>
      <c r="D35" s="2508"/>
      <c r="E35" s="2508"/>
      <c r="F35" s="2508"/>
      <c r="G35" s="730" t="s">
        <v>3143</v>
      </c>
      <c r="H35" s="730"/>
      <c r="I35" s="730"/>
      <c r="K35" s="412" t="e">
        <f>(C36)/K25</f>
        <v>#DIV/0!</v>
      </c>
      <c r="L35" s="2508"/>
      <c r="M35" s="2508"/>
    </row>
    <row r="36" spans="1:13" ht="15.75">
      <c r="A36" s="2508"/>
      <c r="B36" s="407" t="s">
        <v>3144</v>
      </c>
      <c r="C36" s="408">
        <f>C29+C34</f>
        <v>5389924</v>
      </c>
      <c r="D36" s="2508"/>
      <c r="E36" s="2508"/>
      <c r="F36" s="2508"/>
      <c r="G36" s="2508"/>
      <c r="H36" s="2508"/>
      <c r="I36" s="2508"/>
      <c r="K36" s="2508"/>
      <c r="L36" s="2508"/>
      <c r="M36" s="2508"/>
    </row>
    <row r="37" spans="1:13" ht="15.75">
      <c r="A37" s="2508"/>
      <c r="B37" s="407"/>
      <c r="C37" s="409"/>
      <c r="D37" s="2508"/>
      <c r="E37" s="2508"/>
      <c r="F37" s="2508"/>
      <c r="G37" s="730" t="s">
        <v>3145</v>
      </c>
      <c r="H37" s="730"/>
      <c r="I37" s="730"/>
      <c r="K37" s="731" t="e">
        <f>+(C36)/K32</f>
        <v>#DIV/0!</v>
      </c>
      <c r="L37" s="2508"/>
      <c r="M37" s="411"/>
    </row>
    <row r="38" spans="1:13" ht="15.75">
      <c r="A38" s="2508"/>
      <c r="B38" s="407" t="s">
        <v>3146</v>
      </c>
      <c r="C38" s="413">
        <f>C36/C18</f>
        <v>0.24245659223579169</v>
      </c>
      <c r="D38" s="2508"/>
      <c r="E38" s="2508"/>
      <c r="F38" s="2508"/>
      <c r="G38" s="2508"/>
      <c r="H38" s="2508"/>
      <c r="I38" s="2508"/>
      <c r="K38" s="2508"/>
      <c r="L38" s="2508"/>
      <c r="M38" s="411"/>
    </row>
    <row r="39" spans="1:13" ht="15.75">
      <c r="A39" s="2508"/>
      <c r="B39" s="407"/>
      <c r="C39" s="409"/>
      <c r="D39" s="2508"/>
      <c r="E39" s="2508"/>
      <c r="F39" s="2508"/>
      <c r="G39" s="2508"/>
      <c r="H39" s="2508"/>
      <c r="I39" s="2508"/>
      <c r="K39" s="2508"/>
      <c r="L39" s="2508"/>
      <c r="M39" s="2508"/>
    </row>
    <row r="40" spans="1:13" ht="15.75">
      <c r="A40" s="2508"/>
      <c r="B40" s="407" t="s">
        <v>3147</v>
      </c>
      <c r="C40" s="413">
        <f>C36/H18</f>
        <v>0.37511075144511891</v>
      </c>
      <c r="D40" s="2508"/>
      <c r="E40" s="2508"/>
      <c r="F40" s="369"/>
      <c r="G40" s="369" t="s">
        <v>3148</v>
      </c>
      <c r="H40" s="2508"/>
      <c r="I40" s="2508"/>
      <c r="K40" s="406">
        <f>C30/C18</f>
        <v>0.75724732765434111</v>
      </c>
      <c r="L40" s="2508"/>
      <c r="M40" s="2508"/>
    </row>
    <row r="46" spans="1:13" ht="15.75">
      <c r="A46" s="401" t="s">
        <v>3149</v>
      </c>
      <c r="B46" s="395"/>
      <c r="C46" s="395"/>
      <c r="D46" s="395"/>
      <c r="E46" s="395"/>
      <c r="F46" s="395"/>
      <c r="G46" s="395"/>
      <c r="H46" s="395"/>
      <c r="I46" s="395"/>
      <c r="J46" s="395"/>
      <c r="K46" s="395"/>
      <c r="L46" s="395"/>
      <c r="M46" s="2508"/>
    </row>
    <row r="47" spans="1:13" ht="15.75">
      <c r="A47" s="401" t="str">
        <f>C8</f>
        <v>Finley Place</v>
      </c>
      <c r="B47" s="395"/>
      <c r="C47" s="395"/>
      <c r="D47" s="395"/>
      <c r="E47" s="395"/>
      <c r="F47" s="395"/>
      <c r="G47" s="395"/>
      <c r="H47" s="395"/>
      <c r="I47" s="395"/>
      <c r="J47" s="395"/>
      <c r="K47" s="395"/>
      <c r="L47" s="395"/>
      <c r="M47" s="2508"/>
    </row>
    <row r="50" spans="1:14" s="367" customFormat="1" ht="15.75">
      <c r="A50" s="369" t="s">
        <v>3150</v>
      </c>
      <c r="B50" s="2508"/>
      <c r="C50" s="411" t="s">
        <v>3151</v>
      </c>
      <c r="D50" s="2508"/>
      <c r="E50" s="414" t="s">
        <v>3152</v>
      </c>
      <c r="F50" s="415">
        <v>0.1</v>
      </c>
      <c r="G50" s="414" t="s">
        <v>3153</v>
      </c>
      <c r="H50" s="415">
        <v>0.05</v>
      </c>
      <c r="I50" s="414" t="s">
        <v>3154</v>
      </c>
      <c r="J50" s="415">
        <v>0.03</v>
      </c>
      <c r="K50" s="4522" t="s">
        <v>3155</v>
      </c>
      <c r="L50" s="4523"/>
      <c r="M50"/>
      <c r="N50"/>
    </row>
    <row r="51" spans="1:14" s="367" customFormat="1" ht="15.75">
      <c r="A51" s="369"/>
      <c r="B51" s="2508"/>
      <c r="C51" s="411"/>
      <c r="D51" s="2508"/>
      <c r="E51" s="411"/>
      <c r="F51" s="416"/>
      <c r="G51" s="411"/>
      <c r="H51" s="416"/>
      <c r="I51" s="411"/>
      <c r="J51" s="416"/>
      <c r="K51" s="411"/>
      <c r="L51" s="2508"/>
      <c r="M51"/>
      <c r="N51"/>
    </row>
    <row r="52" spans="1:14" s="367" customFormat="1" ht="18.75" customHeight="1">
      <c r="A52" s="2508"/>
      <c r="B52" s="417" t="s">
        <v>3156</v>
      </c>
      <c r="C52" s="418">
        <f>'Part VI-Pro Forma'!B15</f>
        <v>813024</v>
      </c>
      <c r="D52" s="418"/>
      <c r="E52" s="418">
        <f>$C$52</f>
        <v>813024</v>
      </c>
      <c r="F52" s="418"/>
      <c r="G52" s="418">
        <f>$C$52</f>
        <v>813024</v>
      </c>
      <c r="H52" s="418"/>
      <c r="I52" s="418">
        <f>$C$52</f>
        <v>813024</v>
      </c>
      <c r="J52" s="418"/>
      <c r="K52" s="418">
        <f>$C$52</f>
        <v>813024</v>
      </c>
      <c r="L52" s="419"/>
      <c r="M52"/>
      <c r="N52"/>
    </row>
    <row r="53" spans="1:14" s="367" customFormat="1" ht="18.75" customHeight="1">
      <c r="A53" s="2508"/>
      <c r="B53" s="417" t="s">
        <v>3157</v>
      </c>
      <c r="C53" s="418">
        <f>'Part VI-Pro Forma'!B16</f>
        <v>16260.48</v>
      </c>
      <c r="D53" s="418"/>
      <c r="E53" s="418">
        <f>$C$53</f>
        <v>16260.48</v>
      </c>
      <c r="F53" s="418"/>
      <c r="G53" s="418">
        <f>$C$53</f>
        <v>16260.48</v>
      </c>
      <c r="H53" s="418"/>
      <c r="I53" s="418">
        <f>$C$53</f>
        <v>16260.48</v>
      </c>
      <c r="J53" s="418"/>
      <c r="K53" s="418">
        <f>$C$53</f>
        <v>16260.48</v>
      </c>
      <c r="L53" s="419"/>
      <c r="M53"/>
      <c r="N53"/>
    </row>
    <row r="54" spans="1:14" s="367" customFormat="1" ht="18.75" customHeight="1">
      <c r="A54" s="2508"/>
      <c r="B54" s="417" t="s">
        <v>3158</v>
      </c>
      <c r="C54" s="418">
        <f>'Part VI-Pro Forma'!B17</f>
        <v>-58049.913600000007</v>
      </c>
      <c r="D54" s="418"/>
      <c r="E54" s="418">
        <f>-($C$52+E53)*F50</f>
        <v>-82928.448000000004</v>
      </c>
      <c r="F54" s="420"/>
      <c r="G54" s="418">
        <f>-($C$52+G53)*0.07</f>
        <v>-58049.913600000007</v>
      </c>
      <c r="H54" s="418"/>
      <c r="I54" s="418">
        <f>-($C$52+I53)*0.07</f>
        <v>-58049.913600000007</v>
      </c>
      <c r="J54" s="418"/>
      <c r="K54" s="418">
        <f>-($C$52+K53)*L54</f>
        <v>-82928.448000000004</v>
      </c>
      <c r="L54" s="421">
        <v>0.1</v>
      </c>
      <c r="M54"/>
      <c r="N54"/>
    </row>
    <row r="55" spans="1:14" s="367" customFormat="1" ht="18.75" customHeight="1">
      <c r="A55" s="2508"/>
      <c r="B55" s="417" t="s">
        <v>3159</v>
      </c>
      <c r="C55" s="418">
        <f>'Part VI-Pro Forma'!B18</f>
        <v>0</v>
      </c>
      <c r="D55" s="418"/>
      <c r="E55" s="418">
        <f>$C$55</f>
        <v>0</v>
      </c>
      <c r="F55" s="420"/>
      <c r="G55" s="418">
        <f>$C$55</f>
        <v>0</v>
      </c>
      <c r="H55" s="418"/>
      <c r="I55" s="418">
        <f>$C$55</f>
        <v>0</v>
      </c>
      <c r="J55" s="418"/>
      <c r="K55" s="418">
        <f>$C$55</f>
        <v>0</v>
      </c>
      <c r="L55" s="422"/>
      <c r="M55"/>
      <c r="N55"/>
    </row>
    <row r="56" spans="1:14" s="367" customFormat="1" ht="18.75" customHeight="1">
      <c r="A56" s="2508"/>
      <c r="B56" s="2822" t="s">
        <v>3160</v>
      </c>
      <c r="C56" s="2823">
        <f>SUM(C52:C55)</f>
        <v>771234.56640000001</v>
      </c>
      <c r="D56" s="418"/>
      <c r="E56" s="2823">
        <f>SUM(E52:E55)</f>
        <v>746356.03200000001</v>
      </c>
      <c r="F56" s="418"/>
      <c r="G56" s="2823">
        <f>SUM(G52:G55)</f>
        <v>771234.56640000001</v>
      </c>
      <c r="H56" s="418"/>
      <c r="I56" s="2823">
        <f>SUM(I52:I55)</f>
        <v>771234.56640000001</v>
      </c>
      <c r="J56" s="418"/>
      <c r="K56" s="2823">
        <f>SUM(K52:K55)</f>
        <v>746356.03200000001</v>
      </c>
      <c r="L56" s="419"/>
      <c r="M56"/>
      <c r="N56"/>
    </row>
    <row r="57" spans="1:14" s="367" customFormat="1" ht="24" customHeight="1">
      <c r="A57" s="2508"/>
      <c r="B57" s="417"/>
      <c r="C57" s="418"/>
      <c r="D57" s="418"/>
      <c r="E57" s="418"/>
      <c r="F57" s="418"/>
      <c r="G57" s="418"/>
      <c r="H57" s="418"/>
      <c r="I57" s="418"/>
      <c r="J57" s="418"/>
      <c r="K57" s="418"/>
      <c r="L57" s="419"/>
      <c r="M57"/>
      <c r="N57"/>
    </row>
    <row r="58" spans="1:14" s="367" customFormat="1" ht="18.75" customHeight="1">
      <c r="A58" s="2508"/>
      <c r="B58" s="417" t="s">
        <v>3161</v>
      </c>
      <c r="C58" s="418">
        <f>+'Part V-Revenues &amp; Expenses'!F228+'Part V-Revenues &amp; Expenses'!F237+'Part V-Revenues &amp; Expenses'!L224+'Part V-Revenues &amp; Expenses'!L232</f>
        <v>15000</v>
      </c>
      <c r="D58" s="418"/>
      <c r="E58" s="418">
        <f>$C$58</f>
        <v>15000</v>
      </c>
      <c r="F58" s="418"/>
      <c r="G58" s="418">
        <f>$C$58</f>
        <v>15000</v>
      </c>
      <c r="H58" s="418"/>
      <c r="I58" s="418">
        <f>$C$58</f>
        <v>15000</v>
      </c>
      <c r="J58" s="418"/>
      <c r="K58" s="418">
        <f>$C$58</f>
        <v>15000</v>
      </c>
      <c r="L58" s="419"/>
      <c r="M58"/>
      <c r="N58"/>
    </row>
    <row r="59" spans="1:14" s="367" customFormat="1" ht="18.75" customHeight="1">
      <c r="A59" s="2508"/>
      <c r="B59" s="417" t="s">
        <v>3162</v>
      </c>
      <c r="C59" s="418">
        <f>+'Part V-Revenues &amp; Expenses'!F248</f>
        <v>15000</v>
      </c>
      <c r="D59" s="418"/>
      <c r="E59" s="418">
        <f>$C$59</f>
        <v>15000</v>
      </c>
      <c r="F59" s="418"/>
      <c r="G59" s="418">
        <f>$C$59</f>
        <v>15000</v>
      </c>
      <c r="H59" s="418"/>
      <c r="I59" s="418">
        <f>$C$59</f>
        <v>15000</v>
      </c>
      <c r="J59" s="418"/>
      <c r="K59" s="418">
        <f>$C$59*(1+$L$59)</f>
        <v>15600</v>
      </c>
      <c r="L59" s="423">
        <v>0.04</v>
      </c>
      <c r="M59"/>
      <c r="N59"/>
    </row>
    <row r="60" spans="1:14" s="367" customFormat="1" ht="18.75" customHeight="1">
      <c r="A60" s="2508"/>
      <c r="B60" s="417" t="s">
        <v>1313</v>
      </c>
      <c r="C60" s="418">
        <f>+'Part V-Revenues &amp; Expenses'!L241</f>
        <v>46500</v>
      </c>
      <c r="D60" s="418"/>
      <c r="E60" s="418">
        <f>$C$60</f>
        <v>46500</v>
      </c>
      <c r="F60" s="418"/>
      <c r="G60" s="418">
        <f>$C$60</f>
        <v>46500</v>
      </c>
      <c r="H60" s="418"/>
      <c r="I60" s="418">
        <f>$C$60*(1+$J$50)</f>
        <v>47895</v>
      </c>
      <c r="J60" s="420"/>
      <c r="K60" s="418">
        <f>$C$60*(1+$J$50)</f>
        <v>47895</v>
      </c>
      <c r="L60" s="421">
        <v>0.03</v>
      </c>
      <c r="M60"/>
      <c r="N60"/>
    </row>
    <row r="61" spans="1:14" s="367" customFormat="1" ht="18.75" customHeight="1">
      <c r="A61" s="2508"/>
      <c r="B61" s="417" t="s">
        <v>1337</v>
      </c>
      <c r="C61" s="418">
        <f>+'Part V-Revenues &amp; Expenses'!L248</f>
        <v>0</v>
      </c>
      <c r="D61" s="418"/>
      <c r="E61" s="418">
        <f>$C$61</f>
        <v>0</v>
      </c>
      <c r="F61" s="418"/>
      <c r="G61" s="418">
        <f>$C$61*(1+H50)</f>
        <v>0</v>
      </c>
      <c r="H61" s="420"/>
      <c r="I61" s="418">
        <f>$C$61</f>
        <v>0</v>
      </c>
      <c r="J61" s="418"/>
      <c r="K61" s="418">
        <f>$C$61*(1+$L$61)</f>
        <v>0</v>
      </c>
      <c r="L61" s="421">
        <v>0.05</v>
      </c>
      <c r="M61"/>
      <c r="N61"/>
    </row>
    <row r="62" spans="1:14" s="367" customFormat="1" ht="18.75" customHeight="1">
      <c r="A62" s="2508"/>
      <c r="B62" s="2822" t="s">
        <v>3163</v>
      </c>
      <c r="C62" s="2823">
        <f>SUM(C58:C61)</f>
        <v>76500</v>
      </c>
      <c r="D62" s="418"/>
      <c r="E62" s="2823">
        <f>SUM(E58:E61)</f>
        <v>76500</v>
      </c>
      <c r="F62" s="418"/>
      <c r="G62" s="2823">
        <f>SUM(G58:G61)</f>
        <v>76500</v>
      </c>
      <c r="H62" s="418"/>
      <c r="I62" s="2823">
        <f>SUM(I58:I61)</f>
        <v>77895</v>
      </c>
      <c r="J62" s="418"/>
      <c r="K62" s="2823">
        <f>SUM(K58:K61)</f>
        <v>78495</v>
      </c>
      <c r="L62" s="417"/>
      <c r="M62"/>
      <c r="N62"/>
    </row>
    <row r="63" spans="1:14" s="367" customFormat="1" ht="24" customHeight="1">
      <c r="A63" s="2508"/>
      <c r="B63" s="417"/>
      <c r="C63" s="418"/>
      <c r="D63" s="418"/>
      <c r="E63" s="418"/>
      <c r="F63" s="418"/>
      <c r="G63" s="418"/>
      <c r="H63" s="418"/>
      <c r="I63" s="418"/>
      <c r="J63" s="418"/>
      <c r="K63" s="418"/>
      <c r="L63" s="417"/>
      <c r="M63"/>
      <c r="N63"/>
    </row>
    <row r="64" spans="1:14" s="367" customFormat="1" ht="15.75">
      <c r="A64"/>
      <c r="B64" s="424" t="s">
        <v>3164</v>
      </c>
      <c r="C64" s="425">
        <f>C56-C62</f>
        <v>694734.56640000001</v>
      </c>
      <c r="D64" s="425"/>
      <c r="E64" s="425">
        <f>E56-E62</f>
        <v>669856.03200000001</v>
      </c>
      <c r="F64" s="425"/>
      <c r="G64" s="425">
        <f>G56-G62</f>
        <v>694734.56640000001</v>
      </c>
      <c r="H64" s="425"/>
      <c r="I64" s="425">
        <f>I56-I62</f>
        <v>693339.56640000001</v>
      </c>
      <c r="J64" s="425"/>
      <c r="K64" s="425">
        <f>K56-K62</f>
        <v>667861.03200000001</v>
      </c>
      <c r="L64" s="11"/>
      <c r="M64"/>
      <c r="N64"/>
    </row>
    <row r="65" spans="1:14" s="367" customFormat="1" ht="24" customHeight="1">
      <c r="A65"/>
      <c r="B65" s="417"/>
      <c r="C65" s="418"/>
      <c r="D65" s="418"/>
      <c r="E65" s="418"/>
      <c r="F65" s="418"/>
      <c r="G65" s="418"/>
      <c r="H65" s="418"/>
      <c r="I65" s="418"/>
      <c r="J65" s="418"/>
      <c r="K65" s="418"/>
      <c r="L65" s="11"/>
      <c r="M65"/>
      <c r="N65"/>
    </row>
    <row r="66" spans="1:14" s="367" customFormat="1" ht="15">
      <c r="A66"/>
      <c r="B66" s="417" t="s">
        <v>3165</v>
      </c>
      <c r="C66" s="418">
        <f>'Part V-Revenues &amp; Expenses'!Q235</f>
        <v>0</v>
      </c>
      <c r="D66" s="418"/>
      <c r="E66" s="418">
        <f>$C$66</f>
        <v>0</v>
      </c>
      <c r="F66" s="418"/>
      <c r="G66" s="418">
        <f>$C$66</f>
        <v>0</v>
      </c>
      <c r="H66" s="418"/>
      <c r="I66" s="418">
        <f>$C$66</f>
        <v>0</v>
      </c>
      <c r="J66" s="418"/>
      <c r="K66" s="418">
        <f>$C$66</f>
        <v>0</v>
      </c>
      <c r="L66" s="11"/>
      <c r="M66"/>
      <c r="N66"/>
    </row>
    <row r="67" spans="1:14" s="367" customFormat="1" ht="6" customHeight="1">
      <c r="A67"/>
      <c r="B67" s="417"/>
      <c r="C67" s="418"/>
      <c r="D67" s="418"/>
      <c r="E67" s="418"/>
      <c r="F67" s="418"/>
      <c r="G67" s="418"/>
      <c r="H67" s="418"/>
      <c r="I67" s="418"/>
      <c r="J67" s="418"/>
      <c r="K67" s="418"/>
      <c r="L67" s="11"/>
      <c r="M67"/>
      <c r="N67"/>
    </row>
    <row r="68" spans="1:14" s="367" customFormat="1" ht="15">
      <c r="A68"/>
      <c r="B68" s="417" t="s">
        <v>3166</v>
      </c>
      <c r="C68" s="418">
        <f>'Part V-Revenues &amp; Expenses'!Q221</f>
        <v>0</v>
      </c>
      <c r="D68" s="418"/>
      <c r="E68" s="418">
        <f>$C$68</f>
        <v>0</v>
      </c>
      <c r="F68" s="418"/>
      <c r="G68" s="418">
        <f>$C$68</f>
        <v>0</v>
      </c>
      <c r="H68" s="418"/>
      <c r="I68" s="418">
        <f>$C$68</f>
        <v>0</v>
      </c>
      <c r="J68" s="418"/>
      <c r="K68" s="418">
        <f>$C$68</f>
        <v>0</v>
      </c>
      <c r="L68" s="11"/>
      <c r="M68"/>
      <c r="N68"/>
    </row>
    <row r="69" spans="1:14" s="367" customFormat="1" ht="24" customHeight="1">
      <c r="A69"/>
      <c r="B69" s="426"/>
      <c r="C69" s="418"/>
      <c r="D69" s="418"/>
      <c r="E69" s="418"/>
      <c r="F69" s="418"/>
      <c r="G69" s="418"/>
      <c r="H69" s="418"/>
      <c r="I69" s="418"/>
      <c r="J69" s="418"/>
      <c r="K69" s="418"/>
      <c r="L69" s="11"/>
      <c r="M69"/>
      <c r="N69"/>
    </row>
    <row r="70" spans="1:14" s="367" customFormat="1" ht="15.75">
      <c r="A70"/>
      <c r="B70" s="2824" t="s">
        <v>3167</v>
      </c>
      <c r="C70" s="2825">
        <f>C64-C66-C68</f>
        <v>694734.56640000001</v>
      </c>
      <c r="D70" s="425"/>
      <c r="E70" s="2825">
        <f>E64-E66-E68</f>
        <v>669856.03200000001</v>
      </c>
      <c r="F70" s="425"/>
      <c r="G70" s="2825">
        <f>G64-G66-G68</f>
        <v>694734.56640000001</v>
      </c>
      <c r="H70" s="425"/>
      <c r="I70" s="2825">
        <f>I64-I66-I68</f>
        <v>693339.56640000001</v>
      </c>
      <c r="J70" s="425"/>
      <c r="K70" s="2825">
        <f>K64-K66-K68</f>
        <v>667861.03200000001</v>
      </c>
      <c r="L70" s="11"/>
      <c r="M70"/>
      <c r="N70"/>
    </row>
    <row r="71" spans="1:14" s="367" customFormat="1" ht="30" customHeight="1">
      <c r="A71"/>
      <c r="B71" s="417"/>
      <c r="C71" s="418"/>
      <c r="D71" s="418"/>
      <c r="E71" s="418"/>
      <c r="F71" s="418"/>
      <c r="G71" s="418"/>
      <c r="H71" s="418"/>
      <c r="I71" s="418"/>
      <c r="J71" s="418"/>
      <c r="K71" s="418"/>
      <c r="L71" s="11"/>
      <c r="M71"/>
      <c r="N71"/>
    </row>
    <row r="72" spans="1:14" s="369" customFormat="1" ht="18.75" customHeight="1">
      <c r="A72" s="6"/>
      <c r="B72" s="424" t="s">
        <v>3168</v>
      </c>
      <c r="C72" s="756">
        <f>-C70/C75</f>
        <v>2.9956658679206236</v>
      </c>
      <c r="D72" s="427"/>
      <c r="E72" s="756">
        <f>-E70/E75</f>
        <v>2.8883906869372451</v>
      </c>
      <c r="F72" s="427"/>
      <c r="G72" s="756">
        <f>-G70/G75</f>
        <v>2.9956658679206236</v>
      </c>
      <c r="H72" s="427"/>
      <c r="I72" s="756">
        <f>-I70/I75</f>
        <v>2.9896506873209252</v>
      </c>
      <c r="J72" s="427"/>
      <c r="K72" s="756">
        <f>-K70/K75</f>
        <v>2.8797883318860631</v>
      </c>
      <c r="L72" s="3"/>
      <c r="M72" s="6"/>
      <c r="N72" s="6"/>
    </row>
    <row r="73" spans="1:14" s="367" customFormat="1" ht="18.75" customHeight="1">
      <c r="A73"/>
      <c r="B73" s="417" t="s">
        <v>3169</v>
      </c>
      <c r="C73" s="757">
        <f>C76/C62</f>
        <v>6.0499520270273628</v>
      </c>
      <c r="D73" s="428"/>
      <c r="E73" s="757">
        <f>E76/E62</f>
        <v>5.7247424270273628</v>
      </c>
      <c r="F73" s="428"/>
      <c r="G73" s="757">
        <f>G76/G62</f>
        <v>6.0499520270273628</v>
      </c>
      <c r="H73" s="428"/>
      <c r="I73" s="757">
        <f>I76/I62</f>
        <v>5.9236963870286061</v>
      </c>
      <c r="J73" s="428"/>
      <c r="K73" s="757">
        <f>K76/K62</f>
        <v>5.5538288511063536</v>
      </c>
      <c r="L73" s="11"/>
      <c r="M73"/>
      <c r="N73"/>
    </row>
    <row r="74" spans="1:14" s="367" customFormat="1" ht="24" customHeight="1">
      <c r="A74"/>
      <c r="B74" s="417"/>
      <c r="C74" s="418"/>
      <c r="D74" s="418"/>
      <c r="E74" s="418"/>
      <c r="F74" s="418"/>
      <c r="G74" s="418"/>
      <c r="H74" s="418"/>
      <c r="I74" s="418"/>
      <c r="J74" s="418"/>
      <c r="K74" s="418"/>
      <c r="L74" s="11"/>
      <c r="M74"/>
      <c r="N74"/>
    </row>
    <row r="75" spans="1:14" s="367" customFormat="1" ht="18.75" customHeight="1">
      <c r="A75"/>
      <c r="B75" s="417" t="s">
        <v>3170</v>
      </c>
      <c r="C75" s="418">
        <f>+SUM('Part VI-Pro Forma'!B26:B29)</f>
        <v>-231913.23633240676</v>
      </c>
      <c r="D75" s="418"/>
      <c r="E75" s="418">
        <f>$C$75</f>
        <v>-231913.23633240676</v>
      </c>
      <c r="F75" s="418"/>
      <c r="G75" s="418">
        <f>$C$75</f>
        <v>-231913.23633240676</v>
      </c>
      <c r="H75" s="418"/>
      <c r="I75" s="418">
        <f>$C$75</f>
        <v>-231913.23633240676</v>
      </c>
      <c r="J75" s="418"/>
      <c r="K75" s="418">
        <f>$C$75</f>
        <v>-231913.23633240676</v>
      </c>
      <c r="L75" s="11"/>
      <c r="M75"/>
      <c r="N75"/>
    </row>
    <row r="76" spans="1:14" s="367" customFormat="1" ht="18.75" customHeight="1">
      <c r="A76"/>
      <c r="B76" s="417" t="s">
        <v>446</v>
      </c>
      <c r="C76" s="418">
        <f>C70+C75</f>
        <v>462821.33006759326</v>
      </c>
      <c r="D76" s="418"/>
      <c r="E76" s="418">
        <f>E70+E75</f>
        <v>437942.79566759325</v>
      </c>
      <c r="F76" s="418"/>
      <c r="G76" s="418">
        <f>G70+G75</f>
        <v>462821.33006759326</v>
      </c>
      <c r="H76" s="418"/>
      <c r="I76" s="418">
        <f>I70+I75</f>
        <v>461426.33006759326</v>
      </c>
      <c r="J76" s="418"/>
      <c r="K76" s="418">
        <f>K70+K75</f>
        <v>435947.79566759325</v>
      </c>
      <c r="L76" s="11"/>
      <c r="M76"/>
      <c r="N76"/>
    </row>
    <row r="77" spans="1:14" s="367" customFormat="1" ht="15" hidden="1">
      <c r="A77"/>
      <c r="B77" s="417" t="s">
        <v>3171</v>
      </c>
      <c r="C77" s="429" t="e">
        <f>PV(_xludf.intrate/12,30*12,C75/12,0)</f>
        <v>#NAME?</v>
      </c>
      <c r="D77" s="417"/>
      <c r="E77" s="429" t="e">
        <f>PV(_xludf.intrate/12,30*12,E75/12,0)</f>
        <v>#NAME?</v>
      </c>
      <c r="F77" s="417"/>
      <c r="G77" s="429" t="e">
        <f>PV(_xludf.intrate/12,30*12,G75/12,0)</f>
        <v>#NAME?</v>
      </c>
      <c r="H77" s="417"/>
      <c r="I77" s="429" t="e">
        <f>PV(_xludf.intrate/12,30*12,I75/12,0)</f>
        <v>#NAME?</v>
      </c>
      <c r="J77" s="417"/>
      <c r="K77" s="429" t="e">
        <f>PV(_xludf.intrate/12,30*12,K75/12,0)</f>
        <v>#NAME?</v>
      </c>
      <c r="L77" s="11"/>
      <c r="M77"/>
      <c r="N77"/>
    </row>
    <row r="78" spans="1:14" s="367" customFormat="1" ht="15" hidden="1">
      <c r="A78"/>
      <c r="B78" s="430" t="s">
        <v>3172</v>
      </c>
      <c r="C78" s="417"/>
      <c r="D78" s="417"/>
      <c r="E78" s="417"/>
      <c r="F78" s="417"/>
      <c r="G78" s="417"/>
      <c r="H78" s="417"/>
      <c r="I78" s="417"/>
      <c r="J78" s="417"/>
      <c r="K78" s="417"/>
      <c r="L78" s="11"/>
      <c r="M78"/>
      <c r="N78"/>
    </row>
    <row r="79" spans="1:14" s="367" customFormat="1" ht="15" hidden="1">
      <c r="A79"/>
      <c r="B79" s="417"/>
      <c r="C79" s="417"/>
      <c r="D79" s="417"/>
      <c r="E79" s="417"/>
      <c r="F79" s="417"/>
      <c r="G79" s="417"/>
      <c r="H79" s="417"/>
      <c r="I79" s="417"/>
      <c r="J79" s="417"/>
      <c r="K79" s="417"/>
      <c r="L79" s="11"/>
      <c r="M79"/>
      <c r="N79"/>
    </row>
    <row r="80" spans="1:14" s="367" customFormat="1" ht="15.75" hidden="1" thickBot="1">
      <c r="A80"/>
      <c r="B80" s="417" t="s">
        <v>3173</v>
      </c>
      <c r="C80" s="429" t="e">
        <f>MIN(C77,E77,G77,I77,K77)</f>
        <v>#NAME?</v>
      </c>
      <c r="D80" s="417"/>
      <c r="E80" s="417" t="s">
        <v>3174</v>
      </c>
      <c r="F80" s="431">
        <v>0.06</v>
      </c>
      <c r="G80" s="11"/>
      <c r="H80" s="11"/>
      <c r="I80" s="11"/>
      <c r="J80" s="11"/>
      <c r="K80" s="11"/>
      <c r="L80" s="11"/>
      <c r="M80"/>
      <c r="N80"/>
    </row>
    <row r="81" spans="1:14" s="367" customFormat="1" ht="15" hidden="1">
      <c r="A81"/>
      <c r="B81" s="417" t="s">
        <v>3175</v>
      </c>
      <c r="C81" s="429" t="e">
        <f>MAX(C77,E77,G77,I77,K77)</f>
        <v>#NAME?</v>
      </c>
      <c r="D81" s="417"/>
      <c r="E81" s="417"/>
      <c r="F81" s="417"/>
      <c r="G81" s="11"/>
      <c r="H81" s="11"/>
      <c r="I81" s="11"/>
      <c r="J81" s="11"/>
      <c r="K81" s="11"/>
      <c r="L81" s="11"/>
      <c r="M81"/>
      <c r="N81"/>
    </row>
    <row r="82" spans="1:14" s="367" customFormat="1" ht="15">
      <c r="A82"/>
      <c r="B82" s="417"/>
      <c r="C82" s="417"/>
      <c r="D82" s="417"/>
      <c r="E82" s="417" t="s">
        <v>3017</v>
      </c>
      <c r="F82" s="417"/>
      <c r="G82" s="11"/>
      <c r="H82" s="11"/>
      <c r="I82" s="11"/>
      <c r="J82" s="11"/>
      <c r="K82" s="11"/>
      <c r="L82" s="11"/>
      <c r="M82"/>
      <c r="N82"/>
    </row>
    <row r="83" spans="1:14" s="367" customFormat="1" ht="15">
      <c r="A83"/>
      <c r="B83" s="2508"/>
      <c r="C83" s="2508"/>
      <c r="D83" s="2508"/>
      <c r="E83" s="2508"/>
      <c r="F83" s="2508"/>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28515625" defaultRowHeight="12.75"/>
  <cols>
    <col min="1" max="1" width="24.7109375" style="713" customWidth="1"/>
    <col min="2" max="2" width="13.7109375" style="713" customWidth="1"/>
    <col min="3" max="11" width="10.5703125" style="713" customWidth="1"/>
    <col min="12" max="12" width="9.7109375" style="713" customWidth="1"/>
    <col min="13" max="21" width="10.5703125" style="713" customWidth="1"/>
    <col min="22" max="16384" width="9.28515625" style="713"/>
  </cols>
  <sheetData>
    <row r="1" spans="1:7" ht="3" customHeight="1"/>
    <row r="2" spans="1:7">
      <c r="A2" s="712" t="s">
        <v>3176</v>
      </c>
    </row>
    <row r="3" spans="1:7" ht="3" customHeight="1"/>
    <row r="4" spans="1:7">
      <c r="A4" s="713" t="s">
        <v>3177</v>
      </c>
      <c r="B4" s="714">
        <f>'Part III-A-Uses of Funds'!G146</f>
        <v>22230470</v>
      </c>
    </row>
    <row r="5" spans="1:7">
      <c r="A5" s="713" t="s">
        <v>3178</v>
      </c>
      <c r="B5" s="714">
        <f>+B18+B26+B38</f>
        <v>2324535.965648822</v>
      </c>
    </row>
    <row r="6" spans="1:7">
      <c r="A6" s="713" t="s">
        <v>3179</v>
      </c>
      <c r="B6" s="715">
        <f>+B5-B4</f>
        <v>-19905934.034351178</v>
      </c>
    </row>
    <row r="7" spans="1:7">
      <c r="A7" s="713" t="s">
        <v>3180</v>
      </c>
      <c r="B7" s="716">
        <f>+B6/B4</f>
        <v>-0.89543469096025308</v>
      </c>
    </row>
    <row r="8" spans="1:7" ht="9" customHeight="1"/>
    <row r="9" spans="1:7">
      <c r="A9" s="713" t="s">
        <v>3181</v>
      </c>
      <c r="B9" s="714">
        <f>+B18+B26+B33</f>
        <v>2324535.965648822</v>
      </c>
    </row>
    <row r="10" spans="1:7">
      <c r="A10" s="713" t="s">
        <v>3179</v>
      </c>
      <c r="B10" s="715">
        <f>+B9-B4</f>
        <v>-19905934.034351178</v>
      </c>
    </row>
    <row r="11" spans="1:7">
      <c r="A11" s="713" t="s">
        <v>3180</v>
      </c>
      <c r="B11" s="716">
        <f>+B10/B4</f>
        <v>-0.89543469096025308</v>
      </c>
    </row>
    <row r="12" spans="1:7" ht="24" customHeight="1"/>
    <row r="13" spans="1:7">
      <c r="A13" s="712" t="s">
        <v>3182</v>
      </c>
      <c r="D13" s="762" t="s">
        <v>3183</v>
      </c>
      <c r="E13" s="763"/>
    </row>
    <row r="14" spans="1:7">
      <c r="A14" s="713" t="s">
        <v>3184</v>
      </c>
      <c r="B14" s="717">
        <f>+SUM('Part II-Sources of Funds'!L51:M52)</f>
        <v>16835000</v>
      </c>
      <c r="D14" s="763"/>
      <c r="E14" s="763"/>
    </row>
    <row r="15" spans="1:7">
      <c r="A15" s="713" t="s">
        <v>3185</v>
      </c>
      <c r="B15" s="718">
        <f>+'Part III-A-Uses of Funds'!J180</f>
        <v>1684054.6</v>
      </c>
      <c r="D15" s="763" t="s">
        <v>734</v>
      </c>
      <c r="G15" s="764">
        <f>'Part III-A-Uses of Funds'!J168</f>
        <v>17060542.070600778</v>
      </c>
    </row>
    <row r="16" spans="1:7" ht="12.75" customHeight="1">
      <c r="D16" s="763" t="s">
        <v>3186</v>
      </c>
      <c r="G16" s="768">
        <v>3.2800000000000003E-2</v>
      </c>
    </row>
    <row r="17" spans="1:7" ht="12.75" customHeight="1">
      <c r="A17" s="713" t="s">
        <v>3187</v>
      </c>
      <c r="B17" s="767">
        <v>1.45</v>
      </c>
      <c r="D17" s="763" t="s">
        <v>3188</v>
      </c>
      <c r="G17" s="769">
        <v>1.45</v>
      </c>
    </row>
    <row r="18" spans="1:7" ht="12.75" customHeight="1">
      <c r="A18" s="713" t="s">
        <v>3189</v>
      </c>
      <c r="B18" s="719">
        <f>+'Part III-A-Uses of Funds'!J190*B17*10</f>
        <v>0</v>
      </c>
      <c r="D18" s="763" t="s">
        <v>3190</v>
      </c>
      <c r="G18" s="769">
        <v>3.28</v>
      </c>
    </row>
    <row r="19" spans="1:7" ht="12.75" customHeight="1">
      <c r="D19" s="763" t="s">
        <v>3191</v>
      </c>
      <c r="G19" s="765">
        <f>+G15*G16*G17*10</f>
        <v>8113993.8087777309</v>
      </c>
    </row>
    <row r="20" spans="1:7">
      <c r="A20" s="713" t="s">
        <v>3192</v>
      </c>
      <c r="B20" s="717">
        <f>+B18-B14</f>
        <v>-16835000</v>
      </c>
      <c r="D20" s="763" t="s">
        <v>3193</v>
      </c>
      <c r="G20" s="766">
        <f>+B14-G19</f>
        <v>8721006.1912222691</v>
      </c>
    </row>
    <row r="21" spans="1:7">
      <c r="A21" s="713" t="s">
        <v>3194</v>
      </c>
      <c r="B21" s="716">
        <f>+B20/B14</f>
        <v>-1</v>
      </c>
      <c r="D21" s="763" t="s">
        <v>3195</v>
      </c>
      <c r="G21" s="763" t="str">
        <f>+IF(G20&gt;(B28+B35),"No","Yes")</f>
        <v>No</v>
      </c>
    </row>
    <row r="22" spans="1:7" ht="24" customHeight="1"/>
    <row r="23" spans="1:7">
      <c r="A23" s="712" t="s">
        <v>3196</v>
      </c>
    </row>
    <row r="24" spans="1:7">
      <c r="A24" s="713" t="s">
        <v>3197</v>
      </c>
      <c r="B24" s="720">
        <f>+SUM('Part II-Sources of Funds'!I40:J43)</f>
        <v>5389924</v>
      </c>
    </row>
    <row r="25" spans="1:7">
      <c r="A25" s="713" t="s">
        <v>3198</v>
      </c>
      <c r="B25" s="721">
        <f>IF('Part II-Sources of Funds'!E6="Yes","N/A",MAX(B46:P46))</f>
        <v>-19293.069000926596</v>
      </c>
    </row>
    <row r="26" spans="1:7">
      <c r="A26" s="713" t="s">
        <v>3199</v>
      </c>
      <c r="B26" s="711">
        <f>IFERROR(PV('Part II-Sources of Funds'!K40,'Part II-Sources of Funds'!L40,B25+B45),B24)</f>
        <v>2324535.965648822</v>
      </c>
    </row>
    <row r="27" spans="1:7" ht="9" customHeight="1">
      <c r="B27" s="711"/>
    </row>
    <row r="28" spans="1:7">
      <c r="A28" s="713" t="s">
        <v>3200</v>
      </c>
      <c r="B28" s="722">
        <f>+B26-B24</f>
        <v>-3065388.034351178</v>
      </c>
      <c r="C28" s="723"/>
    </row>
    <row r="29" spans="1:7">
      <c r="A29" s="713" t="s">
        <v>3194</v>
      </c>
      <c r="B29" s="724">
        <f>+B28/B24</f>
        <v>-0.56872565074223269</v>
      </c>
    </row>
    <row r="30" spans="1:7" ht="24" customHeight="1"/>
    <row r="31" spans="1:7">
      <c r="A31" s="712" t="s">
        <v>1404</v>
      </c>
    </row>
    <row r="32" spans="1:7">
      <c r="A32" s="713" t="s">
        <v>3201</v>
      </c>
      <c r="B32" s="725">
        <f>+'Part II-Sources of Funds'!I45</f>
        <v>6582</v>
      </c>
    </row>
    <row r="33" spans="1:11">
      <c r="A33" s="713" t="s">
        <v>3202</v>
      </c>
      <c r="B33" s="711"/>
    </row>
    <row r="34" spans="1:11" ht="9" customHeight="1">
      <c r="B34" s="711"/>
    </row>
    <row r="35" spans="1:11">
      <c r="A35" s="713" t="s">
        <v>3203</v>
      </c>
      <c r="B35" s="725">
        <f>+B33-B32</f>
        <v>-6582</v>
      </c>
    </row>
    <row r="36" spans="1:11">
      <c r="A36" s="713" t="s">
        <v>3204</v>
      </c>
      <c r="B36" s="710">
        <f>+B35/B32</f>
        <v>-1</v>
      </c>
    </row>
    <row r="37" spans="1:11" ht="24" customHeight="1">
      <c r="B37" s="711"/>
    </row>
    <row r="38" spans="1:11">
      <c r="A38" s="712" t="s">
        <v>3205</v>
      </c>
      <c r="B38" s="711">
        <f>+SUM('Part II-Sources of Funds'!I44,'Part II-Sources of Funds'!I49,'Part II-Sources of Funds'!I50,'Part II-Sources of Funds'!I53:I59)</f>
        <v>0</v>
      </c>
    </row>
    <row r="39" spans="1:11">
      <c r="B39" s="711"/>
    </row>
    <row r="40" spans="1:11">
      <c r="B40" s="711"/>
    </row>
    <row r="41" spans="1:11">
      <c r="B41" s="711"/>
    </row>
    <row r="42" spans="1:11">
      <c r="A42" s="712" t="s">
        <v>3206</v>
      </c>
      <c r="B42" s="711"/>
    </row>
    <row r="43" spans="1:11">
      <c r="A43" s="713" t="s">
        <v>495</v>
      </c>
      <c r="B43" s="770">
        <v>1</v>
      </c>
      <c r="C43" s="770">
        <v>2</v>
      </c>
      <c r="D43" s="770">
        <v>3</v>
      </c>
      <c r="E43" s="770">
        <v>4</v>
      </c>
      <c r="F43" s="770">
        <v>5</v>
      </c>
      <c r="G43" s="770">
        <v>6</v>
      </c>
      <c r="H43" s="770">
        <v>7</v>
      </c>
      <c r="I43" s="770">
        <v>8</v>
      </c>
      <c r="J43" s="770">
        <v>9</v>
      </c>
      <c r="K43" s="770">
        <v>10</v>
      </c>
    </row>
    <row r="44" spans="1:11">
      <c r="A44" s="713" t="s">
        <v>1400</v>
      </c>
      <c r="B44" s="714">
        <f>+'Part VI-Pro Forma'!B25</f>
        <v>301447.56640000001</v>
      </c>
      <c r="C44" s="714">
        <f>+'Part VI-Pro Forma'!C25</f>
        <v>302778.38772800006</v>
      </c>
      <c r="D44" s="714">
        <f>+'Part VI-Pro Forma'!D25</f>
        <v>303995.74678256002</v>
      </c>
      <c r="E44" s="714">
        <f>+'Part VI-Pro Forma'!E25</f>
        <v>305091.53475721105</v>
      </c>
      <c r="F44" s="714">
        <f>+'Part VI-Pro Forma'!F25</f>
        <v>306059.42788252555</v>
      </c>
      <c r="G44" s="714">
        <f>+'Part VI-Pro Forma'!G25</f>
        <v>306893.87974325113</v>
      </c>
      <c r="H44" s="714">
        <f>+'Part VI-Pro Forma'!H25</f>
        <v>307585.11334028345</v>
      </c>
      <c r="I44" s="714">
        <f>+'Part VI-Pro Forma'!I25</f>
        <v>308127.11288932123</v>
      </c>
      <c r="J44" s="714">
        <f>+'Part VI-Pro Forma'!J25</f>
        <v>308511.6153478073</v>
      </c>
      <c r="K44" s="714">
        <f>+'Part VI-Pro Forma'!K25</f>
        <v>308731.1016614837</v>
      </c>
    </row>
    <row r="45" spans="1:11">
      <c r="A45" s="713" t="s">
        <v>3207</v>
      </c>
      <c r="B45" s="714">
        <f>SUM('Part VI-Pro Forma'!B26:B29)</f>
        <v>-231913.23633240676</v>
      </c>
      <c r="C45" s="714">
        <f>SUM('Part VI-Pro Forma'!C26:C29)</f>
        <v>-231913.23633240676</v>
      </c>
      <c r="D45" s="714">
        <f>SUM('Part VI-Pro Forma'!D26:D29)</f>
        <v>-231913.23633240676</v>
      </c>
      <c r="E45" s="714">
        <f>SUM('Part VI-Pro Forma'!E26:E29)</f>
        <v>-231913.23633240676</v>
      </c>
      <c r="F45" s="714">
        <f>SUM('Part VI-Pro Forma'!F26:F29)</f>
        <v>-231913.23633240676</v>
      </c>
      <c r="G45" s="714">
        <f>SUM('Part VI-Pro Forma'!G26:G29)</f>
        <v>-231913.23633240676</v>
      </c>
      <c r="H45" s="714">
        <f>SUM('Part VI-Pro Forma'!H26:H29)</f>
        <v>-231913.23633240676</v>
      </c>
      <c r="I45" s="714">
        <f>SUM('Part VI-Pro Forma'!I26:I29)</f>
        <v>-231913.23633240676</v>
      </c>
      <c r="J45" s="714">
        <f>SUM('Part VI-Pro Forma'!J26:J29)</f>
        <v>-231913.23633240676</v>
      </c>
      <c r="K45" s="714">
        <f>SUM('Part VI-Pro Forma'!K26:K29)</f>
        <v>-231913.23633240676</v>
      </c>
    </row>
    <row r="46" spans="1:11">
      <c r="A46" s="713" t="s">
        <v>3208</v>
      </c>
      <c r="B46" s="715">
        <f t="shared" ref="B46:K46" si="0">-B44/B48-B45</f>
        <v>-19293.069000926596</v>
      </c>
      <c r="C46" s="715">
        <f t="shared" si="0"/>
        <v>-20402.08677425998</v>
      </c>
      <c r="D46" s="715">
        <f t="shared" si="0"/>
        <v>-21416.552653059945</v>
      </c>
      <c r="E46" s="715">
        <f t="shared" si="0"/>
        <v>-22329.709298602451</v>
      </c>
      <c r="F46" s="715">
        <f t="shared" si="0"/>
        <v>-23136.286903031199</v>
      </c>
      <c r="G46" s="715">
        <f t="shared" si="0"/>
        <v>-23831.663453635876</v>
      </c>
      <c r="H46" s="715">
        <f t="shared" si="0"/>
        <v>-24407.691451162798</v>
      </c>
      <c r="I46" s="715">
        <f t="shared" si="0"/>
        <v>-24859.357742027612</v>
      </c>
      <c r="J46" s="715">
        <f t="shared" si="0"/>
        <v>-25179.776457432657</v>
      </c>
      <c r="K46" s="715">
        <f t="shared" si="0"/>
        <v>-25362.68171882967</v>
      </c>
    </row>
    <row r="48" spans="1:11">
      <c r="A48" s="713" t="s">
        <v>3209</v>
      </c>
      <c r="B48" s="713">
        <f>IF(B82="NC",1.2,1.25)</f>
        <v>1.2</v>
      </c>
      <c r="C48" s="713">
        <f>+B48</f>
        <v>1.2</v>
      </c>
      <c r="D48" s="713">
        <f t="shared" ref="D48:K48" si="1">+C48</f>
        <v>1.2</v>
      </c>
      <c r="E48" s="713">
        <f t="shared" si="1"/>
        <v>1.2</v>
      </c>
      <c r="F48" s="713">
        <f t="shared" si="1"/>
        <v>1.2</v>
      </c>
      <c r="G48" s="713">
        <f t="shared" si="1"/>
        <v>1.2</v>
      </c>
      <c r="H48" s="713">
        <f t="shared" si="1"/>
        <v>1.2</v>
      </c>
      <c r="I48" s="713">
        <f t="shared" si="1"/>
        <v>1.2</v>
      </c>
      <c r="J48" s="713">
        <f t="shared" si="1"/>
        <v>1.2</v>
      </c>
      <c r="K48" s="713">
        <f t="shared" si="1"/>
        <v>1.2</v>
      </c>
    </row>
    <row r="50" spans="1:17">
      <c r="A50" s="712" t="s">
        <v>446</v>
      </c>
    </row>
    <row r="51" spans="1:17">
      <c r="A51" s="713" t="s">
        <v>1400</v>
      </c>
      <c r="B51" s="715">
        <f>+B44</f>
        <v>301447.56640000001</v>
      </c>
      <c r="C51" s="715">
        <f t="shared" ref="C51:K51" si="2">+C44</f>
        <v>302778.38772800006</v>
      </c>
      <c r="D51" s="715">
        <f t="shared" si="2"/>
        <v>303995.74678256002</v>
      </c>
      <c r="E51" s="715">
        <f t="shared" si="2"/>
        <v>305091.53475721105</v>
      </c>
      <c r="F51" s="715">
        <f t="shared" si="2"/>
        <v>306059.42788252555</v>
      </c>
      <c r="G51" s="715">
        <f t="shared" si="2"/>
        <v>306893.87974325113</v>
      </c>
      <c r="H51" s="715">
        <f t="shared" si="2"/>
        <v>307585.11334028345</v>
      </c>
      <c r="I51" s="715">
        <f t="shared" si="2"/>
        <v>308127.11288932123</v>
      </c>
      <c r="J51" s="715">
        <f t="shared" si="2"/>
        <v>308511.6153478073</v>
      </c>
      <c r="K51" s="715">
        <f t="shared" si="2"/>
        <v>308731.1016614837</v>
      </c>
    </row>
    <row r="52" spans="1:17">
      <c r="A52" s="713" t="s">
        <v>3210</v>
      </c>
      <c r="B52" s="715">
        <f>IF($B$25="N/A",B45,B45+$B$25)</f>
        <v>-251206.30533333335</v>
      </c>
      <c r="C52" s="715">
        <f t="shared" ref="C52:K52" si="3">IF($B$25="N/A",C45,C45+$B$25)</f>
        <v>-251206.30533333335</v>
      </c>
      <c r="D52" s="715">
        <f t="shared" si="3"/>
        <v>-251206.30533333335</v>
      </c>
      <c r="E52" s="715">
        <f t="shared" si="3"/>
        <v>-251206.30533333335</v>
      </c>
      <c r="F52" s="715">
        <f t="shared" si="3"/>
        <v>-251206.30533333335</v>
      </c>
      <c r="G52" s="715">
        <f t="shared" si="3"/>
        <v>-251206.30533333335</v>
      </c>
      <c r="H52" s="715">
        <f t="shared" si="3"/>
        <v>-251206.30533333335</v>
      </c>
      <c r="I52" s="715">
        <f t="shared" si="3"/>
        <v>-251206.30533333335</v>
      </c>
      <c r="J52" s="715">
        <f t="shared" si="3"/>
        <v>-251206.30533333335</v>
      </c>
      <c r="K52" s="715">
        <f t="shared" si="3"/>
        <v>-251206.30533333335</v>
      </c>
    </row>
    <row r="53" spans="1:17">
      <c r="A53" s="713" t="s">
        <v>3211</v>
      </c>
      <c r="B53" s="714">
        <f>+'Part VI-Pro Forma'!B31</f>
        <v>-7500</v>
      </c>
      <c r="C53" s="714">
        <f>+'Part VI-Pro Forma'!C31</f>
        <v>-7500</v>
      </c>
      <c r="D53" s="714">
        <f>+'Part VI-Pro Forma'!D31</f>
        <v>-7500</v>
      </c>
      <c r="E53" s="714">
        <f>+'Part VI-Pro Forma'!E31</f>
        <v>-7500</v>
      </c>
      <c r="F53" s="714">
        <f>+'Part VI-Pro Forma'!F31</f>
        <v>-7500</v>
      </c>
      <c r="G53" s="714">
        <f>+'Part VI-Pro Forma'!G31</f>
        <v>-7500</v>
      </c>
      <c r="H53" s="714">
        <f>+'Part VI-Pro Forma'!H31</f>
        <v>-7500</v>
      </c>
      <c r="I53" s="714">
        <f>+'Part VI-Pro Forma'!I31</f>
        <v>-7500</v>
      </c>
      <c r="J53" s="714">
        <f>+'Part VI-Pro Forma'!J31</f>
        <v>-7500</v>
      </c>
      <c r="K53" s="714">
        <f>+'Part VI-Pro Forma'!K31</f>
        <v>-7500</v>
      </c>
    </row>
    <row r="54" spans="1:17">
      <c r="A54" s="713" t="s">
        <v>3212</v>
      </c>
      <c r="B54" s="715">
        <f>+SUM(B51:B53)</f>
        <v>42741.261066666659</v>
      </c>
      <c r="C54" s="715">
        <f t="shared" ref="C54:K54" si="4">+SUM(C51:C53)</f>
        <v>44072.082394666708</v>
      </c>
      <c r="D54" s="715">
        <f t="shared" si="4"/>
        <v>45289.441449226666</v>
      </c>
      <c r="E54" s="715">
        <f t="shared" si="4"/>
        <v>46385.229423877696</v>
      </c>
      <c r="F54" s="715">
        <f t="shared" si="4"/>
        <v>47353.122549192194</v>
      </c>
      <c r="G54" s="715">
        <f t="shared" si="4"/>
        <v>48187.574409917783</v>
      </c>
      <c r="H54" s="715">
        <f t="shared" si="4"/>
        <v>48878.808006950101</v>
      </c>
      <c r="I54" s="715">
        <f t="shared" si="4"/>
        <v>49420.807555987878</v>
      </c>
      <c r="J54" s="715">
        <f t="shared" si="4"/>
        <v>49805.310014473944</v>
      </c>
      <c r="K54" s="715">
        <f t="shared" si="4"/>
        <v>50024.796328150347</v>
      </c>
    </row>
    <row r="55" spans="1:17">
      <c r="A55" s="713" t="s">
        <v>1404</v>
      </c>
      <c r="B55" s="715">
        <f>-B54</f>
        <v>-42741.261066666659</v>
      </c>
      <c r="C55" s="715">
        <f t="shared" ref="C55:K55" si="5">-C54</f>
        <v>-44072.082394666708</v>
      </c>
      <c r="D55" s="715">
        <f t="shared" si="5"/>
        <v>-45289.441449226666</v>
      </c>
      <c r="E55" s="715">
        <f t="shared" si="5"/>
        <v>-46385.229423877696</v>
      </c>
      <c r="F55" s="715">
        <f t="shared" si="5"/>
        <v>-47353.122549192194</v>
      </c>
      <c r="G55" s="715">
        <f t="shared" si="5"/>
        <v>-48187.574409917783</v>
      </c>
      <c r="H55" s="715">
        <f t="shared" si="5"/>
        <v>-48878.808006950101</v>
      </c>
      <c r="I55" s="715">
        <f t="shared" si="5"/>
        <v>-49420.807555987878</v>
      </c>
      <c r="J55" s="715">
        <f t="shared" si="5"/>
        <v>-49805.310014473944</v>
      </c>
      <c r="K55" s="715">
        <f t="shared" si="5"/>
        <v>-50024.796328150347</v>
      </c>
    </row>
    <row r="56" spans="1:17">
      <c r="A56" s="713" t="s">
        <v>3213</v>
      </c>
      <c r="B56" s="715">
        <f>+B54+B55</f>
        <v>0</v>
      </c>
      <c r="C56" s="715">
        <f t="shared" ref="C56:K56" si="6">+C54+C55</f>
        <v>0</v>
      </c>
      <c r="D56" s="715">
        <f t="shared" si="6"/>
        <v>0</v>
      </c>
      <c r="E56" s="715">
        <f t="shared" si="6"/>
        <v>0</v>
      </c>
      <c r="F56" s="715">
        <f t="shared" si="6"/>
        <v>0</v>
      </c>
      <c r="G56" s="715">
        <f t="shared" si="6"/>
        <v>0</v>
      </c>
      <c r="H56" s="715">
        <f t="shared" si="6"/>
        <v>0</v>
      </c>
      <c r="I56" s="715">
        <f t="shared" si="6"/>
        <v>0</v>
      </c>
      <c r="J56" s="715">
        <f t="shared" si="6"/>
        <v>0</v>
      </c>
      <c r="K56" s="715">
        <f t="shared" si="6"/>
        <v>0</v>
      </c>
    </row>
    <row r="58" spans="1:17">
      <c r="A58" s="713" t="s">
        <v>3214</v>
      </c>
      <c r="B58" s="714">
        <f>IF($B$26="","",-FV('Part II-Sources of Funds'!$K$40/12,12,B52/12,B26))</f>
        <v>2227263.0277692731</v>
      </c>
      <c r="C58" s="714">
        <f>IF($B$26="","",-FV('Part II-Sources of Funds'!$K$40/12,12,C52/12,C26))</f>
        <v>-259125.58065463221</v>
      </c>
      <c r="D58" s="714">
        <f>IF($B$26="","",-FV('Part II-Sources of Funds'!$K$40/12,12,D52/12,D26))</f>
        <v>-259125.58065463221</v>
      </c>
      <c r="E58" s="714">
        <f>IF($B$26="","",-FV('Part II-Sources of Funds'!$K$40/12,12,E52/12,E26))</f>
        <v>-259125.58065463221</v>
      </c>
      <c r="F58" s="714">
        <f>IF($B$26="","",-FV('Part II-Sources of Funds'!$K$40/12,12,F52/12,F26))</f>
        <v>-259125.58065463221</v>
      </c>
      <c r="G58" s="714">
        <f>IF($B$26="","",-FV('Part II-Sources of Funds'!$K$40/12,12,G52/12,G26))</f>
        <v>-259125.58065463221</v>
      </c>
      <c r="H58" s="714">
        <f>IF($B$26="","",-FV('Part II-Sources of Funds'!$K$40/12,12,H52/12,H26))</f>
        <v>-259125.58065463221</v>
      </c>
      <c r="I58" s="714">
        <f>IF($B$26="","",-FV('Part II-Sources of Funds'!$K$40/12,12,I52/12,I26))</f>
        <v>-259125.58065463221</v>
      </c>
      <c r="J58" s="714">
        <f>IF($B$26="","",-FV('Part II-Sources of Funds'!$K$40/12,12,J52/12,J26))</f>
        <v>-259125.58065463221</v>
      </c>
      <c r="K58" s="714">
        <f>IF($B$26="","",-FV('Part II-Sources of Funds'!$K$40/12,12,K52/12,K26))</f>
        <v>-259125.58065463221</v>
      </c>
    </row>
    <row r="59" spans="1:17">
      <c r="A59" s="713" t="s">
        <v>1412</v>
      </c>
      <c r="B59" s="714" t="str">
        <f>IF(B33="","",-FV(#REF!/12,12,B55/12,B33))</f>
        <v/>
      </c>
      <c r="C59" s="714" t="str">
        <f>IF($B$33="","",-FV(#REF!/12,12,C55/12,B59))</f>
        <v/>
      </c>
      <c r="D59" s="714" t="str">
        <f>IF($B$33="","",-FV(#REF!/12,12,D55/12,C59))</f>
        <v/>
      </c>
      <c r="E59" s="714" t="str">
        <f>IF($B$33="","",-FV(#REF!/12,12,E55/12,D59))</f>
        <v/>
      </c>
      <c r="F59" s="714" t="str">
        <f>IF($B$33="","",-FV(#REF!/12,12,F55/12,E59))</f>
        <v/>
      </c>
      <c r="G59" s="714" t="str">
        <f>IF($B$33="","",-FV(#REF!/12,12,G55/12,F59))</f>
        <v/>
      </c>
      <c r="H59" s="714" t="str">
        <f>IF($B$33="","",-FV(#REF!/12,12,H55/12,G59))</f>
        <v/>
      </c>
      <c r="I59" s="714" t="str">
        <f>IF($B$33="","",-FV(#REF!/12,12,I55/12,H59))</f>
        <v/>
      </c>
      <c r="J59" s="714" t="str">
        <f>IF($B$33="","",-FV(#REF!/12,12,J55/12,I59))</f>
        <v/>
      </c>
      <c r="K59" s="714" t="str">
        <f>IF($B$33="","",-FV(#REF!/12,12,K55/12,J59))</f>
        <v/>
      </c>
      <c r="L59" s="714" t="str">
        <f>IF($B$33="","",-FV(#REF!/12,12,B75/12,K59))</f>
        <v/>
      </c>
      <c r="M59" s="714" t="str">
        <f>IF($B$33="","",-FV(#REF!/12,12,C75/12,L59))</f>
        <v/>
      </c>
      <c r="N59" s="714" t="str">
        <f>IF($B$33="","",-FV(#REF!/12,12,D75/12,M59))</f>
        <v/>
      </c>
      <c r="O59" s="714" t="str">
        <f>IF($B$33="","",-FV(#REF!/12,12,E75/12,N59))</f>
        <v/>
      </c>
      <c r="P59" s="714" t="str">
        <f>IF($B$33="","",-FV(#REF!/12,12,F75/12,O59))</f>
        <v/>
      </c>
      <c r="Q59" s="714"/>
    </row>
    <row r="60" spans="1:17" ht="18.75" customHeight="1"/>
    <row r="61" spans="1:17" ht="18.75" customHeight="1"/>
    <row r="62" spans="1:17">
      <c r="A62" s="712" t="s">
        <v>3206</v>
      </c>
    </row>
    <row r="63" spans="1:17">
      <c r="A63" s="713" t="s">
        <v>495</v>
      </c>
      <c r="B63" s="770">
        <v>11</v>
      </c>
      <c r="C63" s="770">
        <v>12</v>
      </c>
      <c r="D63" s="770">
        <v>13</v>
      </c>
      <c r="E63" s="770">
        <v>14</v>
      </c>
      <c r="F63" s="770">
        <v>15</v>
      </c>
      <c r="G63" s="770">
        <v>16</v>
      </c>
      <c r="H63" s="770">
        <v>17</v>
      </c>
      <c r="I63" s="770">
        <v>18</v>
      </c>
      <c r="J63" s="770">
        <v>19</v>
      </c>
      <c r="K63" s="770">
        <v>20</v>
      </c>
    </row>
    <row r="64" spans="1:17">
      <c r="A64" s="713" t="s">
        <v>1400</v>
      </c>
      <c r="B64" s="714">
        <f>+'Part VI-Pro Forma'!B57</f>
        <v>308775.78772163537</v>
      </c>
      <c r="C64" s="714">
        <f>+'Part VI-Pro Forma'!C57</f>
        <v>308638.61502379749</v>
      </c>
      <c r="D64" s="714">
        <f>+'Part VI-Pro Forma'!D57</f>
        <v>308308.2410184351</v>
      </c>
      <c r="E64" s="714">
        <f>+'Part VI-Pro Forma'!E57</f>
        <v>307776.02914379013</v>
      </c>
      <c r="F64" s="714">
        <f>+'Part VI-Pro Forma'!F57</f>
        <v>307033.038530802</v>
      </c>
      <c r="G64" s="714">
        <f>+'Part VI-Pro Forma'!G57</f>
        <v>306067.01336967765</v>
      </c>
      <c r="H64" s="714">
        <f>+'Part VI-Pro Forma'!H57</f>
        <v>304869.37192737928</v>
      </c>
      <c r="I64" s="714">
        <f>+'Part VI-Pro Forma'!I57</f>
        <v>303428.19520494383</v>
      </c>
      <c r="J64" s="714">
        <f>+'Part VI-Pro Forma'!J57</f>
        <v>301732.21522323013</v>
      </c>
      <c r="K64" s="714">
        <f>+'Part VI-Pro Forma'!K57</f>
        <v>299768.80292530771</v>
      </c>
    </row>
    <row r="65" spans="1:11">
      <c r="A65" s="713" t="s">
        <v>3207</v>
      </c>
      <c r="B65" s="714">
        <f>SUM('Part VI-Pro Forma'!B58:B61)</f>
        <v>-231913.23633240676</v>
      </c>
      <c r="C65" s="714">
        <f>SUM('Part VI-Pro Forma'!C58:C61)</f>
        <v>-231913.23633240676</v>
      </c>
      <c r="D65" s="714">
        <f>SUM('Part VI-Pro Forma'!D58:D61)</f>
        <v>-231913.23633240676</v>
      </c>
      <c r="E65" s="714">
        <f>SUM('Part VI-Pro Forma'!E58:E61)</f>
        <v>-231913.23633240676</v>
      </c>
      <c r="F65" s="714">
        <f>SUM('Part VI-Pro Forma'!F58:F61)</f>
        <v>-231913.23633240676</v>
      </c>
      <c r="G65" s="714">
        <f>SUM('Part VI-Pro Forma'!G58:G61)</f>
        <v>-231913.23633240676</v>
      </c>
      <c r="H65" s="714">
        <f>SUM('Part VI-Pro Forma'!H58:H61)</f>
        <v>-231913.23633240676</v>
      </c>
      <c r="I65" s="714">
        <f>SUM('Part VI-Pro Forma'!I58:I61)</f>
        <v>-231913.23633240676</v>
      </c>
      <c r="J65" s="714">
        <f>SUM('Part VI-Pro Forma'!J58:J61)</f>
        <v>-231913.23633240676</v>
      </c>
      <c r="K65" s="714">
        <f>SUM('Part VI-Pro Forma'!K58:K61)</f>
        <v>-231913.23633240676</v>
      </c>
    </row>
    <row r="66" spans="1:11">
      <c r="A66" s="713" t="s">
        <v>3208</v>
      </c>
      <c r="B66" s="715">
        <f t="shared" ref="B66:K66" si="7">-B64/B68-B65</f>
        <v>-25399.920102289383</v>
      </c>
      <c r="C66" s="715">
        <f t="shared" si="7"/>
        <v>-25285.609520757833</v>
      </c>
      <c r="D66" s="715">
        <f t="shared" si="7"/>
        <v>-25010.297849622497</v>
      </c>
      <c r="E66" s="715">
        <f t="shared" si="7"/>
        <v>-24566.787954085041</v>
      </c>
      <c r="F66" s="715">
        <f t="shared" si="7"/>
        <v>-23947.629109928268</v>
      </c>
      <c r="G66" s="715">
        <f t="shared" si="7"/>
        <v>-23142.608142324636</v>
      </c>
      <c r="H66" s="715">
        <f t="shared" si="7"/>
        <v>-22144.573607075989</v>
      </c>
      <c r="I66" s="715">
        <f t="shared" si="7"/>
        <v>-20943.593005046452</v>
      </c>
      <c r="J66" s="715">
        <f t="shared" si="7"/>
        <v>-19530.276353618363</v>
      </c>
      <c r="K66" s="715">
        <f t="shared" si="7"/>
        <v>-17894.099438683013</v>
      </c>
    </row>
    <row r="68" spans="1:11">
      <c r="A68" s="713" t="s">
        <v>3209</v>
      </c>
      <c r="B68" s="713">
        <f>+K48</f>
        <v>1.2</v>
      </c>
      <c r="C68" s="713">
        <f t="shared" ref="C68:K68" si="8">+B68</f>
        <v>1.2</v>
      </c>
      <c r="D68" s="713">
        <f t="shared" si="8"/>
        <v>1.2</v>
      </c>
      <c r="E68" s="713">
        <f t="shared" si="8"/>
        <v>1.2</v>
      </c>
      <c r="F68" s="713">
        <f t="shared" si="8"/>
        <v>1.2</v>
      </c>
      <c r="G68" s="713">
        <f t="shared" si="8"/>
        <v>1.2</v>
      </c>
      <c r="H68" s="713">
        <f t="shared" si="8"/>
        <v>1.2</v>
      </c>
      <c r="I68" s="713">
        <f t="shared" si="8"/>
        <v>1.2</v>
      </c>
      <c r="J68" s="713">
        <f t="shared" si="8"/>
        <v>1.2</v>
      </c>
      <c r="K68" s="713">
        <f t="shared" si="8"/>
        <v>1.2</v>
      </c>
    </row>
    <row r="70" spans="1:11">
      <c r="A70" s="712" t="s">
        <v>446</v>
      </c>
    </row>
    <row r="71" spans="1:11">
      <c r="A71" s="713" t="s">
        <v>1400</v>
      </c>
      <c r="B71" s="715">
        <f t="shared" ref="B71:G71" si="9">+B64</f>
        <v>308775.78772163537</v>
      </c>
      <c r="C71" s="715">
        <f t="shared" si="9"/>
        <v>308638.61502379749</v>
      </c>
      <c r="D71" s="715">
        <f t="shared" si="9"/>
        <v>308308.2410184351</v>
      </c>
      <c r="E71" s="715">
        <f t="shared" si="9"/>
        <v>307776.02914379013</v>
      </c>
      <c r="F71" s="715">
        <f t="shared" si="9"/>
        <v>307033.038530802</v>
      </c>
      <c r="G71" s="715">
        <f t="shared" si="9"/>
        <v>306067.01336967765</v>
      </c>
      <c r="H71" s="715">
        <f>+H64</f>
        <v>304869.37192737928</v>
      </c>
      <c r="I71" s="715">
        <f>+I64</f>
        <v>303428.19520494383</v>
      </c>
      <c r="J71" s="715">
        <f>+J64</f>
        <v>301732.21522323013</v>
      </c>
      <c r="K71" s="715">
        <f>+K64</f>
        <v>299768.80292530771</v>
      </c>
    </row>
    <row r="72" spans="1:11">
      <c r="A72" s="713" t="s">
        <v>3210</v>
      </c>
      <c r="B72" s="715">
        <f t="shared" ref="B72:G72" si="10">IF($B$25="N/A",B65,B65+$B$25)</f>
        <v>-251206.30533333335</v>
      </c>
      <c r="C72" s="715">
        <f t="shared" si="10"/>
        <v>-251206.30533333335</v>
      </c>
      <c r="D72" s="715">
        <f t="shared" si="10"/>
        <v>-251206.30533333335</v>
      </c>
      <c r="E72" s="715">
        <f t="shared" si="10"/>
        <v>-251206.30533333335</v>
      </c>
      <c r="F72" s="715">
        <f t="shared" si="10"/>
        <v>-251206.30533333335</v>
      </c>
      <c r="G72" s="715">
        <f t="shared" si="10"/>
        <v>-251206.30533333335</v>
      </c>
      <c r="H72" s="715">
        <f>IF($B$25="N/A",H65,H65+$B$25)</f>
        <v>-251206.30533333335</v>
      </c>
      <c r="I72" s="715">
        <f>IF($B$25="N/A",I65,I65+$B$25)</f>
        <v>-251206.30533333335</v>
      </c>
      <c r="J72" s="715">
        <f>IF($B$25="N/A",J65,J65+$B$25)</f>
        <v>-251206.30533333335</v>
      </c>
      <c r="K72" s="715">
        <f>IF($B$25="N/A",K65,K65+$B$25)</f>
        <v>-251206.30533333335</v>
      </c>
    </row>
    <row r="73" spans="1:11">
      <c r="A73" s="713" t="s">
        <v>3211</v>
      </c>
      <c r="B73" s="714">
        <f>+'Part VI-Pro Forma'!B63</f>
        <v>-7500</v>
      </c>
      <c r="C73" s="714">
        <f>+'Part VI-Pro Forma'!C63</f>
        <v>-7500</v>
      </c>
      <c r="D73" s="714">
        <f>+'Part VI-Pro Forma'!D63</f>
        <v>-7500</v>
      </c>
      <c r="E73" s="714">
        <f>+'Part VI-Pro Forma'!E63</f>
        <v>-7500</v>
      </c>
      <c r="F73" s="714">
        <f>+'Part VI-Pro Forma'!F63</f>
        <v>-7500</v>
      </c>
      <c r="G73" s="714">
        <f>+'Part VI-Pro Forma'!G63</f>
        <v>-7500</v>
      </c>
      <c r="H73" s="714">
        <f>+'Part VI-Pro Forma'!H63</f>
        <v>-7500</v>
      </c>
      <c r="I73" s="714">
        <f>+'Part VI-Pro Forma'!I63</f>
        <v>-7500</v>
      </c>
      <c r="J73" s="714">
        <f>+'Part VI-Pro Forma'!J63</f>
        <v>-7500</v>
      </c>
      <c r="K73" s="714">
        <f>+'Part VI-Pro Forma'!K63</f>
        <v>-7500</v>
      </c>
    </row>
    <row r="74" spans="1:11">
      <c r="A74" s="713" t="s">
        <v>3212</v>
      </c>
      <c r="B74" s="715">
        <f t="shared" ref="B74:G74" si="11">+SUM(B71:B73)</f>
        <v>50069.482388302014</v>
      </c>
      <c r="C74" s="715">
        <f t="shared" si="11"/>
        <v>49932.309690464142</v>
      </c>
      <c r="D74" s="715">
        <f t="shared" si="11"/>
        <v>49601.935685101751</v>
      </c>
      <c r="E74" s="715">
        <f t="shared" si="11"/>
        <v>49069.72381045678</v>
      </c>
      <c r="F74" s="715">
        <f t="shared" si="11"/>
        <v>48326.733197468653</v>
      </c>
      <c r="G74" s="715">
        <f t="shared" si="11"/>
        <v>47360.708036344295</v>
      </c>
      <c r="H74" s="715">
        <f>+SUM(H71:H73)</f>
        <v>46163.066594045929</v>
      </c>
      <c r="I74" s="715">
        <f>+SUM(I71:I73)</f>
        <v>44721.889871610474</v>
      </c>
      <c r="J74" s="715">
        <f>+SUM(J71:J73)</f>
        <v>43025.909889896779</v>
      </c>
      <c r="K74" s="715">
        <f>+SUM(K71:K73)</f>
        <v>41062.497591974359</v>
      </c>
    </row>
    <row r="75" spans="1:11">
      <c r="A75" s="713" t="s">
        <v>1404</v>
      </c>
      <c r="B75" s="715">
        <f t="shared" ref="B75:G75" si="12">-B74</f>
        <v>-50069.482388302014</v>
      </c>
      <c r="C75" s="715">
        <f t="shared" si="12"/>
        <v>-49932.309690464142</v>
      </c>
      <c r="D75" s="715">
        <f t="shared" si="12"/>
        <v>-49601.935685101751</v>
      </c>
      <c r="E75" s="715">
        <f t="shared" si="12"/>
        <v>-49069.72381045678</v>
      </c>
      <c r="F75" s="715">
        <f t="shared" si="12"/>
        <v>-48326.733197468653</v>
      </c>
      <c r="G75" s="715">
        <f t="shared" si="12"/>
        <v>-47360.708036344295</v>
      </c>
      <c r="H75" s="715">
        <f>-H74</f>
        <v>-46163.066594045929</v>
      </c>
      <c r="I75" s="715">
        <f>-I74</f>
        <v>-44721.889871610474</v>
      </c>
      <c r="J75" s="715">
        <f>-J74</f>
        <v>-43025.909889896779</v>
      </c>
      <c r="K75" s="715">
        <f>-K74</f>
        <v>-41062.497591974359</v>
      </c>
    </row>
    <row r="76" spans="1:11">
      <c r="A76" s="713" t="s">
        <v>3213</v>
      </c>
      <c r="B76" s="715">
        <f t="shared" ref="B76:G76" si="13">+B74+B75</f>
        <v>0</v>
      </c>
      <c r="C76" s="715">
        <f t="shared" si="13"/>
        <v>0</v>
      </c>
      <c r="D76" s="715">
        <f t="shared" si="13"/>
        <v>0</v>
      </c>
      <c r="E76" s="715">
        <f t="shared" si="13"/>
        <v>0</v>
      </c>
      <c r="F76" s="715">
        <f t="shared" si="13"/>
        <v>0</v>
      </c>
      <c r="G76" s="715">
        <f t="shared" si="13"/>
        <v>0</v>
      </c>
      <c r="H76" s="715">
        <f>+H74+H75</f>
        <v>0</v>
      </c>
      <c r="I76" s="715">
        <f>+I74+I75</f>
        <v>0</v>
      </c>
      <c r="J76" s="715">
        <f>+J74+J75</f>
        <v>0</v>
      </c>
      <c r="K76" s="715">
        <f>+K74+K75</f>
        <v>0</v>
      </c>
    </row>
    <row r="78" spans="1:11">
      <c r="A78" s="713" t="s">
        <v>3214</v>
      </c>
      <c r="B78" s="714">
        <f>IF($B$26="","",-FV('Part II-Sources of Funds'!$K$40/12,12,B72/12,K58))</f>
        <v>-536293.54080321814</v>
      </c>
      <c r="C78" s="714">
        <f>IF($B$26="","",-FV('Part II-Sources of Funds'!$K$40/12,12,C72/12,L58))</f>
        <v>-259125.58065463221</v>
      </c>
      <c r="D78" s="714">
        <f>IF($B$26="","",-FV('Part II-Sources of Funds'!$K$40/12,12,D72/12,M58))</f>
        <v>-259125.58065463221</v>
      </c>
      <c r="E78" s="714">
        <f>IF($B$26="","",-FV('Part II-Sources of Funds'!$K$40/12,12,E72/12,N58))</f>
        <v>-259125.58065463221</v>
      </c>
      <c r="F78" s="714">
        <f>IF($B$26="","",-FV('Part II-Sources of Funds'!$K$40/12,12,F72/12,O58))</f>
        <v>-259125.58065463221</v>
      </c>
      <c r="G78" s="714">
        <f>IF($B$26="","",-FV('Part II-Sources of Funds'!$K$40/12,12,G72/12,P58))</f>
        <v>-259125.58065463221</v>
      </c>
      <c r="H78" s="714">
        <f>IF($B$26="","",-FV('Part II-Sources of Funds'!$K$40/12,12,H72/12,Q58))</f>
        <v>-259125.58065463221</v>
      </c>
      <c r="I78" s="714">
        <f>IF($B$26="","",-FV('Part II-Sources of Funds'!$K$40/12,12,I72/12,R58))</f>
        <v>-259125.58065463221</v>
      </c>
      <c r="J78" s="714">
        <f>IF($B$26="","",-FV('Part II-Sources of Funds'!$K$40/12,12,J72/12,S58))</f>
        <v>-259125.58065463221</v>
      </c>
      <c r="K78" s="714">
        <f>IF($B$26="","",-FV('Part II-Sources of Funds'!$K$40/12,12,K72/12,T58))</f>
        <v>-259125.58065463221</v>
      </c>
    </row>
    <row r="79" spans="1:11">
      <c r="A79" s="713" t="s">
        <v>1412</v>
      </c>
    </row>
    <row r="82" spans="1:2">
      <c r="A82" s="713" t="s">
        <v>3215</v>
      </c>
      <c r="B82" s="767" t="s">
        <v>334</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375" customWidth="1"/>
    <col min="2" max="2" width="1.7109375" style="375" customWidth="1"/>
    <col min="3" max="3" width="13" style="375" customWidth="1"/>
    <col min="4" max="4" width="11.28515625" style="375" customWidth="1"/>
    <col min="5" max="5" width="14.7109375" style="375" customWidth="1"/>
    <col min="6" max="6" width="15.28515625" style="375" customWidth="1"/>
    <col min="7" max="7" width="11.7109375" style="375" customWidth="1"/>
    <col min="8" max="8" width="11.42578125" style="375" customWidth="1"/>
    <col min="9" max="9" width="10.5703125" style="375" customWidth="1"/>
    <col min="10" max="10" width="6" style="375" customWidth="1"/>
    <col min="11" max="11" width="12.7109375" style="375" customWidth="1"/>
    <col min="12" max="12" width="10.7109375" style="375" customWidth="1"/>
    <col min="13" max="13" width="26.28515625" style="375" customWidth="1"/>
    <col min="14" max="14" width="9.28515625" style="375"/>
    <col min="15" max="15" width="12.42578125" style="375" customWidth="1"/>
    <col min="16" max="16" width="9.28515625" style="375"/>
    <col min="17" max="17" width="11.7109375" style="375" bestFit="1" customWidth="1"/>
    <col min="18" max="16384" width="9.28515625" style="375"/>
  </cols>
  <sheetData>
    <row r="1" spans="1:15" ht="13.5" customHeight="1">
      <c r="A1" s="376" t="s">
        <v>3216</v>
      </c>
      <c r="B1" s="376"/>
      <c r="C1" s="375" t="str">
        <f>'Sensitivity Analysis'!C8</f>
        <v>Finley Place</v>
      </c>
    </row>
    <row r="2" spans="1:15" ht="13.5" customHeight="1"/>
    <row r="3" spans="1:15" ht="13.5" customHeight="1">
      <c r="A3" s="376" t="s">
        <v>3217</v>
      </c>
      <c r="C3" s="375" t="s">
        <v>3218</v>
      </c>
      <c r="E3" s="432">
        <f>SUM('Part III-A-Uses of Funds'!J162,'Part III-A-Uses of Funds'!M162,'Part III-A-Uses of Funds'!P162)</f>
        <v>19065949</v>
      </c>
      <c r="F3" s="2615" t="s">
        <v>3219</v>
      </c>
      <c r="H3" s="758">
        <v>27.5</v>
      </c>
      <c r="I3" s="375" t="s">
        <v>513</v>
      </c>
      <c r="K3" s="380" t="s">
        <v>3220</v>
      </c>
      <c r="M3" s="2615"/>
      <c r="O3" s="433"/>
    </row>
    <row r="4" spans="1:15" ht="13.5" customHeight="1">
      <c r="C4" s="375" t="s">
        <v>3221</v>
      </c>
      <c r="E4" s="432">
        <f>SUM('Part III-A-Uses of Funds'!G97:H101)</f>
        <v>181100</v>
      </c>
      <c r="F4" s="2615" t="s">
        <v>3222</v>
      </c>
      <c r="H4" s="376">
        <f>'Part II-Sources of Funds'!M40</f>
        <v>35</v>
      </c>
      <c r="I4" s="375" t="s">
        <v>513</v>
      </c>
      <c r="K4" s="434" t="s">
        <v>3223</v>
      </c>
      <c r="M4" s="2615"/>
    </row>
    <row r="5" spans="1:15" ht="13.5" customHeight="1">
      <c r="C5" s="375" t="s">
        <v>3224</v>
      </c>
      <c r="E5" s="432">
        <f>SUM('Part III-A-Uses of Funds'!G105:H111)</f>
        <v>173000</v>
      </c>
      <c r="F5" s="2615" t="s">
        <v>3225</v>
      </c>
      <c r="H5" s="758">
        <v>15</v>
      </c>
      <c r="I5" s="375" t="s">
        <v>513</v>
      </c>
      <c r="K5" s="433">
        <f>-E6</f>
        <v>-16833964</v>
      </c>
    </row>
    <row r="6" spans="1:15" ht="13.5" customHeight="1">
      <c r="C6" s="375" t="s">
        <v>3226</v>
      </c>
      <c r="E6" s="435">
        <f>'Part II-Sources of Funds'!$I$51+'Part II-Sources of Funds'!$I$52</f>
        <v>16833964</v>
      </c>
      <c r="F6" s="2615" t="s">
        <v>3227</v>
      </c>
      <c r="H6" s="436">
        <v>0.35</v>
      </c>
      <c r="K6" s="433" t="e">
        <f>C24</f>
        <v>#VALUE!</v>
      </c>
      <c r="M6" s="375" t="s">
        <v>3228</v>
      </c>
      <c r="O6" s="437">
        <f>'Sensitivity Analysis'!K32</f>
        <v>0</v>
      </c>
    </row>
    <row r="7" spans="1:15" ht="13.5" customHeight="1">
      <c r="K7" s="433" t="e">
        <f>D24</f>
        <v>#VALUE!</v>
      </c>
      <c r="O7" s="438"/>
    </row>
    <row r="8" spans="1:15" ht="13.5" customHeight="1">
      <c r="A8" s="376" t="s">
        <v>495</v>
      </c>
      <c r="C8" s="439">
        <v>1</v>
      </c>
      <c r="D8" s="439">
        <v>2</v>
      </c>
      <c r="E8" s="439">
        <v>3</v>
      </c>
      <c r="F8" s="439">
        <v>4</v>
      </c>
      <c r="G8" s="439">
        <v>5</v>
      </c>
      <c r="H8" s="439">
        <v>6</v>
      </c>
      <c r="I8" s="439">
        <v>7</v>
      </c>
      <c r="K8" s="433" t="e">
        <f>E24</f>
        <v>#VALUE!</v>
      </c>
      <c r="M8" s="375" t="s">
        <v>3229</v>
      </c>
      <c r="O8" s="738" t="e">
        <f>#REF!+#REF!+#REF!</f>
        <v>#REF!</v>
      </c>
    </row>
    <row r="9" spans="1:15" ht="13.5" customHeight="1">
      <c r="A9" s="375" t="s">
        <v>3230</v>
      </c>
      <c r="C9" s="440">
        <f>'Part VI-Pro Forma'!B33</f>
        <v>55452.330067593255</v>
      </c>
      <c r="D9" s="440">
        <f>'Part VI-Pro Forma'!C33</f>
        <v>63365.151395593304</v>
      </c>
      <c r="E9" s="440">
        <f>'Part VI-Pro Forma'!D33</f>
        <v>64582.510450153262</v>
      </c>
      <c r="F9" s="440">
        <f>'Part VI-Pro Forma'!E33</f>
        <v>65678.298424804292</v>
      </c>
      <c r="G9" s="440">
        <f>'Part VI-Pro Forma'!F33</f>
        <v>66646.19155011879</v>
      </c>
      <c r="H9" s="440">
        <f>'Part VI-Pro Forma'!G33</f>
        <v>67480.643410844379</v>
      </c>
      <c r="I9" s="440">
        <f>'Part VI-Pro Forma'!H33</f>
        <v>68171.877007876697</v>
      </c>
      <c r="K9" s="433" t="e">
        <f>F24</f>
        <v>#VALUE!</v>
      </c>
      <c r="N9" s="441" t="s">
        <v>3231</v>
      </c>
    </row>
    <row r="10" spans="1:15" ht="13.5" customHeight="1">
      <c r="A10" s="375" t="s">
        <v>3232</v>
      </c>
      <c r="C10" s="735">
        <f>'Part II-Sources of Funds'!I40-'Part VI-Pro Forma'!B40</f>
        <v>22680.858156932984</v>
      </c>
      <c r="D10" s="442">
        <f>'Part VI-Pro Forma'!B40-'Part VI-Pro Forma'!C40</f>
        <v>24260.0795100783</v>
      </c>
      <c r="E10" s="442">
        <f>'Part VI-Pro Forma'!C40-'Part VI-Pro Forma'!D40</f>
        <v>25949.258787433151</v>
      </c>
      <c r="F10" s="442">
        <f>'Part VI-Pro Forma'!D40-'Part VI-Pro Forma'!E40</f>
        <v>27756.05213236995</v>
      </c>
      <c r="G10" s="442">
        <f>'Part VI-Pro Forma'!E40-'Part VI-Pro Forma'!F40</f>
        <v>29688.648769726511</v>
      </c>
      <c r="H10" s="442">
        <f>'Part VI-Pro Forma'!F40-'Part VI-Pro Forma'!G40</f>
        <v>31755.808123167604</v>
      </c>
      <c r="I10" s="442">
        <f>'Part VI-Pro Forma'!G40-'Part VI-Pro Forma'!H40</f>
        <v>33966.899516954087</v>
      </c>
      <c r="K10" s="433" t="e">
        <f>G24</f>
        <v>#VALUE!</v>
      </c>
      <c r="N10" s="441" t="s">
        <v>3233</v>
      </c>
      <c r="O10" s="438"/>
    </row>
    <row r="11" spans="1:15" ht="13.5" customHeight="1">
      <c r="A11" s="375" t="s">
        <v>3232</v>
      </c>
      <c r="C11" s="735">
        <f>'Part II-Sources of Funds'!I41-'Part VI-Pro Forma'!B41</f>
        <v>-22903.946962057147</v>
      </c>
      <c r="D11" s="442">
        <f>'Part VI-Pro Forma'!B41-'Part VI-Pro Forma'!C41</f>
        <v>-23134.039117400069</v>
      </c>
      <c r="E11" s="442">
        <f>'Part VI-Pro Forma'!C41-'Part VI-Pro Forma'!D41</f>
        <v>-23366.442769535817</v>
      </c>
      <c r="F11" s="442">
        <f>'Part VI-Pro Forma'!D41-'Part VI-Pro Forma'!E41</f>
        <v>-23601.181139671244</v>
      </c>
      <c r="G11" s="442">
        <f>'Part VI-Pro Forma'!E41-'Part VI-Pro Forma'!F41</f>
        <v>-23838.277682291809</v>
      </c>
      <c r="H11" s="442">
        <f>'Part VI-Pro Forma'!F41-'Part VI-Pro Forma'!G41</f>
        <v>-24077.756087505724</v>
      </c>
      <c r="I11" s="442">
        <f>'Part VI-Pro Forma'!G41-'Part VI-Pro Forma'!H41</f>
        <v>-24319.640283411834</v>
      </c>
      <c r="K11" s="433" t="e">
        <f>H24</f>
        <v>#VALUE!</v>
      </c>
      <c r="O11" s="438"/>
    </row>
    <row r="12" spans="1:15" ht="13.5" customHeight="1">
      <c r="A12" s="375" t="s">
        <v>3232</v>
      </c>
      <c r="C12" s="735"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75" t="s">
        <v>3234</v>
      </c>
      <c r="N12" s="443">
        <v>0.06</v>
      </c>
      <c r="O12" s="438">
        <f>N12*O6</f>
        <v>0</v>
      </c>
    </row>
    <row r="13" spans="1:15" ht="13.5" customHeight="1">
      <c r="A13" s="444" t="s">
        <v>3235</v>
      </c>
      <c r="B13" s="444"/>
      <c r="C13" s="736">
        <f>'Part VI-Pro Forma'!B23</f>
        <v>-17400</v>
      </c>
      <c r="D13" s="736">
        <f>'Part VI-Pro Forma'!C23</f>
        <v>-17922</v>
      </c>
      <c r="E13" s="736">
        <f>'Part VI-Pro Forma'!D23</f>
        <v>-18459.66</v>
      </c>
      <c r="F13" s="736">
        <f>'Part VI-Pro Forma'!E23</f>
        <v>-19013.449799999999</v>
      </c>
      <c r="G13" s="736">
        <f>'Part VI-Pro Forma'!F23</f>
        <v>-19583.853293999997</v>
      </c>
      <c r="H13" s="736">
        <f>'Part VI-Pro Forma'!G23</f>
        <v>-20171.368892819999</v>
      </c>
      <c r="I13" s="736">
        <f>'Part VI-Pro Forma'!H23</f>
        <v>-20776.509959604598</v>
      </c>
      <c r="K13" s="433" t="e">
        <f>C44</f>
        <v>#VALUE!</v>
      </c>
      <c r="O13" s="438"/>
    </row>
    <row r="14" spans="1:15" ht="13.5" customHeight="1">
      <c r="A14" s="444" t="s">
        <v>3236</v>
      </c>
      <c r="B14" s="444"/>
      <c r="C14" s="736">
        <f>'Part VI-Pro Forma'!B32</f>
        <v>-6582</v>
      </c>
      <c r="D14" s="736">
        <f>'Part VI-Pro Forma'!C32</f>
        <v>0</v>
      </c>
      <c r="E14" s="736">
        <f>'Part VI-Pro Forma'!D32</f>
        <v>0</v>
      </c>
      <c r="F14" s="736">
        <f>'Part VI-Pro Forma'!E32</f>
        <v>0</v>
      </c>
      <c r="G14" s="736">
        <f>'Part VI-Pro Forma'!F32</f>
        <v>0</v>
      </c>
      <c r="H14" s="736">
        <f>'Part VI-Pro Forma'!G32</f>
        <v>0</v>
      </c>
      <c r="I14" s="736">
        <f>'Part VI-Pro Forma'!H32</f>
        <v>0</v>
      </c>
      <c r="K14" s="433" t="e">
        <f>D44</f>
        <v>#VALUE!</v>
      </c>
      <c r="M14" s="375" t="s">
        <v>3237</v>
      </c>
      <c r="O14" s="438" t="e">
        <f>O6-O8-O12</f>
        <v>#REF!</v>
      </c>
    </row>
    <row r="15" spans="1:15" ht="13.5" customHeight="1">
      <c r="A15" s="375" t="s">
        <v>3238</v>
      </c>
      <c r="C15" s="445">
        <f t="shared" ref="C15:I15" si="0">$E$3/$H$3</f>
        <v>693307.23636363633</v>
      </c>
      <c r="D15" s="445">
        <f t="shared" si="0"/>
        <v>693307.23636363633</v>
      </c>
      <c r="E15" s="445">
        <f t="shared" si="0"/>
        <v>693307.23636363633</v>
      </c>
      <c r="F15" s="445">
        <f t="shared" si="0"/>
        <v>693307.23636363633</v>
      </c>
      <c r="G15" s="445">
        <f t="shared" si="0"/>
        <v>693307.23636363633</v>
      </c>
      <c r="H15" s="445">
        <f t="shared" si="0"/>
        <v>693307.23636363633</v>
      </c>
      <c r="I15" s="445">
        <f t="shared" si="0"/>
        <v>693307.23636363633</v>
      </c>
      <c r="K15" s="433" t="e">
        <f>E44</f>
        <v>#VALUE!</v>
      </c>
      <c r="O15" s="438"/>
    </row>
    <row r="16" spans="1:15" ht="13.5" customHeight="1">
      <c r="A16" s="375" t="s">
        <v>3239</v>
      </c>
      <c r="C16" s="445">
        <f>IF(C$8&lt;=$H$4,($E$4/$H$4),0)+IF(C$8&lt;=$H$5,($E$5/$H$5),0)</f>
        <v>16707.61904761905</v>
      </c>
      <c r="D16" s="445">
        <f t="shared" ref="D16:I16" si="1">IF(D$8&lt;=$H$4,($E$4/$H$4),0)+IF(D$8&lt;=$H$5,($E$5/$H$5),0)</f>
        <v>16707.61904761905</v>
      </c>
      <c r="E16" s="445">
        <f t="shared" si="1"/>
        <v>16707.61904761905</v>
      </c>
      <c r="F16" s="445">
        <f t="shared" si="1"/>
        <v>16707.61904761905</v>
      </c>
      <c r="G16" s="445">
        <f t="shared" si="1"/>
        <v>16707.61904761905</v>
      </c>
      <c r="H16" s="445">
        <f t="shared" si="1"/>
        <v>16707.61904761905</v>
      </c>
      <c r="I16" s="445">
        <f t="shared" si="1"/>
        <v>16707.61904761905</v>
      </c>
      <c r="K16" s="433" t="e">
        <f>F44</f>
        <v>#VALUE!</v>
      </c>
      <c r="M16" s="375" t="s">
        <v>3240</v>
      </c>
      <c r="O16" s="438">
        <f>E3</f>
        <v>19065949</v>
      </c>
    </row>
    <row r="17" spans="1:17" ht="13.5" customHeight="1">
      <c r="A17" s="375" t="s">
        <v>3241</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75" t="s">
        <v>3238</v>
      </c>
      <c r="O17" s="438">
        <f>20*(E3/H3)</f>
        <v>13866144.727272727</v>
      </c>
    </row>
    <row r="18" spans="1:17" ht="13.5" customHeight="1">
      <c r="A18" s="375" t="s">
        <v>3242</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75" t="s">
        <v>3243</v>
      </c>
      <c r="O19" s="438">
        <f>O16-O17</f>
        <v>5199804.2727272734</v>
      </c>
    </row>
    <row r="20" spans="1:17" ht="13.5" customHeight="1">
      <c r="A20" s="375" t="s">
        <v>3244</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75" t="s">
        <v>3245</v>
      </c>
      <c r="C21" s="446">
        <f>'Part III-A-Uses of Funds'!$J$191</f>
        <v>1295000</v>
      </c>
      <c r="D21" s="446">
        <f t="shared" ref="D21:I21" si="5">C21</f>
        <v>1295000</v>
      </c>
      <c r="E21" s="446">
        <f t="shared" si="5"/>
        <v>1295000</v>
      </c>
      <c r="F21" s="446">
        <f t="shared" si="5"/>
        <v>1295000</v>
      </c>
      <c r="G21" s="446">
        <f t="shared" si="5"/>
        <v>1295000</v>
      </c>
      <c r="H21" s="446">
        <f t="shared" si="5"/>
        <v>1295000</v>
      </c>
      <c r="I21" s="446">
        <f t="shared" si="5"/>
        <v>1295000</v>
      </c>
      <c r="J21" s="375" t="s">
        <v>3017</v>
      </c>
      <c r="K21" s="433" t="e">
        <f>D64</f>
        <v>#VALUE!</v>
      </c>
      <c r="O21" s="438"/>
    </row>
    <row r="22" spans="1:17" ht="13.5" customHeight="1">
      <c r="A22" s="375" t="s">
        <v>3246</v>
      </c>
      <c r="C22" s="446">
        <f>C21</f>
        <v>1295000</v>
      </c>
      <c r="D22" s="446">
        <f t="shared" ref="D22:I22" si="6">D21</f>
        <v>1295000</v>
      </c>
      <c r="E22" s="446">
        <f t="shared" si="6"/>
        <v>1295000</v>
      </c>
      <c r="F22" s="446">
        <f t="shared" si="6"/>
        <v>1295000</v>
      </c>
      <c r="G22" s="446">
        <f t="shared" si="6"/>
        <v>1295000</v>
      </c>
      <c r="H22" s="446">
        <f t="shared" si="6"/>
        <v>1295000</v>
      </c>
      <c r="I22" s="446">
        <f t="shared" si="6"/>
        <v>1295000</v>
      </c>
      <c r="K22" s="433" t="e">
        <f>E64</f>
        <v>#VALUE!</v>
      </c>
      <c r="M22" s="375" t="s">
        <v>3228</v>
      </c>
      <c r="O22" s="438">
        <f>O6</f>
        <v>0</v>
      </c>
    </row>
    <row r="23" spans="1:17" ht="13.5" customHeight="1">
      <c r="A23" s="375" t="s">
        <v>3247</v>
      </c>
      <c r="C23" s="440">
        <v>0</v>
      </c>
      <c r="D23" s="440">
        <v>0</v>
      </c>
      <c r="E23" s="440">
        <v>0</v>
      </c>
      <c r="F23" s="440">
        <v>0</v>
      </c>
      <c r="G23" s="440">
        <v>0</v>
      </c>
      <c r="H23" s="440">
        <v>0</v>
      </c>
      <c r="I23" s="440">
        <v>0</v>
      </c>
      <c r="K23" s="433" t="e">
        <f>F64</f>
        <v>#VALUE!</v>
      </c>
      <c r="M23" s="375" t="s">
        <v>3248</v>
      </c>
      <c r="O23" s="438">
        <f>O19</f>
        <v>5199804.2727272734</v>
      </c>
    </row>
    <row r="24" spans="1:17" ht="13.5" customHeight="1">
      <c r="A24" s="375" t="s">
        <v>3220</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75" t="s">
        <v>3249</v>
      </c>
      <c r="O25" s="438">
        <f>O22-O23</f>
        <v>-5199804.2727272734</v>
      </c>
      <c r="Q25" s="447"/>
    </row>
    <row r="26" spans="1:17" ht="13.5" customHeight="1">
      <c r="A26" s="448"/>
      <c r="B26" s="448"/>
      <c r="C26" s="448"/>
      <c r="D26" s="448"/>
      <c r="E26" s="448"/>
      <c r="F26" s="448"/>
      <c r="G26" s="448"/>
      <c r="H26" s="448"/>
      <c r="I26" s="448"/>
      <c r="K26" s="433"/>
      <c r="O26" s="438"/>
    </row>
    <row r="27" spans="1:17" ht="13.5" customHeight="1">
      <c r="K27" s="433"/>
      <c r="M27" s="375" t="s">
        <v>3250</v>
      </c>
      <c r="N27" s="449"/>
      <c r="O27" s="443">
        <v>0.2</v>
      </c>
    </row>
    <row r="28" spans="1:17" ht="13.5" customHeight="1">
      <c r="A28" s="376" t="s">
        <v>495</v>
      </c>
      <c r="B28" s="376"/>
      <c r="C28" s="439">
        <v>8</v>
      </c>
      <c r="D28" s="439">
        <v>9</v>
      </c>
      <c r="E28" s="439">
        <v>10</v>
      </c>
      <c r="F28" s="439">
        <v>11</v>
      </c>
      <c r="G28" s="439">
        <v>12</v>
      </c>
      <c r="H28" s="439">
        <v>13</v>
      </c>
      <c r="I28" s="439">
        <v>14</v>
      </c>
      <c r="N28" s="449"/>
      <c r="O28" s="449"/>
    </row>
    <row r="29" spans="1:17" ht="13.5" customHeight="1">
      <c r="A29" s="375" t="s">
        <v>3230</v>
      </c>
      <c r="C29" s="440">
        <f>'Part VI-Pro Forma'!I33</f>
        <v>68713.876556914474</v>
      </c>
      <c r="D29" s="440">
        <f>'Part VI-Pro Forma'!J33</f>
        <v>69098.37901540054</v>
      </c>
      <c r="E29" s="440">
        <f>'Part VI-Pro Forma'!K33</f>
        <v>69317.865329076943</v>
      </c>
      <c r="F29" s="440">
        <f>'Part VI-Pro Forma'!B65</f>
        <v>69362.551389228611</v>
      </c>
      <c r="G29" s="440">
        <f>'Part VI-Pro Forma'!C65</f>
        <v>69225.378691390739</v>
      </c>
      <c r="H29" s="440">
        <f>'Part VI-Pro Forma'!D65</f>
        <v>68895.004686028347</v>
      </c>
      <c r="I29" s="440">
        <f>'Part VI-Pro Forma'!E65</f>
        <v>68362.792811383377</v>
      </c>
      <c r="N29" s="449"/>
      <c r="O29" s="449"/>
    </row>
    <row r="30" spans="1:17" ht="13.5" customHeight="1">
      <c r="A30" s="375" t="s">
        <v>3232</v>
      </c>
      <c r="C30" s="442">
        <f>'Part VI-Pro Forma'!H40-'Part VI-Pro Forma'!I40</f>
        <v>36331.944642061368</v>
      </c>
      <c r="D30" s="442">
        <f>'Part VI-Pro Forma'!I40-'Part VI-Pro Forma'!J40</f>
        <v>38861.662979129236</v>
      </c>
      <c r="E30" s="442">
        <f>'Part VI-Pro Forma'!J40-'Part VI-Pro Forma'!K40</f>
        <v>41567.520384115167</v>
      </c>
      <c r="F30" s="733">
        <f>'Part VI-Pro Forma'!K40-'Part VI-Pro Forma'!B72</f>
        <v>44461.781056867912</v>
      </c>
      <c r="G30" s="733">
        <f>'Part VI-Pro Forma'!B72-'Part VI-Pro Forma'!C72</f>
        <v>47557.563128164969</v>
      </c>
      <c r="H30" s="733">
        <f>'Part VI-Pro Forma'!C72-'Part VI-Pro Forma'!D72</f>
        <v>50868.898117162753</v>
      </c>
      <c r="I30" s="733">
        <f>'Part VI-Pro Forma'!D72-'Part VI-Pro Forma'!E72</f>
        <v>54410.794528742321</v>
      </c>
    </row>
    <row r="31" spans="1:17" ht="13.5" customHeight="1">
      <c r="A31" s="375" t="s">
        <v>3232</v>
      </c>
      <c r="C31" s="442">
        <f>'Part VI-Pro Forma'!H41-'Part VI-Pro Forma'!I41</f>
        <v>-24563.954438489396</v>
      </c>
      <c r="D31" s="442">
        <f>'Part VI-Pro Forma'!I41-'Part VI-Pro Forma'!J41</f>
        <v>-24810.722964012995</v>
      </c>
      <c r="E31" s="442">
        <f>'Part VI-Pro Forma'!J41-'Part VI-Pro Forma'!K41</f>
        <v>-25059.970516492147</v>
      </c>
      <c r="F31" s="733">
        <f>'Part VI-Pro Forma'!K41-'Part VI-Pro Forma'!B73</f>
        <v>-25311.722000134643</v>
      </c>
      <c r="G31" s="733">
        <f>'Part VI-Pro Forma'!B73-'Part VI-Pro Forma'!C73</f>
        <v>-25566.002569335047</v>
      </c>
      <c r="H31" s="733">
        <f>'Part VI-Pro Forma'!C73-'Part VI-Pro Forma'!D73</f>
        <v>-25822.837631188333</v>
      </c>
      <c r="I31" s="733">
        <f>'Part VI-Pro Forma'!D73-'Part VI-Pro Forma'!E73</f>
        <v>-26082.252848027274</v>
      </c>
      <c r="K31" s="375" t="s">
        <v>3017</v>
      </c>
      <c r="M31" s="375" t="s">
        <v>3251</v>
      </c>
      <c r="O31" s="440">
        <f>O25*O27</f>
        <v>-1039960.8545454547</v>
      </c>
    </row>
    <row r="32" spans="1:17" ht="13.5" customHeight="1">
      <c r="A32" s="375" t="s">
        <v>3232</v>
      </c>
      <c r="C32" s="442" t="e">
        <f>'Part VI-Pro Forma'!H42-'Part VI-Pro Forma'!I42</f>
        <v>#VALUE!</v>
      </c>
      <c r="D32" s="442" t="e">
        <f>'Part VI-Pro Forma'!I42-'Part VI-Pro Forma'!J42</f>
        <v>#VALUE!</v>
      </c>
      <c r="E32" s="442" t="e">
        <f>'Part VI-Pro Forma'!J42-'Part VI-Pro Forma'!K42</f>
        <v>#VALUE!</v>
      </c>
      <c r="F32" s="733" t="e">
        <f>'Part VI-Pro Forma'!K42-'Part VI-Pro Forma'!B74</f>
        <v>#VALUE!</v>
      </c>
      <c r="G32" s="733" t="e">
        <f>'Part VI-Pro Forma'!B74-'Part VI-Pro Forma'!C74</f>
        <v>#VALUE!</v>
      </c>
      <c r="H32" s="733" t="e">
        <f>'Part VI-Pro Forma'!C74-'Part VI-Pro Forma'!D74</f>
        <v>#VALUE!</v>
      </c>
      <c r="I32" s="733" t="e">
        <f>'Part VI-Pro Forma'!D74-'Part VI-Pro Forma'!E74</f>
        <v>#VALUE!</v>
      </c>
    </row>
    <row r="33" spans="1:15" ht="13.5" customHeight="1">
      <c r="A33" s="444" t="s">
        <v>3235</v>
      </c>
      <c r="B33" s="444"/>
      <c r="C33" s="736">
        <f>'Part VI-Pro Forma'!I23</f>
        <v>-21399.805258392738</v>
      </c>
      <c r="D33" s="736">
        <f>'Part VI-Pro Forma'!J23</f>
        <v>-22041.799416144517</v>
      </c>
      <c r="E33" s="736">
        <f>'Part VI-Pro Forma'!K23</f>
        <v>-22703.053398628854</v>
      </c>
      <c r="F33" s="736">
        <f>'Part VI-Pro Forma'!B55</f>
        <v>-23384.14500058772</v>
      </c>
      <c r="G33" s="736">
        <f>'Part VI-Pro Forma'!C55</f>
        <v>-24085.669350605353</v>
      </c>
      <c r="H33" s="736">
        <f>'Part VI-Pro Forma'!D55</f>
        <v>-24808.239431123508</v>
      </c>
      <c r="I33" s="736">
        <f>'Part VI-Pro Forma'!E55</f>
        <v>-25552.486614057212</v>
      </c>
      <c r="K33" s="375" t="s">
        <v>3017</v>
      </c>
      <c r="M33" s="375" t="s">
        <v>3252</v>
      </c>
      <c r="O33" s="440" t="e">
        <f>O14-O31</f>
        <v>#REF!</v>
      </c>
    </row>
    <row r="34" spans="1:15" ht="13.5" customHeight="1">
      <c r="A34" s="444" t="s">
        <v>3236</v>
      </c>
      <c r="B34" s="444"/>
      <c r="C34" s="736">
        <f>'Part VI-Pro Forma'!I32</f>
        <v>0</v>
      </c>
      <c r="D34" s="736">
        <f>'Part VI-Pro Forma'!J32</f>
        <v>0</v>
      </c>
      <c r="E34" s="736">
        <f>'Part VI-Pro Forma'!K32</f>
        <v>0</v>
      </c>
      <c r="F34" s="736">
        <f>'Part VI-Pro Forma'!B64</f>
        <v>0</v>
      </c>
      <c r="G34" s="736">
        <f>'Part VI-Pro Forma'!C64</f>
        <v>0</v>
      </c>
      <c r="H34" s="736">
        <f>'Part VI-Pro Forma'!D64</f>
        <v>0</v>
      </c>
      <c r="I34" s="736">
        <f>'Part VI-Pro Forma'!E64</f>
        <v>0</v>
      </c>
    </row>
    <row r="35" spans="1:15" ht="13.5" customHeight="1">
      <c r="A35" s="375" t="s">
        <v>3238</v>
      </c>
      <c r="C35" s="445">
        <f t="shared" ref="C35:I35" si="8">$E$3/$H$3</f>
        <v>693307.23636363633</v>
      </c>
      <c r="D35" s="445">
        <f t="shared" si="8"/>
        <v>693307.23636363633</v>
      </c>
      <c r="E35" s="445">
        <f t="shared" si="8"/>
        <v>693307.23636363633</v>
      </c>
      <c r="F35" s="445">
        <f t="shared" si="8"/>
        <v>693307.23636363633</v>
      </c>
      <c r="G35" s="445">
        <f t="shared" si="8"/>
        <v>693307.23636363633</v>
      </c>
      <c r="H35" s="445">
        <f t="shared" si="8"/>
        <v>693307.23636363633</v>
      </c>
      <c r="I35" s="445">
        <f t="shared" si="8"/>
        <v>693307.23636363633</v>
      </c>
    </row>
    <row r="36" spans="1:15" ht="13.5" customHeight="1">
      <c r="A36" s="375" t="s">
        <v>3239</v>
      </c>
      <c r="C36" s="440">
        <f>IF(C$28&lt;=$H$4,($E$4/$H$4),0)+IF(C$28&lt;=$H$5,($E$5/$H$5),0)</f>
        <v>16707.61904761905</v>
      </c>
      <c r="D36" s="440">
        <f t="shared" ref="D36:I36" si="9">IF(D$28&lt;=$H$4,($E$4/$H$4),0)+IF(D$28&lt;=$H$5,($E$5/$H$5),0)</f>
        <v>16707.61904761905</v>
      </c>
      <c r="E36" s="440">
        <f t="shared" si="9"/>
        <v>16707.61904761905</v>
      </c>
      <c r="F36" s="440">
        <f t="shared" si="9"/>
        <v>16707.61904761905</v>
      </c>
      <c r="G36" s="440">
        <f t="shared" si="9"/>
        <v>16707.61904761905</v>
      </c>
      <c r="H36" s="440">
        <f t="shared" si="9"/>
        <v>16707.61904761905</v>
      </c>
      <c r="I36" s="440">
        <f t="shared" si="9"/>
        <v>16707.61904761905</v>
      </c>
    </row>
    <row r="37" spans="1:15" ht="13.5" customHeight="1">
      <c r="A37" s="375" t="s">
        <v>3241</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75" t="s">
        <v>3242</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75" t="s">
        <v>3244</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75" t="s">
        <v>3245</v>
      </c>
      <c r="C41" s="446">
        <f>C21</f>
        <v>1295000</v>
      </c>
      <c r="D41" s="446">
        <f>C41</f>
        <v>1295000</v>
      </c>
      <c r="E41" s="446">
        <f>D41</f>
        <v>1295000</v>
      </c>
      <c r="F41" s="446">
        <v>0</v>
      </c>
      <c r="G41" s="446">
        <v>0</v>
      </c>
      <c r="H41" s="446">
        <v>0</v>
      </c>
      <c r="I41" s="446">
        <v>0</v>
      </c>
    </row>
    <row r="42" spans="1:15" ht="13.5" customHeight="1">
      <c r="A42" s="375" t="s">
        <v>3246</v>
      </c>
      <c r="C42" s="446">
        <f>C22</f>
        <v>1295000</v>
      </c>
      <c r="D42" s="446">
        <f>C42</f>
        <v>1295000</v>
      </c>
      <c r="E42" s="446">
        <f>D42</f>
        <v>1295000</v>
      </c>
      <c r="F42" s="446">
        <v>0</v>
      </c>
      <c r="G42" s="446">
        <v>0</v>
      </c>
      <c r="H42" s="446">
        <v>0</v>
      </c>
      <c r="I42" s="446">
        <v>0</v>
      </c>
    </row>
    <row r="43" spans="1:15" ht="13.5" customHeight="1">
      <c r="A43" s="375" t="s">
        <v>3247</v>
      </c>
      <c r="C43" s="442">
        <v>0</v>
      </c>
      <c r="D43" s="442">
        <v>0</v>
      </c>
      <c r="E43" s="442">
        <v>0</v>
      </c>
      <c r="F43" s="442">
        <v>0</v>
      </c>
      <c r="G43" s="442">
        <v>0</v>
      </c>
      <c r="H43" s="442">
        <v>0</v>
      </c>
      <c r="I43" s="442">
        <v>0</v>
      </c>
    </row>
    <row r="44" spans="1:15" ht="13.5" customHeight="1">
      <c r="A44" s="375" t="s">
        <v>3220</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80"/>
    </row>
    <row r="48" spans="1:15" ht="13.5" customHeight="1">
      <c r="A48" s="376" t="s">
        <v>495</v>
      </c>
      <c r="B48" s="376"/>
      <c r="C48" s="439">
        <v>15</v>
      </c>
      <c r="D48" s="376">
        <v>16</v>
      </c>
      <c r="E48" s="376">
        <v>17</v>
      </c>
      <c r="F48" s="376">
        <v>18</v>
      </c>
      <c r="G48" s="376">
        <v>19</v>
      </c>
      <c r="H48" s="376">
        <v>20</v>
      </c>
    </row>
    <row r="49" spans="1:10" ht="13.5" customHeight="1">
      <c r="A49" s="375" t="s">
        <v>3230</v>
      </c>
      <c r="C49" s="440">
        <f>'Part VI-Pro Forma'!F65</f>
        <v>67619.802198395249</v>
      </c>
      <c r="D49" s="440">
        <f>'Part VI-Pro Forma'!G62</f>
        <v>0</v>
      </c>
      <c r="E49" s="440">
        <f>'Part VI-Pro Forma'!H62</f>
        <v>0</v>
      </c>
      <c r="F49" s="440">
        <f>'Part VI-Pro Forma'!I62</f>
        <v>0</v>
      </c>
      <c r="G49" s="440">
        <f>'Part VI-Pro Forma'!J62</f>
        <v>0</v>
      </c>
      <c r="H49" s="440">
        <f>'Part VI-Pro Forma'!K62</f>
        <v>0</v>
      </c>
    </row>
    <row r="50" spans="1:10" ht="13.5" customHeight="1">
      <c r="A50" s="375" t="s">
        <v>3232</v>
      </c>
      <c r="C50" s="734">
        <f>'Part VI-Pro Forma'!E72-'Part VI-Pro Forma'!F72</f>
        <v>58199.305879011285</v>
      </c>
      <c r="D50" s="734">
        <f>'Part VI-Pro Forma'!F72-'Part VI-Pro Forma'!G72</f>
        <v>62251.603457278106</v>
      </c>
      <c r="E50" s="734">
        <f>'Part VI-Pro Forma'!G72-'Part VI-Pro Forma'!H72</f>
        <v>66586.054154295009</v>
      </c>
      <c r="F50" s="734">
        <f>'Part VI-Pro Forma'!H72-'Part VI-Pro Forma'!I72</f>
        <v>71222.303709517233</v>
      </c>
      <c r="G50" s="734">
        <f>'Part VI-Pro Forma'!I72-'Part VI-Pro Forma'!J72</f>
        <v>76181.365754701663</v>
      </c>
      <c r="H50" s="734">
        <f>'Part VI-Pro Forma'!J72-'Part VI-Pro Forma'!K72</f>
        <v>81485.717057423666</v>
      </c>
    </row>
    <row r="51" spans="1:10" ht="13.5" customHeight="1">
      <c r="A51" s="375" t="s">
        <v>3232</v>
      </c>
      <c r="C51" s="734">
        <f>'Part VI-Pro Forma'!E73-'Part VI-Pro Forma'!F73</f>
        <v>-26344.274139988236</v>
      </c>
      <c r="D51" s="734">
        <f>'Part VI-Pro Forma'!F73-'Part VI-Pro Forma'!G73</f>
        <v>-26608.927687599324</v>
      </c>
      <c r="E51" s="734">
        <f>'Part VI-Pro Forma'!G73-'Part VI-Pro Forma'!H73</f>
        <v>-26876.239934398793</v>
      </c>
      <c r="F51" s="734">
        <f>'Part VI-Pro Forma'!H73-'Part VI-Pro Forma'!I73</f>
        <v>-27146.237589574419</v>
      </c>
      <c r="G51" s="734">
        <f>'Part VI-Pro Forma'!I73-'Part VI-Pro Forma'!J73</f>
        <v>-27418.9476306336</v>
      </c>
      <c r="H51" s="734">
        <f>'Part VI-Pro Forma'!J73-'Part VI-Pro Forma'!K73</f>
        <v>-27694.397306098137</v>
      </c>
    </row>
    <row r="52" spans="1:10" ht="13.5" customHeight="1">
      <c r="A52" s="375" t="s">
        <v>3232</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3235</v>
      </c>
      <c r="B53" s="444"/>
      <c r="C53" s="736">
        <f>'Part VI-Pro Forma'!F55</f>
        <v>-26319.061212478933</v>
      </c>
      <c r="D53" s="736">
        <f>'Part VI-Pro Forma'!G55</f>
        <v>-27108.633048853302</v>
      </c>
      <c r="E53" s="736">
        <f>'Part VI-Pro Forma'!H55</f>
        <v>-27921.892040318897</v>
      </c>
      <c r="F53" s="736">
        <f>'Part VI-Pro Forma'!I55</f>
        <v>-28759.548801528461</v>
      </c>
      <c r="G53" s="736">
        <f>'Part VI-Pro Forma'!J55</f>
        <v>-29622.335265574315</v>
      </c>
      <c r="H53" s="736">
        <f>'Part VI-Pro Forma'!K55</f>
        <v>-30511.005323541543</v>
      </c>
    </row>
    <row r="54" spans="1:10" ht="13.5" customHeight="1">
      <c r="A54" s="444" t="s">
        <v>3236</v>
      </c>
      <c r="C54" s="737">
        <f>'Part VI-Pro Forma'!F64</f>
        <v>0</v>
      </c>
      <c r="D54" s="737">
        <f>'Part VI-Pro Forma'!G64</f>
        <v>0</v>
      </c>
      <c r="E54" s="737">
        <f>'Part VI-Pro Forma'!H64</f>
        <v>0</v>
      </c>
      <c r="F54" s="737">
        <f>'Part VI-Pro Forma'!I64</f>
        <v>0</v>
      </c>
      <c r="G54" s="737">
        <f>'Part VI-Pro Forma'!J64</f>
        <v>0</v>
      </c>
      <c r="H54" s="737">
        <f>'Part VI-Pro Forma'!K64</f>
        <v>0</v>
      </c>
    </row>
    <row r="55" spans="1:10" ht="13.5" customHeight="1">
      <c r="A55" s="375" t="s">
        <v>3238</v>
      </c>
      <c r="C55" s="445">
        <f t="shared" ref="C55:H55" si="14">$E$3/$H$3</f>
        <v>693307.23636363633</v>
      </c>
      <c r="D55" s="445">
        <f t="shared" si="14"/>
        <v>693307.23636363633</v>
      </c>
      <c r="E55" s="445">
        <f t="shared" si="14"/>
        <v>693307.23636363633</v>
      </c>
      <c r="F55" s="445">
        <f t="shared" si="14"/>
        <v>693307.23636363633</v>
      </c>
      <c r="G55" s="445">
        <f t="shared" si="14"/>
        <v>693307.23636363633</v>
      </c>
      <c r="H55" s="445">
        <f t="shared" si="14"/>
        <v>693307.23636363633</v>
      </c>
    </row>
    <row r="56" spans="1:10" ht="13.5" customHeight="1">
      <c r="A56" s="375" t="s">
        <v>3239</v>
      </c>
      <c r="C56" s="440">
        <f t="shared" ref="C56:H56" si="15">IF(C$48&lt;=$H$4,($E$4/$H$4),0)+IF(C$48&lt;=$H$5,($E$5/$H$5),0)</f>
        <v>16707.61904761905</v>
      </c>
      <c r="D56" s="440">
        <f t="shared" si="15"/>
        <v>5174.2857142857147</v>
      </c>
      <c r="E56" s="440">
        <f t="shared" si="15"/>
        <v>5174.2857142857147</v>
      </c>
      <c r="F56" s="440">
        <f t="shared" si="15"/>
        <v>5174.2857142857147</v>
      </c>
      <c r="G56" s="440">
        <f t="shared" si="15"/>
        <v>5174.2857142857147</v>
      </c>
      <c r="H56" s="440">
        <f t="shared" si="15"/>
        <v>5174.2857142857147</v>
      </c>
    </row>
    <row r="57" spans="1:10" ht="13.5" customHeight="1">
      <c r="A57" s="375" t="s">
        <v>3241</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75" t="s">
        <v>3242</v>
      </c>
      <c r="C58" s="445" t="e">
        <f t="shared" ref="C58:H58" si="17">C57*$H$6</f>
        <v>#VALUE!</v>
      </c>
      <c r="D58" s="445" t="e">
        <f t="shared" si="17"/>
        <v>#VALUE!</v>
      </c>
      <c r="E58" s="445" t="e">
        <f t="shared" si="17"/>
        <v>#VALUE!</v>
      </c>
      <c r="F58" s="445" t="e">
        <f t="shared" si="17"/>
        <v>#VALUE!</v>
      </c>
      <c r="G58" s="445" t="e">
        <f t="shared" si="17"/>
        <v>#VALUE!</v>
      </c>
      <c r="H58" s="445" t="e">
        <f t="shared" si="17"/>
        <v>#VALUE!</v>
      </c>
      <c r="J58" s="375" t="s">
        <v>3017</v>
      </c>
    </row>
    <row r="59" spans="1:10" s="451" customFormat="1" ht="16.5" customHeight="1">
      <c r="A59" s="375"/>
      <c r="B59" s="375"/>
      <c r="C59" s="440"/>
      <c r="D59" s="440"/>
      <c r="E59" s="440"/>
      <c r="F59" s="440"/>
      <c r="G59" s="440"/>
      <c r="H59" s="440"/>
      <c r="I59" s="375"/>
      <c r="J59" s="375"/>
    </row>
    <row r="60" spans="1:10">
      <c r="A60" s="375" t="s">
        <v>3244</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75" t="s">
        <v>3245</v>
      </c>
      <c r="C61" s="445">
        <v>0</v>
      </c>
      <c r="D61" s="445">
        <v>0</v>
      </c>
      <c r="E61" s="445">
        <v>0</v>
      </c>
      <c r="F61" s="445">
        <v>0</v>
      </c>
      <c r="G61" s="445">
        <v>0</v>
      </c>
      <c r="H61" s="440">
        <v>0</v>
      </c>
    </row>
    <row r="62" spans="1:10">
      <c r="A62" s="375" t="s">
        <v>3246</v>
      </c>
      <c r="C62" s="445">
        <v>0</v>
      </c>
      <c r="D62" s="440">
        <v>0</v>
      </c>
      <c r="E62" s="440">
        <v>0</v>
      </c>
      <c r="F62" s="440">
        <v>0</v>
      </c>
      <c r="G62" s="440">
        <v>0</v>
      </c>
      <c r="H62" s="440">
        <v>0</v>
      </c>
    </row>
    <row r="63" spans="1:10">
      <c r="A63" s="375" t="s">
        <v>3247</v>
      </c>
      <c r="C63" s="440">
        <v>0</v>
      </c>
      <c r="D63" s="440">
        <v>0</v>
      </c>
      <c r="E63" s="440">
        <v>0</v>
      </c>
      <c r="F63" s="440">
        <v>0</v>
      </c>
      <c r="G63" s="440">
        <v>0</v>
      </c>
      <c r="H63" s="440" t="e">
        <f>O33</f>
        <v>#REF!</v>
      </c>
    </row>
    <row r="64" spans="1:10">
      <c r="A64" s="375" t="s">
        <v>3220</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ht="15">
      <c r="A66" s="452"/>
      <c r="B66" s="453"/>
      <c r="C66" s="453"/>
      <c r="D66" s="453"/>
      <c r="E66" s="453"/>
      <c r="F66" s="454" t="s">
        <v>3253</v>
      </c>
      <c r="G66" s="4531" t="e">
        <f>IRR(K5:K25)</f>
        <v>#VALUE!</v>
      </c>
      <c r="H66" s="4532"/>
      <c r="I66" s="451"/>
      <c r="J66" s="451"/>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28515625" defaultRowHeight="12.75"/>
  <cols>
    <col min="1" max="1" width="6.42578125" style="314" customWidth="1"/>
    <col min="2" max="2" width="16.7109375" style="314" customWidth="1"/>
    <col min="3" max="3" width="4.7109375" style="314" customWidth="1"/>
    <col min="4" max="4" width="6.42578125" style="314" customWidth="1"/>
    <col min="5" max="5" width="16.7109375" style="314" customWidth="1"/>
    <col min="6" max="6" width="4.7109375" style="314" customWidth="1"/>
    <col min="7" max="7" width="6.42578125" style="314" customWidth="1"/>
    <col min="8" max="8" width="16.7109375" style="314" customWidth="1"/>
    <col min="9" max="9" width="4.7109375" style="314" customWidth="1"/>
    <col min="10" max="10" width="6.42578125" style="314" customWidth="1"/>
    <col min="11" max="11" width="16.7109375" style="314" customWidth="1"/>
    <col min="12" max="16384" width="9.28515625" style="314"/>
  </cols>
  <sheetData>
    <row r="1" spans="1:11" s="321" customFormat="1" ht="17.649999999999999" customHeight="1">
      <c r="A1" s="4534" t="str">
        <f>'Sensitivity Analysis'!C8</f>
        <v>Finley Place</v>
      </c>
      <c r="B1" s="4534"/>
      <c r="C1" s="4534"/>
      <c r="D1" s="4534"/>
      <c r="E1" s="4534"/>
      <c r="F1" s="4534"/>
      <c r="G1" s="4534"/>
      <c r="H1" s="4534"/>
      <c r="I1" s="4534"/>
      <c r="J1" s="4534"/>
      <c r="K1" s="4534"/>
    </row>
    <row r="2" spans="1:11" s="321" customFormat="1" ht="17.649999999999999" customHeight="1">
      <c r="A2" s="4533" t="s">
        <v>3254</v>
      </c>
      <c r="B2" s="4533"/>
      <c r="C2" s="4533"/>
      <c r="D2" s="4533"/>
      <c r="E2" s="4533"/>
      <c r="F2" s="4533"/>
      <c r="G2" s="4533"/>
      <c r="H2" s="4533"/>
      <c r="I2" s="4533"/>
      <c r="J2" s="4533"/>
      <c r="K2" s="4533"/>
    </row>
    <row r="3" spans="1:11" ht="9" customHeight="1">
      <c r="A3" s="1078"/>
      <c r="B3" s="1078"/>
      <c r="C3" s="1078"/>
      <c r="D3" s="1078"/>
      <c r="E3" s="1078"/>
      <c r="G3" s="1078"/>
      <c r="H3" s="1078"/>
      <c r="J3" s="1078"/>
      <c r="K3" s="1078"/>
    </row>
    <row r="4" spans="1:11" ht="12.6" customHeight="1">
      <c r="A4" s="4535" t="s">
        <v>3255</v>
      </c>
      <c r="B4" s="4535"/>
      <c r="C4" s="1079"/>
      <c r="D4" s="4535" t="s">
        <v>3256</v>
      </c>
      <c r="E4" s="4535"/>
      <c r="F4" s="381"/>
      <c r="G4" s="4535" t="s">
        <v>3257</v>
      </c>
      <c r="H4" s="4535"/>
      <c r="I4" s="381"/>
      <c r="J4" s="4535" t="s">
        <v>3258</v>
      </c>
      <c r="K4" s="4535"/>
    </row>
    <row r="5" spans="1:11" ht="25.9" customHeight="1">
      <c r="A5" s="4536" t="str">
        <f>'Part II-Sources of Funds'!E40</f>
        <v>Truist Bank</v>
      </c>
      <c r="B5" s="4537"/>
      <c r="C5" s="321"/>
      <c r="D5" s="4536" t="str">
        <f>'Part II-Sources of Funds'!E41</f>
        <v>Neighborhood Stabilization Program Loan</v>
      </c>
      <c r="E5" s="4537"/>
      <c r="F5" s="1080"/>
      <c r="G5" s="4536">
        <f>'Part II-Sources of Funds'!E42</f>
        <v>0</v>
      </c>
      <c r="H5" s="4537"/>
      <c r="I5" s="1080"/>
      <c r="J5" s="4536">
        <f>'Part II-Sources of Funds'!E43</f>
        <v>0</v>
      </c>
      <c r="K5" s="4537"/>
    </row>
    <row r="6" spans="1:11" ht="9" customHeight="1"/>
    <row r="7" spans="1:11" ht="15.75">
      <c r="A7" s="2607"/>
      <c r="B7" s="2607" t="s">
        <v>3259</v>
      </c>
      <c r="D7" s="2607"/>
      <c r="E7" s="2607" t="s">
        <v>3259</v>
      </c>
      <c r="G7" s="2607"/>
      <c r="H7" s="2607" t="s">
        <v>3259</v>
      </c>
      <c r="J7" s="2607"/>
      <c r="K7" s="2607" t="s">
        <v>3259</v>
      </c>
    </row>
    <row r="8" spans="1:11" ht="15.75">
      <c r="A8" s="759" t="s">
        <v>495</v>
      </c>
      <c r="B8" s="759" t="s">
        <v>3260</v>
      </c>
      <c r="D8" s="759" t="s">
        <v>495</v>
      </c>
      <c r="E8" s="759" t="s">
        <v>3260</v>
      </c>
      <c r="G8" s="759" t="s">
        <v>495</v>
      </c>
      <c r="H8" s="759" t="s">
        <v>3260</v>
      </c>
      <c r="J8" s="759" t="s">
        <v>495</v>
      </c>
      <c r="K8" s="759" t="s">
        <v>3260</v>
      </c>
    </row>
    <row r="9" spans="1:11" ht="6" customHeight="1">
      <c r="A9" s="2508"/>
      <c r="B9" s="2508"/>
      <c r="D9" s="2508"/>
      <c r="E9" s="2508"/>
      <c r="G9" s="2508"/>
      <c r="H9" s="2508"/>
      <c r="J9" s="2508"/>
      <c r="K9" s="2508"/>
    </row>
    <row r="10" spans="1:11" ht="20.25" customHeight="1">
      <c r="A10" s="2608">
        <v>1</v>
      </c>
      <c r="B10" s="739">
        <f>-'Part VI-Pro Forma'!$B26/12</f>
        <v>19326.103027700563</v>
      </c>
      <c r="D10" s="2608">
        <v>1</v>
      </c>
      <c r="E10" s="739">
        <f>-'Part VI-Pro Forma'!$B27/12</f>
        <v>0</v>
      </c>
      <c r="G10" s="2608">
        <v>1</v>
      </c>
      <c r="H10" s="739">
        <f>-'Part VI-Pro Forma'!$B28/12</f>
        <v>0</v>
      </c>
      <c r="J10" s="2608">
        <v>1</v>
      </c>
      <c r="K10" s="739">
        <f>-'Part VI-Pro Forma'!$B29/12</f>
        <v>0</v>
      </c>
    </row>
    <row r="11" spans="1:11" ht="20.25" customHeight="1">
      <c r="A11" s="2608">
        <v>2</v>
      </c>
      <c r="B11" s="739">
        <f>-'Part VI-Pro Forma'!$C26/12</f>
        <v>19326.103027700563</v>
      </c>
      <c r="D11" s="2608">
        <v>2</v>
      </c>
      <c r="E11" s="739">
        <f>-'Part VI-Pro Forma'!$C27/12</f>
        <v>0</v>
      </c>
      <c r="G11" s="2608">
        <v>2</v>
      </c>
      <c r="H11" s="739">
        <f>-'Part VI-Pro Forma'!$C28/12</f>
        <v>0</v>
      </c>
      <c r="J11" s="2608">
        <v>2</v>
      </c>
      <c r="K11" s="739">
        <f>-'Part VI-Pro Forma'!$C29/12</f>
        <v>0</v>
      </c>
    </row>
    <row r="12" spans="1:11" ht="20.25" customHeight="1">
      <c r="A12" s="2608">
        <v>3</v>
      </c>
      <c r="B12" s="739">
        <f>-'Part VI-Pro Forma'!$D26/12</f>
        <v>19326.103027700563</v>
      </c>
      <c r="D12" s="2608">
        <v>3</v>
      </c>
      <c r="E12" s="739">
        <f>-'Part VI-Pro Forma'!$D27/12</f>
        <v>0</v>
      </c>
      <c r="G12" s="2608">
        <v>3</v>
      </c>
      <c r="H12" s="739">
        <f>-'Part VI-Pro Forma'!$D28/12</f>
        <v>0</v>
      </c>
      <c r="J12" s="2608">
        <v>3</v>
      </c>
      <c r="K12" s="739">
        <f>-'Part VI-Pro Forma'!$D29/12</f>
        <v>0</v>
      </c>
    </row>
    <row r="13" spans="1:11" ht="20.25" customHeight="1">
      <c r="A13" s="2608">
        <v>4</v>
      </c>
      <c r="B13" s="739">
        <f>-'Part VI-Pro Forma'!$E26/12</f>
        <v>19326.103027700563</v>
      </c>
      <c r="D13" s="2608">
        <v>4</v>
      </c>
      <c r="E13" s="739">
        <f>-'Part VI-Pro Forma'!$E27/12</f>
        <v>0</v>
      </c>
      <c r="G13" s="2608">
        <v>4</v>
      </c>
      <c r="H13" s="739">
        <f>-'Part VI-Pro Forma'!$E28/12</f>
        <v>0</v>
      </c>
      <c r="J13" s="2608">
        <v>4</v>
      </c>
      <c r="K13" s="739">
        <f>-'Part VI-Pro Forma'!$E29/12</f>
        <v>0</v>
      </c>
    </row>
    <row r="14" spans="1:11" ht="20.25" customHeight="1">
      <c r="A14" s="1081">
        <v>5</v>
      </c>
      <c r="B14" s="1082">
        <f>-'Part VI-Pro Forma'!$F26/12</f>
        <v>19326.103027700563</v>
      </c>
      <c r="D14" s="1081">
        <v>5</v>
      </c>
      <c r="E14" s="1082">
        <f>-'Part VI-Pro Forma'!$F27/12</f>
        <v>0</v>
      </c>
      <c r="G14" s="1081">
        <v>5</v>
      </c>
      <c r="H14" s="1082">
        <f>-'Part VI-Pro Forma'!$F28/12</f>
        <v>0</v>
      </c>
      <c r="J14" s="1081">
        <v>5</v>
      </c>
      <c r="K14" s="1082">
        <f>-'Part VI-Pro Forma'!$F29/12</f>
        <v>0</v>
      </c>
    </row>
    <row r="15" spans="1:11" ht="20.25" customHeight="1">
      <c r="A15" s="2608">
        <v>6</v>
      </c>
      <c r="B15" s="739">
        <f>-'Part VI-Pro Forma'!$G26/12</f>
        <v>19326.103027700563</v>
      </c>
      <c r="D15" s="2608">
        <v>6</v>
      </c>
      <c r="E15" s="739">
        <f>-'Part VI-Pro Forma'!$G27/12</f>
        <v>0</v>
      </c>
      <c r="G15" s="2608">
        <v>6</v>
      </c>
      <c r="H15" s="739">
        <f>-'Part VI-Pro Forma'!$G28/12</f>
        <v>0</v>
      </c>
      <c r="J15" s="2608">
        <v>6</v>
      </c>
      <c r="K15" s="739">
        <f>-'Part VI-Pro Forma'!$G29/12</f>
        <v>0</v>
      </c>
    </row>
    <row r="16" spans="1:11" ht="20.25" customHeight="1">
      <c r="A16" s="2608">
        <v>7</v>
      </c>
      <c r="B16" s="739">
        <f>-'Part VI-Pro Forma'!$H26/12</f>
        <v>19326.103027700563</v>
      </c>
      <c r="D16" s="2608">
        <v>7</v>
      </c>
      <c r="E16" s="739">
        <f>-'Part VI-Pro Forma'!$H27/12</f>
        <v>0</v>
      </c>
      <c r="G16" s="2608">
        <v>7</v>
      </c>
      <c r="H16" s="739">
        <f>-'Part VI-Pro Forma'!$H28/12</f>
        <v>0</v>
      </c>
      <c r="J16" s="2608">
        <v>7</v>
      </c>
      <c r="K16" s="739">
        <f>-'Part VI-Pro Forma'!$H29/12</f>
        <v>0</v>
      </c>
    </row>
    <row r="17" spans="1:11" ht="20.25" customHeight="1">
      <c r="A17" s="2608">
        <v>8</v>
      </c>
      <c r="B17" s="739">
        <f>-'Part VI-Pro Forma'!$I26/12</f>
        <v>19326.103027700563</v>
      </c>
      <c r="D17" s="2608">
        <v>8</v>
      </c>
      <c r="E17" s="739">
        <f>-'Part VI-Pro Forma'!$I27/12</f>
        <v>0</v>
      </c>
      <c r="G17" s="2608">
        <v>8</v>
      </c>
      <c r="H17" s="739">
        <f>-'Part VI-Pro Forma'!$I28/12</f>
        <v>0</v>
      </c>
      <c r="J17" s="2608">
        <v>8</v>
      </c>
      <c r="K17" s="739">
        <f>-'Part VI-Pro Forma'!$I29/12</f>
        <v>0</v>
      </c>
    </row>
    <row r="18" spans="1:11" ht="20.25" customHeight="1">
      <c r="A18" s="2608">
        <v>9</v>
      </c>
      <c r="B18" s="739">
        <f>-'Part VI-Pro Forma'!$J26/12</f>
        <v>19326.103027700563</v>
      </c>
      <c r="D18" s="2608">
        <v>9</v>
      </c>
      <c r="E18" s="739">
        <f>-'Part VI-Pro Forma'!$J27/12</f>
        <v>0</v>
      </c>
      <c r="G18" s="2608">
        <v>9</v>
      </c>
      <c r="H18" s="739">
        <f>-'Part VI-Pro Forma'!$J28/12</f>
        <v>0</v>
      </c>
      <c r="J18" s="2608">
        <v>9</v>
      </c>
      <c r="K18" s="739">
        <f>-'Part VI-Pro Forma'!$J29/12</f>
        <v>0</v>
      </c>
    </row>
    <row r="19" spans="1:11" ht="20.25" customHeight="1">
      <c r="A19" s="1081">
        <v>10</v>
      </c>
      <c r="B19" s="1082">
        <f>-'Part VI-Pro Forma'!$K26/12</f>
        <v>19326.103027700563</v>
      </c>
      <c r="D19" s="1081">
        <v>10</v>
      </c>
      <c r="E19" s="1082">
        <f>-'Part VI-Pro Forma'!$K27/12</f>
        <v>0</v>
      </c>
      <c r="G19" s="1081">
        <v>10</v>
      </c>
      <c r="H19" s="1082">
        <f>-'Part VI-Pro Forma'!$K28/12</f>
        <v>0</v>
      </c>
      <c r="J19" s="1081">
        <v>10</v>
      </c>
      <c r="K19" s="1082">
        <f>-'Part VI-Pro Forma'!$K29/12</f>
        <v>0</v>
      </c>
    </row>
    <row r="20" spans="1:11" ht="20.25" customHeight="1">
      <c r="A20" s="2608">
        <v>11</v>
      </c>
      <c r="B20" s="739">
        <f>-'Part VI-Pro Forma'!$B58/12</f>
        <v>19326.103027700563</v>
      </c>
      <c r="D20" s="2608">
        <v>11</v>
      </c>
      <c r="E20" s="739">
        <f>-'Part VI-Pro Forma'!$B59/12</f>
        <v>0</v>
      </c>
      <c r="G20" s="2608">
        <v>11</v>
      </c>
      <c r="H20" s="739">
        <f>-'Part VI-Pro Forma'!$B60/12</f>
        <v>0</v>
      </c>
      <c r="J20" s="2608">
        <v>11</v>
      </c>
      <c r="K20" s="739">
        <f>-'Part VI-Pro Forma'!$B61/12</f>
        <v>0</v>
      </c>
    </row>
    <row r="21" spans="1:11" ht="20.25" customHeight="1">
      <c r="A21" s="2608">
        <v>12</v>
      </c>
      <c r="B21" s="739">
        <f>-'Part VI-Pro Forma'!$C58/12</f>
        <v>19326.103027700563</v>
      </c>
      <c r="D21" s="2608">
        <v>12</v>
      </c>
      <c r="E21" s="739">
        <f>-'Part VI-Pro Forma'!$C59/12</f>
        <v>0</v>
      </c>
      <c r="G21" s="2608">
        <v>12</v>
      </c>
      <c r="H21" s="739">
        <f>-'Part VI-Pro Forma'!$C60/12</f>
        <v>0</v>
      </c>
      <c r="J21" s="2608">
        <v>12</v>
      </c>
      <c r="K21" s="739">
        <f>-'Part VI-Pro Forma'!$C61/12</f>
        <v>0</v>
      </c>
    </row>
    <row r="22" spans="1:11" ht="20.25" customHeight="1">
      <c r="A22" s="2608">
        <v>13</v>
      </c>
      <c r="B22" s="739">
        <f>-'Part VI-Pro Forma'!$D58/12</f>
        <v>19326.103027700563</v>
      </c>
      <c r="D22" s="2608">
        <v>13</v>
      </c>
      <c r="E22" s="739">
        <f>-'Part VI-Pro Forma'!$D59/12</f>
        <v>0</v>
      </c>
      <c r="G22" s="2608">
        <v>13</v>
      </c>
      <c r="H22" s="739">
        <f>-'Part VI-Pro Forma'!$D60/12</f>
        <v>0</v>
      </c>
      <c r="J22" s="2608">
        <v>13</v>
      </c>
      <c r="K22" s="739">
        <f>-'Part VI-Pro Forma'!$D61/12</f>
        <v>0</v>
      </c>
    </row>
    <row r="23" spans="1:11" ht="20.25" customHeight="1">
      <c r="A23" s="2608">
        <v>14</v>
      </c>
      <c r="B23" s="739">
        <f>-'Part VI-Pro Forma'!$E58/12</f>
        <v>19326.103027700563</v>
      </c>
      <c r="D23" s="2608">
        <v>14</v>
      </c>
      <c r="E23" s="739">
        <f>-'Part VI-Pro Forma'!$E59/12</f>
        <v>0</v>
      </c>
      <c r="G23" s="2608">
        <v>14</v>
      </c>
      <c r="H23" s="739">
        <f>-'Part VI-Pro Forma'!$E60/12</f>
        <v>0</v>
      </c>
      <c r="J23" s="2608">
        <v>14</v>
      </c>
      <c r="K23" s="739">
        <f>-'Part VI-Pro Forma'!$E61/12</f>
        <v>0</v>
      </c>
    </row>
    <row r="24" spans="1:11" ht="20.25" customHeight="1">
      <c r="A24" s="1081">
        <v>15</v>
      </c>
      <c r="B24" s="1082">
        <f>-'Part VI-Pro Forma'!$F58/12</f>
        <v>19326.103027700563</v>
      </c>
      <c r="D24" s="1081">
        <v>15</v>
      </c>
      <c r="E24" s="1082">
        <f>-'Part VI-Pro Forma'!$F59/12</f>
        <v>0</v>
      </c>
      <c r="G24" s="1081">
        <v>15</v>
      </c>
      <c r="H24" s="1082">
        <f>-'Part VI-Pro Forma'!$F60/12</f>
        <v>0</v>
      </c>
      <c r="J24" s="1081">
        <v>15</v>
      </c>
      <c r="K24" s="1082">
        <f>-'Part VI-Pro Forma'!$F61/12</f>
        <v>0</v>
      </c>
    </row>
    <row r="25" spans="1:11" ht="20.25" customHeight="1">
      <c r="A25" s="2608">
        <v>16</v>
      </c>
      <c r="B25" s="739">
        <f>-'Part VI-Pro Forma'!$G58/12</f>
        <v>19326.103027700563</v>
      </c>
      <c r="D25" s="2608">
        <v>16</v>
      </c>
      <c r="E25" s="739">
        <f>-'Part VI-Pro Forma'!$G59/12</f>
        <v>0</v>
      </c>
      <c r="G25" s="2608">
        <v>16</v>
      </c>
      <c r="H25" s="739">
        <f>-'Part VI-Pro Forma'!$G60/12</f>
        <v>0</v>
      </c>
      <c r="J25" s="2608">
        <v>16</v>
      </c>
      <c r="K25" s="739">
        <f>-'Part VI-Pro Forma'!$G61/12</f>
        <v>0</v>
      </c>
    </row>
    <row r="26" spans="1:11" ht="20.25" customHeight="1">
      <c r="A26" s="2608">
        <v>17</v>
      </c>
      <c r="B26" s="739">
        <f>-'Part VI-Pro Forma'!$H58/12</f>
        <v>19326.103027700563</v>
      </c>
      <c r="D26" s="2608">
        <v>17</v>
      </c>
      <c r="E26" s="739">
        <f>-'Part VI-Pro Forma'!$H59/12</f>
        <v>0</v>
      </c>
      <c r="G26" s="2608">
        <v>17</v>
      </c>
      <c r="H26" s="739">
        <f>-'Part VI-Pro Forma'!$H60/12</f>
        <v>0</v>
      </c>
      <c r="J26" s="2608">
        <v>17</v>
      </c>
      <c r="K26" s="739">
        <f>-'Part VI-Pro Forma'!$H61/12</f>
        <v>0</v>
      </c>
    </row>
    <row r="27" spans="1:11" ht="20.25" customHeight="1">
      <c r="A27" s="2608">
        <v>18</v>
      </c>
      <c r="B27" s="739">
        <f>-'Part VI-Pro Forma'!$I58/12</f>
        <v>19326.103027700563</v>
      </c>
      <c r="D27" s="2608">
        <v>18</v>
      </c>
      <c r="E27" s="739">
        <f>-'Part VI-Pro Forma'!$I59/12</f>
        <v>0</v>
      </c>
      <c r="G27" s="2608">
        <v>18</v>
      </c>
      <c r="H27" s="739">
        <f>-'Part VI-Pro Forma'!$I60/12</f>
        <v>0</v>
      </c>
      <c r="J27" s="2608">
        <v>18</v>
      </c>
      <c r="K27" s="739">
        <f>-'Part VI-Pro Forma'!$I61/12</f>
        <v>0</v>
      </c>
    </row>
    <row r="28" spans="1:11" ht="20.25" customHeight="1">
      <c r="A28" s="2608">
        <v>19</v>
      </c>
      <c r="B28" s="739">
        <f>-'Part VI-Pro Forma'!$J58/12</f>
        <v>19326.103027700563</v>
      </c>
      <c r="D28" s="2608">
        <v>19</v>
      </c>
      <c r="E28" s="739">
        <f>-'Part VI-Pro Forma'!$J59/12</f>
        <v>0</v>
      </c>
      <c r="G28" s="2608">
        <v>19</v>
      </c>
      <c r="H28" s="739">
        <f>-'Part VI-Pro Forma'!$J60/12</f>
        <v>0</v>
      </c>
      <c r="J28" s="2608">
        <v>19</v>
      </c>
      <c r="K28" s="739">
        <f>-'Part VI-Pro Forma'!$J61/12</f>
        <v>0</v>
      </c>
    </row>
    <row r="29" spans="1:11" ht="20.25" customHeight="1">
      <c r="A29" s="1081">
        <v>20</v>
      </c>
      <c r="B29" s="1082">
        <f>-'Part VI-Pro Forma'!$K58/12</f>
        <v>19326.103027700563</v>
      </c>
      <c r="D29" s="1081">
        <v>20</v>
      </c>
      <c r="E29" s="1082">
        <f>-'Part VI-Pro Forma'!$K59/12</f>
        <v>0</v>
      </c>
      <c r="G29" s="1081">
        <v>20</v>
      </c>
      <c r="H29" s="1082">
        <f>-'Part VI-Pro Forma'!$K60/12</f>
        <v>0</v>
      </c>
      <c r="J29" s="1081">
        <v>20</v>
      </c>
      <c r="K29" s="1082">
        <f>-'Part VI-Pro Forma'!$K61/12</f>
        <v>0</v>
      </c>
    </row>
    <row r="30" spans="1:11" ht="20.25" customHeight="1">
      <c r="A30" s="2608">
        <v>21</v>
      </c>
      <c r="B30" s="739">
        <f>-'Part VI-Pro Forma'!$B90/12</f>
        <v>19326.103027700563</v>
      </c>
      <c r="D30" s="2608">
        <v>21</v>
      </c>
      <c r="E30" s="739">
        <f>-'Part VI-Pro Forma'!$B91/12</f>
        <v>0</v>
      </c>
      <c r="G30" s="2608">
        <v>21</v>
      </c>
      <c r="H30" s="739">
        <f>-'Part VI-Pro Forma'!$B92/12</f>
        <v>0</v>
      </c>
      <c r="J30" s="2608">
        <v>21</v>
      </c>
      <c r="K30" s="739">
        <f>-'Part VI-Pro Forma'!$B93/12</f>
        <v>0</v>
      </c>
    </row>
    <row r="31" spans="1:11" ht="20.25" customHeight="1">
      <c r="A31" s="2608">
        <v>22</v>
      </c>
      <c r="B31" s="739">
        <f>-'Part VI-Pro Forma'!$C90/12</f>
        <v>19326.103027700563</v>
      </c>
      <c r="D31" s="2608">
        <v>22</v>
      </c>
      <c r="E31" s="739">
        <f>-'Part VI-Pro Forma'!$C91/12</f>
        <v>0</v>
      </c>
      <c r="G31" s="2608">
        <v>22</v>
      </c>
      <c r="H31" s="739">
        <f>-'Part VI-Pro Forma'!$C92/12</f>
        <v>0</v>
      </c>
      <c r="J31" s="2608">
        <v>22</v>
      </c>
      <c r="K31" s="739">
        <f>-'Part VI-Pro Forma'!$C93/12</f>
        <v>0</v>
      </c>
    </row>
    <row r="32" spans="1:11" ht="20.25" customHeight="1">
      <c r="A32" s="2608">
        <v>23</v>
      </c>
      <c r="B32" s="739">
        <f>-'Part VI-Pro Forma'!$D90/12</f>
        <v>19326.103027700563</v>
      </c>
      <c r="D32" s="2608">
        <v>23</v>
      </c>
      <c r="E32" s="739">
        <f>-'Part VI-Pro Forma'!$D91/12</f>
        <v>0</v>
      </c>
      <c r="G32" s="2608">
        <v>23</v>
      </c>
      <c r="H32" s="739">
        <f>-'Part VI-Pro Forma'!$D92/12</f>
        <v>0</v>
      </c>
      <c r="J32" s="2608">
        <v>23</v>
      </c>
      <c r="K32" s="739">
        <f>-'Part VI-Pro Forma'!$D93/12</f>
        <v>0</v>
      </c>
    </row>
    <row r="33" spans="1:11" ht="20.25" customHeight="1">
      <c r="A33" s="2608">
        <v>24</v>
      </c>
      <c r="B33" s="739">
        <f>-'Part VI-Pro Forma'!$E90/12</f>
        <v>19326.103027700563</v>
      </c>
      <c r="D33" s="2608">
        <v>24</v>
      </c>
      <c r="E33" s="739">
        <f>-'Part VI-Pro Forma'!$E91/12</f>
        <v>0</v>
      </c>
      <c r="G33" s="2608">
        <v>24</v>
      </c>
      <c r="H33" s="739">
        <f>-'Part VI-Pro Forma'!$E92/12</f>
        <v>0</v>
      </c>
      <c r="J33" s="2608">
        <v>24</v>
      </c>
      <c r="K33" s="739">
        <f>-'Part VI-Pro Forma'!$E93/12</f>
        <v>0</v>
      </c>
    </row>
    <row r="34" spans="1:11" ht="20.25" customHeight="1">
      <c r="A34" s="1081">
        <v>25</v>
      </c>
      <c r="B34" s="1082">
        <f>-'Part VI-Pro Forma'!$F90/12</f>
        <v>19326.103027700563</v>
      </c>
      <c r="D34" s="1081">
        <v>25</v>
      </c>
      <c r="E34" s="1082">
        <f>-'Part VI-Pro Forma'!$F91/12</f>
        <v>0</v>
      </c>
      <c r="G34" s="1081">
        <v>25</v>
      </c>
      <c r="H34" s="1082">
        <f>-'Part VI-Pro Forma'!$F92/12</f>
        <v>0</v>
      </c>
      <c r="J34" s="1081">
        <v>25</v>
      </c>
      <c r="K34" s="1082">
        <f>-'Part VI-Pro Forma'!$F93/12</f>
        <v>0</v>
      </c>
    </row>
    <row r="35" spans="1:11" ht="20.25" customHeight="1">
      <c r="A35" s="2608">
        <v>26</v>
      </c>
      <c r="B35" s="739">
        <f>-'Part VI-Pro Forma'!$G90/12</f>
        <v>19326.103027700563</v>
      </c>
      <c r="D35" s="2608">
        <v>26</v>
      </c>
      <c r="E35" s="739">
        <f>-'Part VI-Pro Forma'!$G91/12</f>
        <v>0</v>
      </c>
      <c r="G35" s="2608">
        <v>26</v>
      </c>
      <c r="H35" s="739">
        <f>-'Part VI-Pro Forma'!$G92/12</f>
        <v>0</v>
      </c>
      <c r="J35" s="2608">
        <v>26</v>
      </c>
      <c r="K35" s="739">
        <f>-'Part VI-Pro Forma'!$G93/12</f>
        <v>0</v>
      </c>
    </row>
    <row r="36" spans="1:11" ht="20.25" customHeight="1">
      <c r="A36" s="2608">
        <v>27</v>
      </c>
      <c r="B36" s="739">
        <f>-'Part VI-Pro Forma'!$H90/12</f>
        <v>19326.103027700563</v>
      </c>
      <c r="D36" s="2608">
        <v>27</v>
      </c>
      <c r="E36" s="739">
        <f>-'Part VI-Pro Forma'!$H91/12</f>
        <v>0</v>
      </c>
      <c r="G36" s="2608">
        <v>27</v>
      </c>
      <c r="H36" s="739">
        <f>-'Part VI-Pro Forma'!$H92/12</f>
        <v>0</v>
      </c>
      <c r="J36" s="2608">
        <v>27</v>
      </c>
      <c r="K36" s="739">
        <f>-'Part VI-Pro Forma'!$H93/12</f>
        <v>0</v>
      </c>
    </row>
    <row r="37" spans="1:11" ht="20.25" customHeight="1">
      <c r="A37" s="2608">
        <v>28</v>
      </c>
      <c r="B37" s="739">
        <f>-'Part VI-Pro Forma'!$I90/12</f>
        <v>19326.103027700563</v>
      </c>
      <c r="D37" s="2608">
        <v>28</v>
      </c>
      <c r="E37" s="739">
        <f>-'Part VI-Pro Forma'!$I91/12</f>
        <v>0</v>
      </c>
      <c r="G37" s="2608">
        <v>28</v>
      </c>
      <c r="H37" s="739">
        <f>-'Part VI-Pro Forma'!$I92/12</f>
        <v>0</v>
      </c>
      <c r="J37" s="2608">
        <v>28</v>
      </c>
      <c r="K37" s="739">
        <f>-'Part VI-Pro Forma'!$I93/12</f>
        <v>0</v>
      </c>
    </row>
    <row r="38" spans="1:11" ht="20.25" customHeight="1">
      <c r="A38" s="2608">
        <v>29</v>
      </c>
      <c r="B38" s="739">
        <f>-'Part VI-Pro Forma'!$J90/12</f>
        <v>19326.103027700563</v>
      </c>
      <c r="D38" s="2608">
        <v>29</v>
      </c>
      <c r="E38" s="739">
        <f>-'Part VI-Pro Forma'!$J91/12</f>
        <v>0</v>
      </c>
      <c r="G38" s="2608">
        <v>29</v>
      </c>
      <c r="H38" s="739">
        <f>-'Part VI-Pro Forma'!$J92/12</f>
        <v>0</v>
      </c>
      <c r="J38" s="2608">
        <v>29</v>
      </c>
      <c r="K38" s="739">
        <f>-'Part VI-Pro Forma'!$J93/12</f>
        <v>0</v>
      </c>
    </row>
    <row r="39" spans="1:11" ht="20.25" customHeight="1">
      <c r="A39" s="1081">
        <v>30</v>
      </c>
      <c r="B39" s="1082">
        <f>-'Part VI-Pro Forma'!$K90/12</f>
        <v>19326.103027700563</v>
      </c>
      <c r="D39" s="1081">
        <v>30</v>
      </c>
      <c r="E39" s="1082">
        <f>-'Part VI-Pro Forma'!$K91/12</f>
        <v>0</v>
      </c>
      <c r="G39" s="1081">
        <v>30</v>
      </c>
      <c r="H39" s="1082">
        <f>-'Part VI-Pro Forma'!$K92/12</f>
        <v>0</v>
      </c>
      <c r="J39" s="1081">
        <v>30</v>
      </c>
      <c r="K39" s="1082">
        <f>-'Part VI-Pro Forma'!$K93/12</f>
        <v>0</v>
      </c>
    </row>
    <row r="40" spans="1:11" ht="20.25" customHeight="1">
      <c r="A40" s="2608">
        <v>31</v>
      </c>
      <c r="B40" s="739">
        <f>-'Part VI-Pro Forma'!$B120/12</f>
        <v>19326.103027700563</v>
      </c>
      <c r="D40" s="2608">
        <v>31</v>
      </c>
      <c r="E40" s="739">
        <f>-'Part VI-Pro Forma'!$B121/12</f>
        <v>0</v>
      </c>
      <c r="G40" s="2608">
        <v>31</v>
      </c>
      <c r="H40" s="739">
        <f>-'Part VI-Pro Forma'!$B122/12</f>
        <v>0</v>
      </c>
      <c r="J40" s="2608">
        <v>31</v>
      </c>
      <c r="K40" s="739">
        <f>-'Part VI-Pro Forma'!$B123/12</f>
        <v>0</v>
      </c>
    </row>
    <row r="41" spans="1:11" ht="20.25" customHeight="1">
      <c r="A41" s="2608">
        <v>32</v>
      </c>
      <c r="B41" s="739">
        <f>-'Part VI-Pro Forma'!$C120/12</f>
        <v>19326.103027700563</v>
      </c>
      <c r="D41" s="2608">
        <v>32</v>
      </c>
      <c r="E41" s="739">
        <f>-'Part VI-Pro Forma'!$C121/12</f>
        <v>0</v>
      </c>
      <c r="G41" s="2608">
        <v>32</v>
      </c>
      <c r="H41" s="739">
        <f>-'Part VI-Pro Forma'!$C122/12</f>
        <v>0</v>
      </c>
      <c r="J41" s="2608">
        <v>32</v>
      </c>
      <c r="K41" s="739">
        <f>-'Part VI-Pro Forma'!$C123/12</f>
        <v>0</v>
      </c>
    </row>
    <row r="42" spans="1:11" ht="20.25" customHeight="1">
      <c r="A42" s="2608">
        <v>33</v>
      </c>
      <c r="B42" s="739">
        <f>-'Part VI-Pro Forma'!$D120/12</f>
        <v>19326.103027700563</v>
      </c>
      <c r="D42" s="2608">
        <v>33</v>
      </c>
      <c r="E42" s="739">
        <f>-'Part VI-Pro Forma'!$D121/12</f>
        <v>0</v>
      </c>
      <c r="G42" s="2608">
        <v>33</v>
      </c>
      <c r="H42" s="739">
        <f>-'Part VI-Pro Forma'!$D122/12</f>
        <v>0</v>
      </c>
      <c r="J42" s="2608">
        <v>33</v>
      </c>
      <c r="K42" s="739">
        <f>-'Part VI-Pro Forma'!$D123/12</f>
        <v>0</v>
      </c>
    </row>
    <row r="43" spans="1:11" ht="20.25" customHeight="1">
      <c r="A43" s="2608">
        <v>34</v>
      </c>
      <c r="B43" s="739">
        <f>-'Part VI-Pro Forma'!$E120/12</f>
        <v>19326.103027700563</v>
      </c>
      <c r="D43" s="2608">
        <v>34</v>
      </c>
      <c r="E43" s="739">
        <f>-'Part VI-Pro Forma'!$E121/12</f>
        <v>0</v>
      </c>
      <c r="G43" s="2608">
        <v>34</v>
      </c>
      <c r="H43" s="739">
        <f>-'Part VI-Pro Forma'!$E122/12</f>
        <v>0</v>
      </c>
      <c r="J43" s="2608">
        <v>34</v>
      </c>
      <c r="K43" s="739">
        <f>-'Part VI-Pro Forma'!$E123/12</f>
        <v>0</v>
      </c>
    </row>
    <row r="44" spans="1:11" ht="20.25" customHeight="1">
      <c r="A44" s="2608">
        <v>35</v>
      </c>
      <c r="B44" s="739">
        <f>-'Part VI-Pro Forma'!$F120/12</f>
        <v>19326.103027700563</v>
      </c>
      <c r="D44" s="2608">
        <v>35</v>
      </c>
      <c r="E44" s="739">
        <f>-'Part VI-Pro Forma'!$F121/12</f>
        <v>0</v>
      </c>
      <c r="G44" s="2608">
        <v>35</v>
      </c>
      <c r="H44" s="739">
        <f>-'Part VI-Pro Forma'!$F122/12</f>
        <v>0</v>
      </c>
      <c r="J44" s="2608">
        <v>35</v>
      </c>
      <c r="K44" s="739">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314" customWidth="1"/>
    <col min="2" max="2" width="0.7109375" style="314" customWidth="1"/>
    <col min="3" max="3" width="16.42578125" style="314" customWidth="1"/>
    <col min="4" max="4" width="18.28515625" style="314" customWidth="1"/>
    <col min="5" max="5" width="16.42578125" style="314" customWidth="1"/>
    <col min="6" max="6" width="13.28515625" style="314" customWidth="1"/>
    <col min="7" max="7" width="14.42578125" style="314" customWidth="1"/>
    <col min="8" max="8" width="5.7109375" style="314" customWidth="1"/>
    <col min="9" max="16384" width="9.28515625" style="314"/>
  </cols>
  <sheetData>
    <row r="1" spans="1:11" ht="12" customHeight="1">
      <c r="A1" s="4540" t="str">
        <f>CONCATENATE('Sensitivity Analysis'!E8,"  ",'Sensitivity Analysis'!C8)</f>
        <v>2024-0  Finley Place</v>
      </c>
      <c r="B1" s="4540"/>
      <c r="C1" s="4540"/>
      <c r="D1" s="4540"/>
      <c r="E1" s="4540"/>
      <c r="F1" s="4540"/>
      <c r="G1" s="4540"/>
      <c r="H1" s="4540"/>
    </row>
    <row r="3" spans="1:11" ht="12" customHeight="1">
      <c r="A3" s="4541" t="s">
        <v>3261</v>
      </c>
      <c r="B3" s="4541"/>
      <c r="C3" s="4541"/>
      <c r="D3" s="4541"/>
      <c r="E3" s="4541"/>
      <c r="F3" s="4541"/>
      <c r="G3" s="4541"/>
      <c r="H3" s="4541"/>
      <c r="I3" s="772"/>
      <c r="J3" s="4543" t="s">
        <v>3262</v>
      </c>
      <c r="K3" s="4543"/>
    </row>
    <row r="4" spans="1:11">
      <c r="J4" s="4543"/>
      <c r="K4" s="4543"/>
    </row>
    <row r="5" spans="1:11" ht="12" customHeight="1">
      <c r="A5" s="314">
        <v>1</v>
      </c>
      <c r="C5" s="314" t="s">
        <v>3263</v>
      </c>
      <c r="E5" s="463">
        <f>'Sensitivity Analysis'!H9</f>
        <v>0</v>
      </c>
      <c r="J5" s="4543"/>
      <c r="K5" s="4543"/>
    </row>
    <row r="6" spans="1:11" ht="3" customHeight="1">
      <c r="H6" s="2620"/>
      <c r="J6" s="4543"/>
      <c r="K6" s="4543"/>
    </row>
    <row r="7" spans="1:11" ht="12" customHeight="1">
      <c r="A7" s="314">
        <v>2</v>
      </c>
      <c r="C7" s="314" t="s">
        <v>3264</v>
      </c>
      <c r="E7" s="4539"/>
      <c r="F7" s="4539"/>
      <c r="G7" s="4539"/>
      <c r="H7" s="4539"/>
      <c r="J7" s="4543"/>
      <c r="K7" s="4543"/>
    </row>
    <row r="8" spans="1:11" ht="12" customHeight="1">
      <c r="E8" s="4539"/>
      <c r="F8" s="4539"/>
      <c r="G8" s="4539"/>
      <c r="H8" s="4539"/>
      <c r="J8" s="4543"/>
      <c r="K8" s="4543"/>
    </row>
    <row r="9" spans="1:11" ht="12" customHeight="1">
      <c r="C9" s="314" t="s">
        <v>3265</v>
      </c>
      <c r="E9" s="4542"/>
      <c r="F9" s="4542"/>
      <c r="J9" s="4543"/>
      <c r="K9" s="4543"/>
    </row>
    <row r="10" spans="1:11" ht="12" customHeight="1">
      <c r="C10" s="314" t="s">
        <v>3266</v>
      </c>
      <c r="E10" s="4539"/>
      <c r="F10" s="4539"/>
      <c r="G10" s="4539"/>
      <c r="H10" s="4539"/>
    </row>
    <row r="11" spans="1:11" ht="12" customHeight="1">
      <c r="C11" s="314" t="s">
        <v>3267</v>
      </c>
      <c r="E11" s="4539"/>
      <c r="F11" s="4539"/>
      <c r="G11" s="4539"/>
      <c r="H11" s="4539"/>
    </row>
    <row r="12" spans="1:11" ht="12" customHeight="1">
      <c r="C12" s="314" t="s">
        <v>3268</v>
      </c>
      <c r="E12" s="2623"/>
    </row>
    <row r="13" spans="1:11" ht="12" customHeight="1">
      <c r="C13" s="314" t="s">
        <v>3269</v>
      </c>
      <c r="E13" s="2623"/>
    </row>
    <row r="14" spans="1:11" ht="3" customHeight="1"/>
    <row r="15" spans="1:11" ht="12" customHeight="1">
      <c r="A15" s="314">
        <v>3</v>
      </c>
      <c r="C15" s="314" t="s">
        <v>3270</v>
      </c>
      <c r="E15" s="463" t="str">
        <f>'Sensitivity Analysis'!C8</f>
        <v>Finley Place</v>
      </c>
    </row>
    <row r="16" spans="1:11" ht="12" customHeight="1">
      <c r="C16" s="314" t="s">
        <v>3271</v>
      </c>
      <c r="E16" s="4539"/>
      <c r="F16" s="4539"/>
      <c r="G16" s="4539"/>
      <c r="H16" s="4539"/>
    </row>
    <row r="17" spans="1:8" ht="12" customHeight="1">
      <c r="E17" s="320" t="str">
        <f>'Part I-Project Identification'!F27</f>
        <v>Austell</v>
      </c>
      <c r="F17" s="2625" t="s">
        <v>311</v>
      </c>
      <c r="G17" s="4538" t="s">
        <v>3272</v>
      </c>
      <c r="H17" s="4538"/>
    </row>
    <row r="18" spans="1:8" ht="12" customHeight="1">
      <c r="E18" s="463" t="str">
        <f>'Part I-Project Identification'!J27</f>
        <v>Cobb</v>
      </c>
    </row>
    <row r="19" spans="1:8" ht="3" customHeight="1"/>
    <row r="20" spans="1:8" ht="12" customHeight="1">
      <c r="A20" s="314">
        <v>4</v>
      </c>
      <c r="C20" s="314" t="s">
        <v>3273</v>
      </c>
      <c r="E20" s="4539"/>
      <c r="F20" s="4539"/>
      <c r="G20" s="4539"/>
      <c r="H20" s="4539"/>
    </row>
    <row r="21" spans="1:8" ht="12" customHeight="1">
      <c r="C21" s="314" t="s">
        <v>3274</v>
      </c>
      <c r="E21" s="4539"/>
      <c r="F21" s="4539"/>
      <c r="G21" s="4539"/>
      <c r="H21" s="4539"/>
    </row>
    <row r="22" spans="1:8" ht="12" customHeight="1">
      <c r="E22" s="4539"/>
      <c r="F22" s="4539"/>
      <c r="G22" s="4539"/>
      <c r="H22" s="4539"/>
    </row>
    <row r="23" spans="1:8" ht="12" customHeight="1">
      <c r="C23" s="314" t="s">
        <v>3268</v>
      </c>
      <c r="E23" s="2623"/>
    </row>
    <row r="24" spans="1:8" ht="12" customHeight="1">
      <c r="C24" s="314" t="s">
        <v>3269</v>
      </c>
      <c r="E24" s="2623"/>
    </row>
    <row r="25" spans="1:8" ht="12" customHeight="1">
      <c r="C25" s="314" t="s">
        <v>3267</v>
      </c>
      <c r="E25" s="4539"/>
      <c r="F25" s="4539"/>
      <c r="G25" s="4539"/>
      <c r="H25" s="4539"/>
    </row>
    <row r="26" spans="1:8" ht="3" customHeight="1">
      <c r="E26" s="463"/>
    </row>
    <row r="27" spans="1:8" ht="12" customHeight="1">
      <c r="A27" s="314">
        <v>5</v>
      </c>
      <c r="C27" s="314" t="s">
        <v>3275</v>
      </c>
      <c r="E27" s="463" t="str">
        <f>'Sensitivity Analysis'!$H$7</f>
        <v>New Construction</v>
      </c>
    </row>
    <row r="28" spans="1:8" ht="12" customHeight="1">
      <c r="E28" s="463" t="str">
        <f>'Part I-Project Identification'!F12</f>
        <v>9% Credit Competitive Round only</v>
      </c>
    </row>
    <row r="29" spans="1:8" ht="12" customHeight="1">
      <c r="C29" s="314" t="s">
        <v>3276</v>
      </c>
      <c r="E29" s="314" t="str">
        <f>'Sensitivity Analysis'!$C$9</f>
        <v>&lt;&lt;Select&gt;&gt;</v>
      </c>
    </row>
    <row r="30" spans="1:8" ht="3" customHeight="1"/>
    <row r="31" spans="1:8" ht="12" customHeight="1">
      <c r="A31" s="314">
        <v>6</v>
      </c>
      <c r="C31" s="314" t="s">
        <v>3277</v>
      </c>
      <c r="E31" s="314" t="s">
        <v>3278</v>
      </c>
      <c r="F31" s="773">
        <f>'Part II-Sources of Funds'!L22</f>
        <v>13200000</v>
      </c>
      <c r="G31" s="314" t="s">
        <v>3279</v>
      </c>
    </row>
    <row r="32" spans="1:8" ht="12" customHeight="1">
      <c r="F32" s="773" t="s">
        <v>3280</v>
      </c>
      <c r="G32" s="314" t="s">
        <v>3281</v>
      </c>
    </row>
    <row r="33" spans="1:8" ht="3" customHeight="1">
      <c r="F33" s="459"/>
    </row>
    <row r="34" spans="1:8" ht="12" customHeight="1">
      <c r="A34" s="314">
        <v>7</v>
      </c>
      <c r="C34" s="314" t="s">
        <v>3282</v>
      </c>
      <c r="F34" s="774">
        <v>0</v>
      </c>
    </row>
    <row r="35" spans="1:8" ht="3" customHeight="1">
      <c r="F35" s="459"/>
    </row>
    <row r="36" spans="1:8" ht="12" customHeight="1">
      <c r="A36" s="314">
        <v>8</v>
      </c>
      <c r="C36" s="314" t="s">
        <v>3283</v>
      </c>
      <c r="E36" s="314" t="s">
        <v>3278</v>
      </c>
      <c r="F36" s="775">
        <v>0.01</v>
      </c>
    </row>
    <row r="37" spans="1:8" ht="3" customHeight="1">
      <c r="F37" s="774"/>
    </row>
    <row r="38" spans="1:8" ht="12" customHeight="1">
      <c r="A38" s="314">
        <v>9</v>
      </c>
      <c r="C38" s="314" t="s">
        <v>3284</v>
      </c>
      <c r="F38" s="776">
        <v>24</v>
      </c>
      <c r="G38" s="314" t="s">
        <v>3285</v>
      </c>
    </row>
    <row r="39" spans="1:8" ht="3" customHeight="1">
      <c r="F39" s="774"/>
    </row>
    <row r="40" spans="1:8" ht="12" customHeight="1">
      <c r="A40" s="314">
        <v>10</v>
      </c>
      <c r="C40" s="314" t="s">
        <v>3286</v>
      </c>
      <c r="E40" s="314" t="s">
        <v>3278</v>
      </c>
      <c r="F40" s="459">
        <f>'Part II-Sources of Funds'!L40*12</f>
        <v>180</v>
      </c>
      <c r="G40" s="314" t="s">
        <v>3285</v>
      </c>
    </row>
    <row r="41" spans="1:8" ht="3" customHeight="1">
      <c r="F41" s="459"/>
    </row>
    <row r="42" spans="1:8" ht="12" customHeight="1">
      <c r="A42" s="314">
        <v>11</v>
      </c>
      <c r="C42" s="314" t="s">
        <v>3287</v>
      </c>
      <c r="F42" s="777">
        <v>24</v>
      </c>
      <c r="G42" s="314" t="s">
        <v>3285</v>
      </c>
    </row>
    <row r="43" spans="1:8" ht="3" customHeight="1"/>
    <row r="44" spans="1:8" ht="12" customHeight="1">
      <c r="A44" s="314">
        <v>12</v>
      </c>
      <c r="C44" s="314" t="s">
        <v>3288</v>
      </c>
      <c r="F44" s="778" t="s">
        <v>3289</v>
      </c>
    </row>
    <row r="45" spans="1:8" ht="3" customHeight="1"/>
    <row r="46" spans="1:8" ht="12" customHeight="1">
      <c r="A46" s="314">
        <v>13</v>
      </c>
      <c r="C46" s="314" t="s">
        <v>3290</v>
      </c>
      <c r="E46" s="314" t="s">
        <v>3278</v>
      </c>
      <c r="F46" s="463" t="s">
        <v>3291</v>
      </c>
    </row>
    <row r="47" spans="1:8" ht="3" customHeight="1">
      <c r="F47" s="2620"/>
    </row>
    <row r="48" spans="1:8" ht="12" customHeight="1">
      <c r="A48" s="314">
        <v>14</v>
      </c>
      <c r="C48" s="314" t="s">
        <v>3292</v>
      </c>
      <c r="E48" s="4539"/>
      <c r="F48" s="4539"/>
      <c r="G48" s="4539"/>
      <c r="H48" s="4539"/>
    </row>
    <row r="49" spans="1:8" ht="3" customHeight="1">
      <c r="E49" s="463"/>
    </row>
    <row r="50" spans="1:8" ht="12" customHeight="1">
      <c r="A50" s="314">
        <v>15</v>
      </c>
      <c r="C50" s="314" t="s">
        <v>3293</v>
      </c>
      <c r="E50" s="4539"/>
      <c r="F50" s="4539"/>
      <c r="G50" s="4539"/>
      <c r="H50" s="4539"/>
    </row>
    <row r="51" spans="1:8" ht="12" customHeight="1">
      <c r="C51" s="314" t="s">
        <v>3294</v>
      </c>
      <c r="E51" s="4539"/>
      <c r="F51" s="4539"/>
      <c r="G51" s="4539"/>
      <c r="H51" s="4539"/>
    </row>
    <row r="52" spans="1:8" ht="3" customHeight="1">
      <c r="F52" s="459"/>
    </row>
    <row r="53" spans="1:8" ht="12" customHeight="1">
      <c r="A53" s="314">
        <v>16</v>
      </c>
      <c r="C53" s="314" t="s">
        <v>3295</v>
      </c>
      <c r="F53" s="777">
        <f>ProrationMethodCostAllocatnDCA!$D$64</f>
        <v>0</v>
      </c>
    </row>
    <row r="54" spans="1:8" ht="3" customHeight="1">
      <c r="F54" s="459"/>
    </row>
    <row r="55" spans="1:8" ht="12" customHeight="1">
      <c r="A55" s="314">
        <v>17</v>
      </c>
      <c r="C55" s="314" t="s">
        <v>3296</v>
      </c>
      <c r="F55" s="779" t="e">
        <f>ProrationMethodCostAllocatnDCA!$H$52</f>
        <v>#VALUE!</v>
      </c>
    </row>
    <row r="56" spans="1:8" ht="3" customHeight="1">
      <c r="F56" s="459"/>
    </row>
    <row r="57" spans="1:8" ht="12" customHeight="1">
      <c r="A57" s="314">
        <v>18</v>
      </c>
      <c r="C57" s="314" t="s">
        <v>3297</v>
      </c>
      <c r="F57" s="779">
        <f>'Part V-Revenues &amp; Expenses'!P66</f>
        <v>0</v>
      </c>
      <c r="G57" s="314" t="s">
        <v>3298</v>
      </c>
    </row>
    <row r="58" spans="1:8" ht="3" customHeight="1">
      <c r="F58" s="459"/>
    </row>
    <row r="59" spans="1:8" ht="12" customHeight="1">
      <c r="A59" s="314">
        <v>19</v>
      </c>
      <c r="C59" s="314" t="s">
        <v>3299</v>
      </c>
      <c r="F59" s="1148">
        <f>'Part VII-Threshold Criteria OLD'!$P$44</f>
        <v>0</v>
      </c>
      <c r="G59" s="314" t="s">
        <v>3300</v>
      </c>
    </row>
    <row r="60" spans="1:8" ht="3" customHeight="1">
      <c r="F60" s="459"/>
    </row>
    <row r="61" spans="1:8" ht="12" customHeight="1">
      <c r="A61" s="314">
        <v>20</v>
      </c>
      <c r="C61" s="314" t="s">
        <v>3301</v>
      </c>
      <c r="F61" s="780">
        <f>'Subsidy Layering Memo'!$L$70</f>
        <v>2183963.8801548667</v>
      </c>
    </row>
    <row r="62" spans="1:8" ht="3" customHeight="1"/>
    <row r="63" spans="1:8" ht="12" customHeight="1">
      <c r="A63" s="314">
        <v>21</v>
      </c>
      <c r="C63" s="314" t="s">
        <v>3302</v>
      </c>
      <c r="E63" s="781" t="s">
        <v>3303</v>
      </c>
      <c r="F63" s="782" t="s">
        <v>3304</v>
      </c>
      <c r="G63" s="781" t="s">
        <v>3305</v>
      </c>
    </row>
    <row r="64" spans="1:8" ht="12" customHeight="1">
      <c r="E64" s="781" t="s">
        <v>3303</v>
      </c>
      <c r="F64" s="782" t="s">
        <v>3304</v>
      </c>
      <c r="G64" s="781" t="s">
        <v>3306</v>
      </c>
    </row>
    <row r="65" spans="1:7" ht="12" customHeight="1">
      <c r="E65" s="781" t="s">
        <v>3303</v>
      </c>
      <c r="F65" s="782" t="s">
        <v>3304</v>
      </c>
      <c r="G65" s="781" t="s">
        <v>3307</v>
      </c>
    </row>
    <row r="66" spans="1:7" ht="12" customHeight="1">
      <c r="E66" s="781" t="s">
        <v>3303</v>
      </c>
      <c r="F66" s="782" t="s">
        <v>3304</v>
      </c>
      <c r="G66" s="781" t="s">
        <v>3308</v>
      </c>
    </row>
    <row r="67" spans="1:7" ht="3" customHeight="1"/>
    <row r="68" spans="1:7" ht="12" customHeight="1">
      <c r="A68" s="314">
        <v>22</v>
      </c>
      <c r="C68" s="314" t="s">
        <v>3309</v>
      </c>
      <c r="E68" s="463">
        <f>'Sensitivity Analysis'!H9</f>
        <v>0</v>
      </c>
    </row>
    <row r="69" spans="1:7" ht="3" customHeight="1"/>
    <row r="70" spans="1:7" ht="12" customHeight="1">
      <c r="A70" s="314">
        <v>23</v>
      </c>
      <c r="C70" s="314" t="s">
        <v>3310</v>
      </c>
      <c r="F70" s="459" t="s">
        <v>3311</v>
      </c>
    </row>
    <row r="71" spans="1:7" ht="3" customHeight="1"/>
    <row r="72" spans="1:7" ht="12" customHeight="1">
      <c r="A72" s="314">
        <v>24</v>
      </c>
      <c r="C72" s="314" t="s">
        <v>3312</v>
      </c>
      <c r="E72" s="314" t="s">
        <v>3278</v>
      </c>
      <c r="F72" s="459">
        <v>20</v>
      </c>
      <c r="G72" s="314" t="s">
        <v>513</v>
      </c>
    </row>
    <row r="73" spans="1:7" ht="3" customHeight="1"/>
    <row r="74" spans="1:7" ht="12" customHeight="1">
      <c r="A74" s="314">
        <v>25</v>
      </c>
      <c r="C74" s="314" t="s">
        <v>3313</v>
      </c>
      <c r="F74" s="783">
        <f>'Part III-A-Uses of Funds'!$G$131</f>
        <v>342150</v>
      </c>
    </row>
    <row r="75" spans="1:7" ht="3" customHeight="1">
      <c r="F75" s="783"/>
    </row>
    <row r="76" spans="1:7" ht="12" customHeight="1">
      <c r="A76" s="314">
        <v>26</v>
      </c>
      <c r="C76" s="314" t="s">
        <v>3314</v>
      </c>
      <c r="F76" s="783">
        <f>'Part III-A-Uses of Funds'!$G$132</f>
        <v>0</v>
      </c>
    </row>
    <row r="77" spans="1:7" ht="3" customHeight="1">
      <c r="F77" s="783"/>
    </row>
    <row r="78" spans="1:7" ht="12" customHeight="1">
      <c r="A78" s="314">
        <v>27</v>
      </c>
      <c r="C78" s="314" t="s">
        <v>3315</v>
      </c>
      <c r="F78" s="783">
        <f>'Part III-A-Uses of Funds'!$G$130</f>
        <v>113097</v>
      </c>
    </row>
    <row r="79" spans="1:7" ht="3" customHeight="1">
      <c r="F79" s="783"/>
    </row>
    <row r="80" spans="1:7" ht="12" customHeight="1">
      <c r="A80" s="314">
        <v>28</v>
      </c>
      <c r="C80" s="314" t="s">
        <v>3316</v>
      </c>
      <c r="F80" s="784"/>
    </row>
  </sheetData>
  <sheetProtection algorithmName="SHA-512" hashValue="bDcn/YPdSVPxBH+RCJvM5k2GfYM1/r7HXSiXjbwwXrUtOxd9fSrpahAQtPVnKl75EuNwirpiiGxtb9VhI2xm8A==" saltValue="2VvEhvTSTyftOm4bkJ9u7g=="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28515625" defaultRowHeight="12.75"/>
  <cols>
    <col min="1" max="1" width="23.5703125" style="314" customWidth="1"/>
    <col min="2" max="2" width="11" style="314" customWidth="1"/>
    <col min="3" max="3" width="31" style="314" customWidth="1"/>
    <col min="4" max="4" width="14" style="314" customWidth="1"/>
    <col min="5" max="10" width="11.28515625" style="314" customWidth="1"/>
    <col min="11" max="16384" width="9.28515625" style="314"/>
  </cols>
  <sheetData>
    <row r="1" spans="1:13" ht="15">
      <c r="A1" s="4554" t="s">
        <v>3317</v>
      </c>
      <c r="B1" s="4554"/>
      <c r="C1" s="4554"/>
      <c r="D1" s="4554"/>
      <c r="E1" s="4554"/>
      <c r="F1" s="4554"/>
      <c r="G1" s="4554"/>
      <c r="H1" s="4554"/>
      <c r="I1" s="4554"/>
      <c r="J1" s="4554"/>
    </row>
    <row r="2" spans="1:13" ht="15">
      <c r="A2" s="4554" t="str">
        <f>'Sensitivity Analysis'!E8&amp;"  "&amp;'Sensitivity Analysis'!C8</f>
        <v>2024-0  Finley Place</v>
      </c>
      <c r="B2" s="4554"/>
      <c r="C2" s="4554"/>
      <c r="D2" s="4554"/>
      <c r="E2" s="4554"/>
      <c r="F2" s="4554"/>
      <c r="G2" s="4554"/>
      <c r="H2" s="4554"/>
      <c r="I2" s="4554"/>
      <c r="J2" s="4554"/>
    </row>
    <row r="3" spans="1:13" ht="6" customHeight="1">
      <c r="K3" s="4543" t="s">
        <v>3262</v>
      </c>
      <c r="L3" s="4543"/>
      <c r="M3" s="4543"/>
    </row>
    <row r="4" spans="1:13" ht="12" customHeight="1">
      <c r="A4" s="457" t="s">
        <v>3318</v>
      </c>
      <c r="K4" s="4543"/>
      <c r="L4" s="4543"/>
      <c r="M4" s="4543"/>
    </row>
    <row r="5" spans="1:13" ht="12" customHeight="1">
      <c r="A5" s="314" t="s">
        <v>3319</v>
      </c>
      <c r="C5" s="410" t="str">
        <f>'Subsidy Layering Memo'!D6</f>
        <v>(Underwriter)</v>
      </c>
      <c r="I5" s="410"/>
      <c r="K5" s="4543"/>
      <c r="L5" s="4543"/>
      <c r="M5" s="4543"/>
    </row>
    <row r="6" spans="1:13" ht="6" customHeight="1">
      <c r="C6" s="410"/>
      <c r="D6" s="410"/>
      <c r="I6" s="410"/>
      <c r="K6" s="4543"/>
      <c r="L6" s="4543"/>
      <c r="M6" s="4543"/>
    </row>
    <row r="7" spans="1:13" ht="12" customHeight="1">
      <c r="A7" s="457" t="s">
        <v>3320</v>
      </c>
      <c r="C7" s="410"/>
      <c r="D7" s="410"/>
      <c r="I7" s="410"/>
      <c r="K7" s="4543"/>
      <c r="L7" s="4543"/>
      <c r="M7" s="4543"/>
    </row>
    <row r="8" spans="1:13" ht="12" customHeight="1">
      <c r="A8" s="314" t="s">
        <v>3321</v>
      </c>
      <c r="C8" s="410">
        <f>'Sensitivity Analysis'!$H$9</f>
        <v>0</v>
      </c>
      <c r="I8" s="410"/>
      <c r="K8" s="4543"/>
      <c r="L8" s="4543"/>
      <c r="M8" s="4543"/>
    </row>
    <row r="9" spans="1:13" ht="3" customHeight="1">
      <c r="C9" s="410"/>
      <c r="D9" s="410"/>
      <c r="I9" s="410"/>
    </row>
    <row r="10" spans="1:13" ht="12" customHeight="1">
      <c r="A10" s="314" t="s">
        <v>3322</v>
      </c>
      <c r="C10" s="741" t="s">
        <v>730</v>
      </c>
      <c r="I10" s="410"/>
    </row>
    <row r="11" spans="1:13" ht="12" customHeight="1">
      <c r="C11" s="741" t="s">
        <v>730</v>
      </c>
      <c r="I11" s="410"/>
    </row>
    <row r="12" spans="1:13" ht="12" customHeight="1">
      <c r="C12" s="410" t="s">
        <v>2140</v>
      </c>
      <c r="D12" s="469" t="s">
        <v>730</v>
      </c>
      <c r="I12" s="410"/>
    </row>
    <row r="13" spans="1:13" ht="12" customHeight="1">
      <c r="C13" s="410" t="s">
        <v>3323</v>
      </c>
      <c r="D13" s="4544"/>
      <c r="E13" s="4544"/>
      <c r="F13" s="4544"/>
      <c r="G13" s="4544"/>
      <c r="H13" s="4544"/>
      <c r="I13" s="4544"/>
      <c r="J13" s="4544"/>
    </row>
    <row r="14" spans="1:13" ht="3" customHeight="1">
      <c r="G14" s="410"/>
      <c r="H14" s="410"/>
      <c r="I14" s="410"/>
    </row>
    <row r="15" spans="1:13" ht="12" customHeight="1">
      <c r="A15" s="314" t="s">
        <v>3324</v>
      </c>
      <c r="C15" s="458">
        <f>'Preview term'!E10</f>
        <v>0</v>
      </c>
      <c r="G15" s="410"/>
      <c r="I15" s="410"/>
    </row>
    <row r="16" spans="1:13" ht="12" customHeight="1">
      <c r="A16" s="463" t="s">
        <v>3325</v>
      </c>
      <c r="C16" s="458">
        <f>'Part II-Development Team'!Q7</f>
        <v>0</v>
      </c>
      <c r="G16" s="410"/>
      <c r="I16" s="410"/>
    </row>
    <row r="17" spans="1:9" ht="3" customHeight="1">
      <c r="G17" s="410"/>
      <c r="H17" s="410"/>
      <c r="I17" s="410"/>
    </row>
    <row r="18" spans="1:9" ht="12" customHeight="1">
      <c r="A18" s="314" t="s">
        <v>3326</v>
      </c>
      <c r="C18" s="458">
        <f>'Preview term'!$E$7</f>
        <v>0</v>
      </c>
      <c r="G18" s="410"/>
      <c r="I18" s="410"/>
    </row>
    <row r="19" spans="1:9" ht="12" customHeight="1">
      <c r="C19" s="458">
        <f>'Preview term'!$E$8</f>
        <v>0</v>
      </c>
      <c r="G19" s="410"/>
      <c r="I19" s="410"/>
    </row>
    <row r="20" spans="1:9" ht="3" customHeight="1">
      <c r="G20" s="410"/>
      <c r="H20" s="410"/>
      <c r="I20" s="410"/>
    </row>
    <row r="21" spans="1:9" ht="12" customHeight="1">
      <c r="A21" s="314" t="s">
        <v>3327</v>
      </c>
      <c r="C21" s="458" t="str">
        <f>CONCATENATE('Preview term'!E50," of  ",'Preview term'!G50)</f>
        <v xml:space="preserve"> of  </v>
      </c>
      <c r="G21" s="410"/>
      <c r="I21" s="410"/>
    </row>
    <row r="22" spans="1:9" ht="3" customHeight="1">
      <c r="C22" s="458"/>
      <c r="G22" s="410"/>
      <c r="I22" s="410"/>
    </row>
    <row r="23" spans="1:9" ht="12" customHeight="1">
      <c r="A23" s="314" t="s">
        <v>3328</v>
      </c>
      <c r="C23" s="458">
        <f>'Preview term'!E12</f>
        <v>0</v>
      </c>
      <c r="G23" s="410"/>
      <c r="I23" s="410"/>
    </row>
    <row r="24" spans="1:9" ht="3" customHeight="1">
      <c r="C24" s="458"/>
      <c r="G24" s="410"/>
      <c r="I24" s="410"/>
    </row>
    <row r="25" spans="1:9" ht="12" customHeight="1">
      <c r="A25" s="314" t="s">
        <v>3329</v>
      </c>
      <c r="C25" s="743">
        <f>'Preview term'!E11</f>
        <v>0</v>
      </c>
      <c r="G25" s="410"/>
    </row>
    <row r="26" spans="1:9" ht="6" customHeight="1">
      <c r="G26" s="410"/>
      <c r="H26" s="410"/>
      <c r="I26" s="410"/>
    </row>
    <row r="27" spans="1:9" ht="12" customHeight="1">
      <c r="A27" s="457" t="s">
        <v>3330</v>
      </c>
      <c r="G27" s="410"/>
      <c r="H27" s="410"/>
      <c r="I27" s="410"/>
    </row>
    <row r="28" spans="1:9" ht="12" customHeight="1">
      <c r="A28" s="314" t="s">
        <v>3331</v>
      </c>
      <c r="C28" s="458" t="str">
        <f>'Sensitivity Analysis'!$C$8</f>
        <v>Finley Place</v>
      </c>
      <c r="I28" s="410"/>
    </row>
    <row r="29" spans="1:9" ht="3" customHeight="1">
      <c r="C29" s="458"/>
      <c r="I29" s="410"/>
    </row>
    <row r="30" spans="1:9" ht="12" customHeight="1">
      <c r="A30" s="314" t="s">
        <v>3332</v>
      </c>
      <c r="C30" s="458">
        <f>'Preview term'!E16</f>
        <v>0</v>
      </c>
      <c r="I30" s="410"/>
    </row>
    <row r="31" spans="1:9">
      <c r="C31" s="410" t="str">
        <f>'Preview term'!E17</f>
        <v>Austell</v>
      </c>
      <c r="I31" s="410"/>
    </row>
    <row r="32" spans="1:9" ht="3" customHeight="1">
      <c r="C32" s="410"/>
      <c r="D32" s="410"/>
      <c r="I32" s="410"/>
    </row>
    <row r="33" spans="1:10" ht="12" customHeight="1">
      <c r="A33" s="314" t="s">
        <v>3333</v>
      </c>
      <c r="C33" s="410" t="s">
        <v>3334</v>
      </c>
      <c r="D33" s="742" t="e">
        <f>'Preview term'!$F$55</f>
        <v>#VALUE!</v>
      </c>
      <c r="I33" s="410"/>
    </row>
    <row r="34" spans="1:10" ht="12" customHeight="1">
      <c r="C34" s="410" t="s">
        <v>3335</v>
      </c>
      <c r="D34" s="1543" t="e">
        <f>D35-D33</f>
        <v>#VALUE!</v>
      </c>
      <c r="I34" s="410"/>
    </row>
    <row r="35" spans="1:10" ht="12" customHeight="1">
      <c r="C35" s="410" t="s">
        <v>3336</v>
      </c>
      <c r="D35" s="2826">
        <f>'Preview term'!$F$53</f>
        <v>0</v>
      </c>
      <c r="I35" s="410"/>
    </row>
    <row r="36" spans="1:10" ht="3" customHeight="1">
      <c r="C36" s="410"/>
      <c r="D36" s="410"/>
      <c r="I36" s="410"/>
    </row>
    <row r="37" spans="1:10" ht="12" customHeight="1">
      <c r="A37" s="314" t="s">
        <v>3337</v>
      </c>
      <c r="C37" s="781" t="s">
        <v>730</v>
      </c>
      <c r="D37" s="740">
        <f>'Preview term'!F57</f>
        <v>0</v>
      </c>
      <c r="E37" s="410" t="s">
        <v>3338</v>
      </c>
      <c r="I37" s="410"/>
    </row>
    <row r="38" spans="1:10" ht="3" customHeight="1">
      <c r="G38" s="2621"/>
      <c r="H38" s="410"/>
      <c r="I38" s="410"/>
    </row>
    <row r="39" spans="1:10" ht="25.5" customHeight="1">
      <c r="A39" s="460" t="s">
        <v>3339</v>
      </c>
      <c r="C39" s="4555" t="str">
        <f>_xlfn.CONCAT('Part VII-Threshold Criteria OLD'!K192," and ",'Part VII-Threshold Criteria OLD'!K193)</f>
        <v>&lt;&lt;Select&gt;&gt; and &lt;&lt;Select&gt;&gt;</v>
      </c>
      <c r="D39" s="4555"/>
      <c r="E39" s="4555"/>
      <c r="F39" s="4555"/>
      <c r="G39" s="4555"/>
      <c r="H39" s="4555"/>
      <c r="I39" s="4555"/>
      <c r="J39" s="4555"/>
    </row>
    <row r="40" spans="1:10" ht="25.5" customHeight="1">
      <c r="A40" s="460" t="s">
        <v>3340</v>
      </c>
      <c r="C40" s="4555"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555"/>
      <c r="E40" s="4555"/>
      <c r="F40" s="4555"/>
      <c r="G40" s="4555"/>
      <c r="H40" s="4555"/>
      <c r="I40" s="4555"/>
      <c r="J40" s="4555"/>
    </row>
    <row r="41" spans="1:10" ht="3" customHeight="1">
      <c r="G41" s="410"/>
      <c r="H41" s="410"/>
      <c r="I41" s="410"/>
    </row>
    <row r="42" spans="1:10" ht="25.5" customHeight="1">
      <c r="A42" s="460" t="s">
        <v>3341</v>
      </c>
      <c r="C42" s="4555" t="s">
        <v>3342</v>
      </c>
      <c r="D42" s="4555"/>
      <c r="E42" s="4555"/>
      <c r="F42" s="4555"/>
      <c r="G42" s="4555"/>
      <c r="H42" s="4555"/>
      <c r="I42" s="4555"/>
      <c r="J42" s="4555"/>
    </row>
    <row r="43" spans="1:10" ht="3" customHeight="1">
      <c r="C43" s="320"/>
      <c r="D43" s="320"/>
      <c r="E43" s="320"/>
      <c r="F43" s="320"/>
      <c r="G43" s="320"/>
      <c r="H43" s="321"/>
      <c r="I43" s="321"/>
      <c r="J43" s="321"/>
    </row>
    <row r="44" spans="1:10" ht="12" customHeight="1">
      <c r="A44" s="314" t="s">
        <v>3343</v>
      </c>
      <c r="C44" s="366" t="str">
        <f>'Part I-Project Identification'!J27</f>
        <v>Cobb</v>
      </c>
      <c r="D44" s="320"/>
      <c r="F44" s="321"/>
      <c r="I44" s="321"/>
      <c r="J44" s="321"/>
    </row>
    <row r="45" spans="1:10" ht="3" customHeight="1">
      <c r="C45" s="320"/>
      <c r="D45" s="320"/>
      <c r="E45" s="320"/>
      <c r="F45" s="321"/>
      <c r="I45" s="321"/>
      <c r="J45" s="321"/>
    </row>
    <row r="46" spans="1:10" ht="12" customHeight="1">
      <c r="A46" s="314" t="s">
        <v>3344</v>
      </c>
      <c r="C46" s="469" t="s">
        <v>730</v>
      </c>
      <c r="I46" s="321"/>
      <c r="J46" s="321"/>
    </row>
    <row r="47" spans="1:10" ht="3" customHeight="1">
      <c r="C47" s="410"/>
      <c r="D47" s="2621"/>
      <c r="I47" s="410"/>
    </row>
    <row r="48" spans="1:10" ht="12" customHeight="1">
      <c r="A48" s="314" t="s">
        <v>3345</v>
      </c>
      <c r="C48" s="1149">
        <f>'Preview term'!F59</f>
        <v>0</v>
      </c>
      <c r="I48" s="461"/>
      <c r="J48" s="461"/>
    </row>
    <row r="49" spans="1:10" ht="3" customHeight="1">
      <c r="D49" s="461"/>
      <c r="E49" s="461"/>
      <c r="F49" s="461"/>
      <c r="G49" s="461"/>
      <c r="H49" s="410"/>
      <c r="I49" s="461"/>
      <c r="J49" s="461"/>
    </row>
    <row r="50" spans="1:10" ht="12" customHeight="1">
      <c r="A50" s="410"/>
      <c r="B50" s="314" t="s">
        <v>3346</v>
      </c>
      <c r="C50" s="4555" t="s">
        <v>3347</v>
      </c>
      <c r="D50" s="4555"/>
      <c r="E50" s="4555"/>
      <c r="F50" s="4555"/>
      <c r="G50" s="4555"/>
      <c r="H50" s="4555"/>
      <c r="I50" s="4555"/>
      <c r="J50" s="4555"/>
    </row>
    <row r="51" spans="1:10" ht="12" customHeight="1">
      <c r="C51" s="4546" t="s">
        <v>3348</v>
      </c>
      <c r="D51" s="4546"/>
      <c r="E51" s="4546"/>
      <c r="F51" s="4546"/>
      <c r="G51" s="4546"/>
      <c r="H51" s="4546"/>
      <c r="I51" s="4546"/>
      <c r="J51" s="4546"/>
    </row>
    <row r="52" spans="1:10" ht="3" customHeight="1">
      <c r="D52" s="461"/>
      <c r="E52" s="461"/>
      <c r="F52" s="461"/>
      <c r="G52" s="461"/>
      <c r="H52" s="410"/>
      <c r="I52" s="461"/>
      <c r="J52" s="461"/>
    </row>
    <row r="53" spans="1:10" ht="12" customHeight="1">
      <c r="A53" s="460" t="s">
        <v>3349</v>
      </c>
      <c r="B53" s="460"/>
      <c r="C53" s="462" t="s">
        <v>3350</v>
      </c>
      <c r="D53" s="462" t="s">
        <v>3351</v>
      </c>
      <c r="E53" s="4547"/>
      <c r="F53" s="4547"/>
      <c r="G53" s="4547"/>
      <c r="H53" s="4547"/>
      <c r="I53" s="4547"/>
      <c r="J53" s="4547"/>
    </row>
    <row r="54" spans="1:10" ht="12" customHeight="1">
      <c r="A54" s="460"/>
      <c r="B54" s="460"/>
      <c r="C54" s="460"/>
      <c r="D54" s="462" t="s">
        <v>3352</v>
      </c>
      <c r="E54" s="4548"/>
      <c r="F54" s="4548"/>
      <c r="G54" s="4548"/>
      <c r="H54" s="4548"/>
      <c r="I54" s="4548"/>
      <c r="J54" s="4548"/>
    </row>
    <row r="55" spans="1:10" ht="12" customHeight="1">
      <c r="A55" s="457" t="s">
        <v>3353</v>
      </c>
      <c r="G55" s="410"/>
      <c r="H55" s="410"/>
      <c r="I55" s="410"/>
    </row>
    <row r="56" spans="1:10" ht="18" customHeight="1">
      <c r="A56" s="314" t="s">
        <v>3354</v>
      </c>
      <c r="C56" s="458">
        <f>'Sensitivity Analysis'!C10</f>
        <v>0</v>
      </c>
      <c r="G56" s="410"/>
      <c r="I56" s="410"/>
    </row>
    <row r="57" spans="1:10" ht="3" customHeight="1">
      <c r="C57" s="458"/>
      <c r="G57" s="410"/>
      <c r="I57" s="410"/>
    </row>
    <row r="58" spans="1:10" ht="12" customHeight="1">
      <c r="A58" s="314" t="s">
        <v>3355</v>
      </c>
      <c r="C58" s="458">
        <f>'Sensitivity Analysis'!C11</f>
        <v>0</v>
      </c>
      <c r="E58" s="458">
        <f>'Sensitivity Analysis'!E11</f>
        <v>0</v>
      </c>
      <c r="G58" s="410"/>
      <c r="I58" s="410"/>
    </row>
    <row r="59" spans="1:10" ht="3" customHeight="1">
      <c r="C59" s="458"/>
      <c r="G59" s="410"/>
      <c r="I59" s="410"/>
    </row>
    <row r="60" spans="1:10" ht="12" customHeight="1">
      <c r="A60" s="314" t="s">
        <v>3356</v>
      </c>
      <c r="C60" s="458" t="s">
        <v>2176</v>
      </c>
      <c r="G60" s="410"/>
      <c r="I60" s="410"/>
    </row>
    <row r="61" spans="1:10" ht="6" customHeight="1">
      <c r="G61" s="410"/>
      <c r="H61" s="410"/>
      <c r="I61" s="410"/>
    </row>
    <row r="62" spans="1:10" ht="12" customHeight="1">
      <c r="A62" s="457" t="s">
        <v>3357</v>
      </c>
      <c r="G62" s="410"/>
      <c r="H62" s="410"/>
      <c r="I62" s="410"/>
    </row>
    <row r="63" spans="1:10" ht="12" customHeight="1">
      <c r="A63" s="314" t="s">
        <v>3358</v>
      </c>
      <c r="C63" s="314" t="s">
        <v>3359</v>
      </c>
      <c r="D63" s="744">
        <f>'Preview term'!F31</f>
        <v>13200000</v>
      </c>
      <c r="G63" s="410"/>
      <c r="I63" s="410"/>
    </row>
    <row r="64" spans="1:10" ht="3" customHeight="1">
      <c r="D64" s="463"/>
      <c r="G64" s="410"/>
      <c r="H64" s="464"/>
      <c r="I64" s="410"/>
    </row>
    <row r="65" spans="1:10" ht="12" customHeight="1">
      <c r="A65" s="314" t="s">
        <v>3360</v>
      </c>
      <c r="C65" s="314" t="s">
        <v>3361</v>
      </c>
      <c r="D65" s="458" t="s">
        <v>445</v>
      </c>
      <c r="G65" s="410"/>
      <c r="I65" s="410"/>
    </row>
    <row r="66" spans="1:10" ht="3" customHeight="1">
      <c r="D66" s="463"/>
      <c r="G66" s="410"/>
      <c r="H66" s="410"/>
      <c r="I66" s="410"/>
    </row>
    <row r="67" spans="1:10" ht="12" customHeight="1">
      <c r="A67" s="314" t="s">
        <v>3362</v>
      </c>
      <c r="C67" s="745" t="s">
        <v>730</v>
      </c>
      <c r="D67" s="463"/>
      <c r="I67" s="410"/>
    </row>
    <row r="68" spans="1:10" ht="12" customHeight="1">
      <c r="C68" s="314" t="s">
        <v>3363</v>
      </c>
      <c r="D68" s="2622" t="s">
        <v>730</v>
      </c>
      <c r="I68" s="410"/>
    </row>
    <row r="69" spans="1:10" ht="12" customHeight="1">
      <c r="C69" s="314" t="s">
        <v>3323</v>
      </c>
      <c r="D69" s="4544"/>
      <c r="E69" s="4544"/>
      <c r="F69" s="4544"/>
      <c r="G69" s="4544"/>
      <c r="H69" s="4544"/>
      <c r="I69" s="4544"/>
      <c r="J69" s="4544"/>
    </row>
    <row r="70" spans="1:10" ht="3" customHeight="1">
      <c r="D70" s="463"/>
      <c r="E70" s="410"/>
      <c r="F70" s="410"/>
      <c r="I70" s="410"/>
    </row>
    <row r="71" spans="1:10" ht="12" customHeight="1">
      <c r="A71" s="314" t="s">
        <v>3364</v>
      </c>
      <c r="C71" s="314" t="s">
        <v>3278</v>
      </c>
      <c r="D71" s="469" t="s">
        <v>730</v>
      </c>
      <c r="I71" s="410"/>
    </row>
    <row r="72" spans="1:10" ht="3" customHeight="1">
      <c r="D72" s="410"/>
      <c r="E72" s="410"/>
      <c r="I72" s="410"/>
    </row>
    <row r="73" spans="1:10" ht="12" customHeight="1">
      <c r="A73" s="314" t="s">
        <v>3365</v>
      </c>
      <c r="C73" s="745" t="s">
        <v>730</v>
      </c>
      <c r="I73" s="410"/>
    </row>
    <row r="74" spans="1:10" ht="3" customHeight="1">
      <c r="C74" s="463"/>
      <c r="G74" s="410"/>
      <c r="H74" s="410"/>
      <c r="I74" s="410"/>
    </row>
    <row r="75" spans="1:10" ht="12" customHeight="1">
      <c r="A75" s="314" t="s">
        <v>3366</v>
      </c>
      <c r="C75" s="463" t="s">
        <v>3367</v>
      </c>
      <c r="D75" s="747">
        <v>0</v>
      </c>
      <c r="J75" s="410"/>
    </row>
    <row r="76" spans="1:10" ht="12" customHeight="1">
      <c r="C76" s="465" t="s">
        <v>3368</v>
      </c>
      <c r="D76" s="748">
        <v>0.01</v>
      </c>
      <c r="J76" s="410"/>
    </row>
    <row r="77" spans="1:10" ht="3" customHeight="1">
      <c r="C77" s="463"/>
      <c r="D77" s="463"/>
      <c r="G77" s="410"/>
      <c r="H77" s="410"/>
      <c r="I77" s="410"/>
    </row>
    <row r="78" spans="1:10" ht="12" customHeight="1">
      <c r="A78" s="314" t="s">
        <v>3369</v>
      </c>
      <c r="C78" s="463" t="s">
        <v>3370</v>
      </c>
      <c r="D78" s="467">
        <v>24</v>
      </c>
      <c r="I78" s="410"/>
    </row>
    <row r="79" spans="1:10" ht="3" customHeight="1">
      <c r="D79" s="463"/>
      <c r="E79" s="410"/>
      <c r="F79" s="410"/>
      <c r="I79" s="410"/>
    </row>
    <row r="80" spans="1:10" ht="12" customHeight="1">
      <c r="A80" s="314" t="s">
        <v>3371</v>
      </c>
      <c r="C80" s="314" t="s">
        <v>3278</v>
      </c>
      <c r="D80" s="467">
        <f>'Preview term'!F40</f>
        <v>180</v>
      </c>
      <c r="E80" s="410" t="s">
        <v>3372</v>
      </c>
      <c r="I80" s="410"/>
    </row>
    <row r="81" spans="1:9" ht="3" customHeight="1">
      <c r="D81" s="463"/>
      <c r="G81" s="410"/>
      <c r="H81" s="410"/>
      <c r="I81" s="410"/>
    </row>
    <row r="82" spans="1:9" ht="12" customHeight="1">
      <c r="A82" s="314" t="s">
        <v>3373</v>
      </c>
      <c r="D82" s="746">
        <v>0</v>
      </c>
      <c r="E82" s="468">
        <f>D82*12</f>
        <v>0</v>
      </c>
      <c r="F82" s="410" t="s">
        <v>3374</v>
      </c>
    </row>
    <row r="83" spans="1:9" ht="3" customHeight="1">
      <c r="D83" s="458"/>
      <c r="E83" s="410"/>
      <c r="G83" s="410"/>
    </row>
    <row r="84" spans="1:9" ht="12" customHeight="1">
      <c r="A84" s="314" t="s">
        <v>3375</v>
      </c>
      <c r="D84" s="2622" t="s">
        <v>445</v>
      </c>
      <c r="E84" s="410" t="s">
        <v>3376</v>
      </c>
      <c r="G84" s="410"/>
    </row>
    <row r="85" spans="1:9" ht="3" customHeight="1">
      <c r="G85" s="410"/>
      <c r="H85" s="410"/>
      <c r="I85" s="410"/>
    </row>
    <row r="86" spans="1:9" ht="12" customHeight="1">
      <c r="A86" s="314" t="s">
        <v>3377</v>
      </c>
      <c r="C86" s="1150">
        <f>'Subsidy Layering Memo'!L70</f>
        <v>2183963.8801548667</v>
      </c>
      <c r="D86" s="470" t="s">
        <v>3378</v>
      </c>
      <c r="I86" s="410"/>
    </row>
    <row r="87" spans="1:9" ht="3" customHeight="1">
      <c r="C87" s="410" t="s">
        <v>730</v>
      </c>
      <c r="D87" s="410"/>
      <c r="E87" s="410"/>
      <c r="I87" s="410"/>
    </row>
    <row r="88" spans="1:9" ht="12" customHeight="1">
      <c r="A88" s="314" t="s">
        <v>3379</v>
      </c>
      <c r="B88" s="471"/>
      <c r="C88" s="745" t="s">
        <v>730</v>
      </c>
      <c r="D88" s="750"/>
      <c r="I88" s="410"/>
    </row>
    <row r="89" spans="1:9" ht="3" customHeight="1">
      <c r="G89" s="410"/>
      <c r="H89" s="410"/>
      <c r="I89" s="410"/>
    </row>
    <row r="90" spans="1:9" ht="12" customHeight="1">
      <c r="A90" s="314" t="s">
        <v>3380</v>
      </c>
      <c r="C90" s="463" t="s">
        <v>3381</v>
      </c>
      <c r="D90" s="458" t="s">
        <v>3289</v>
      </c>
      <c r="I90" s="410"/>
    </row>
    <row r="91" spans="1:9" ht="12" customHeight="1">
      <c r="C91" s="463" t="s">
        <v>3382</v>
      </c>
      <c r="D91" s="458" t="s">
        <v>445</v>
      </c>
      <c r="I91" s="410"/>
    </row>
    <row r="92" spans="1:9" ht="3" customHeight="1">
      <c r="G92" s="410"/>
      <c r="H92" s="410"/>
      <c r="I92" s="410"/>
    </row>
    <row r="93" spans="1:9" ht="12" customHeight="1">
      <c r="A93" s="314" t="s">
        <v>3383</v>
      </c>
      <c r="C93" s="463" t="s">
        <v>3367</v>
      </c>
      <c r="D93" s="410" t="s">
        <v>3384</v>
      </c>
      <c r="E93" s="463" t="str">
        <f>'Part II-Sources of Funds'!H22</f>
        <v>Truist Bank</v>
      </c>
      <c r="I93" s="410"/>
    </row>
    <row r="94" spans="1:9" ht="12" customHeight="1">
      <c r="C94" s="463"/>
      <c r="D94" s="410"/>
      <c r="E94" s="463" t="s">
        <v>37</v>
      </c>
      <c r="F94" s="4539"/>
      <c r="G94" s="4539"/>
      <c r="H94" s="4539"/>
      <c r="I94" s="410"/>
    </row>
    <row r="95" spans="1:9" ht="12" customHeight="1">
      <c r="C95" s="463"/>
      <c r="D95" s="410"/>
      <c r="E95" s="463" t="s">
        <v>3385</v>
      </c>
      <c r="F95" s="4549"/>
      <c r="G95" s="4549"/>
      <c r="H95" s="4549"/>
      <c r="I95" s="410"/>
    </row>
    <row r="96" spans="1:9" ht="12" customHeight="1">
      <c r="C96" s="463"/>
      <c r="D96" s="410"/>
      <c r="E96" s="463" t="s">
        <v>1903</v>
      </c>
      <c r="F96" s="4542"/>
      <c r="G96" s="4542"/>
      <c r="H96" s="4542"/>
      <c r="I96" s="410"/>
    </row>
    <row r="97" spans="1:10" ht="12" customHeight="1">
      <c r="B97" s="459"/>
      <c r="C97" s="465" t="s">
        <v>3368</v>
      </c>
      <c r="D97" s="410" t="s">
        <v>3384</v>
      </c>
      <c r="E97" s="463" t="str">
        <f>'Part II-Sources of Funds'!E40</f>
        <v>Truist Bank</v>
      </c>
      <c r="I97" s="410"/>
    </row>
    <row r="98" spans="1:10" ht="12" customHeight="1">
      <c r="C98" s="463"/>
      <c r="D98" s="410"/>
      <c r="E98" s="463" t="s">
        <v>37</v>
      </c>
      <c r="F98" s="4539"/>
      <c r="G98" s="4539"/>
      <c r="H98" s="4539"/>
      <c r="I98" s="410"/>
    </row>
    <row r="99" spans="1:10" ht="12" customHeight="1">
      <c r="C99" s="463"/>
      <c r="D99" s="410"/>
      <c r="E99" s="463" t="s">
        <v>3385</v>
      </c>
      <c r="F99" s="4549"/>
      <c r="G99" s="4549"/>
      <c r="H99" s="4549"/>
      <c r="I99" s="410"/>
    </row>
    <row r="100" spans="1:10" ht="12" customHeight="1">
      <c r="C100" s="463"/>
      <c r="D100" s="410"/>
      <c r="E100" s="463" t="s">
        <v>1903</v>
      </c>
      <c r="F100" s="4542"/>
      <c r="G100" s="4542"/>
      <c r="H100" s="4542"/>
      <c r="I100" s="410"/>
    </row>
    <row r="101" spans="1:10" ht="3" customHeight="1">
      <c r="D101" s="472"/>
      <c r="G101" s="410"/>
      <c r="H101" s="410"/>
      <c r="I101" s="410"/>
    </row>
    <row r="102" spans="1:10" ht="12" customHeight="1">
      <c r="A102" s="314" t="s">
        <v>3386</v>
      </c>
      <c r="D102" s="2622">
        <f>'Part VIII Scoring Criteria OLD'!O265</f>
        <v>0</v>
      </c>
      <c r="E102" s="410" t="s">
        <v>3387</v>
      </c>
      <c r="G102" s="314">
        <f>'Part VIII Scoring Criteria OLD'!O261</f>
        <v>0</v>
      </c>
      <c r="H102" s="314" t="s">
        <v>3388</v>
      </c>
      <c r="I102" s="410"/>
    </row>
    <row r="103" spans="1:10" ht="3" customHeight="1">
      <c r="E103" s="410"/>
      <c r="F103" s="410"/>
      <c r="I103" s="410"/>
    </row>
    <row r="104" spans="1:10" ht="12" customHeight="1">
      <c r="A104" s="410" t="s">
        <v>3389</v>
      </c>
      <c r="D104" s="314" t="s">
        <v>445</v>
      </c>
      <c r="E104" s="410"/>
      <c r="I104" s="410"/>
    </row>
    <row r="105" spans="1:10" ht="6" customHeight="1">
      <c r="G105" s="410"/>
      <c r="H105" s="410"/>
      <c r="I105" s="410"/>
    </row>
    <row r="106" spans="1:10" ht="12" customHeight="1">
      <c r="A106" s="457" t="s">
        <v>3390</v>
      </c>
      <c r="I106" s="410"/>
    </row>
    <row r="107" spans="1:10" ht="12" customHeight="1">
      <c r="A107" s="314" t="s">
        <v>3391</v>
      </c>
      <c r="C107" s="749" t="s">
        <v>730</v>
      </c>
      <c r="D107" s="4550"/>
      <c r="E107" s="4550"/>
      <c r="F107" s="4550"/>
      <c r="G107" s="4550"/>
      <c r="H107" s="4550"/>
      <c r="I107" s="4550"/>
      <c r="J107" s="4551"/>
    </row>
    <row r="108" spans="1:10" ht="3" customHeight="1">
      <c r="C108" s="463"/>
      <c r="D108" s="410"/>
      <c r="I108" s="410"/>
    </row>
    <row r="109" spans="1:10" ht="12" customHeight="1">
      <c r="A109" s="314" t="s">
        <v>3392</v>
      </c>
      <c r="C109" s="2622" t="s">
        <v>730</v>
      </c>
    </row>
    <row r="110" spans="1:10" ht="3" customHeight="1">
      <c r="C110" s="463"/>
      <c r="E110" s="410"/>
      <c r="F110" s="410"/>
      <c r="I110" s="410"/>
    </row>
    <row r="111" spans="1:10" ht="12" customHeight="1">
      <c r="A111" s="314" t="s">
        <v>3393</v>
      </c>
      <c r="C111" s="2622" t="s">
        <v>730</v>
      </c>
      <c r="I111" s="410"/>
    </row>
    <row r="112" spans="1:10" ht="3" customHeight="1">
      <c r="D112" s="2621"/>
      <c r="I112" s="410"/>
    </row>
    <row r="113" spans="1:10" ht="12" customHeight="1">
      <c r="A113" s="314" t="s">
        <v>3394</v>
      </c>
      <c r="D113" s="467">
        <v>24</v>
      </c>
      <c r="E113" s="410" t="s">
        <v>3395</v>
      </c>
      <c r="I113" s="410"/>
    </row>
    <row r="114" spans="1:10" ht="12" customHeight="1">
      <c r="C114" s="458" t="s">
        <v>3396</v>
      </c>
      <c r="I114" s="410"/>
    </row>
    <row r="115" spans="1:10" ht="12" customHeight="1">
      <c r="C115" s="458" t="s">
        <v>3397</v>
      </c>
      <c r="G115" s="410"/>
      <c r="I115" s="410"/>
    </row>
    <row r="116" spans="1:10" ht="3" customHeight="1">
      <c r="G116" s="410"/>
      <c r="H116" s="410"/>
      <c r="I116" s="410"/>
    </row>
    <row r="117" spans="1:10" ht="12" customHeight="1">
      <c r="A117" s="314" t="s">
        <v>3398</v>
      </c>
      <c r="D117" s="473">
        <v>0</v>
      </c>
      <c r="E117" s="474" t="s">
        <v>3399</v>
      </c>
      <c r="I117" s="410"/>
    </row>
    <row r="118" spans="1:10" ht="3" customHeight="1">
      <c r="D118" s="463"/>
      <c r="E118" s="410"/>
      <c r="F118" s="410"/>
      <c r="I118" s="410"/>
    </row>
    <row r="119" spans="1:10" ht="12" customHeight="1">
      <c r="A119" s="314" t="s">
        <v>3400</v>
      </c>
      <c r="C119" s="745" t="s">
        <v>730</v>
      </c>
      <c r="D119" s="463"/>
      <c r="I119" s="410"/>
    </row>
    <row r="120" spans="1:10" ht="12" customHeight="1">
      <c r="C120" s="410" t="s">
        <v>3401</v>
      </c>
      <c r="D120" s="466"/>
      <c r="E120" s="4553" t="s">
        <v>3402</v>
      </c>
      <c r="F120" s="4553"/>
      <c r="G120" s="4553"/>
      <c r="H120" s="4553"/>
      <c r="I120" s="4553"/>
      <c r="J120" s="4553"/>
    </row>
    <row r="121" spans="1:10" ht="12" customHeight="1">
      <c r="C121" s="410" t="s">
        <v>3403</v>
      </c>
      <c r="D121" s="751"/>
      <c r="E121" s="4553"/>
      <c r="F121" s="4553"/>
      <c r="G121" s="4553"/>
      <c r="H121" s="4553"/>
      <c r="I121" s="4553"/>
      <c r="J121" s="4553"/>
    </row>
    <row r="122" spans="1:10" ht="12" customHeight="1">
      <c r="C122" s="410" t="s">
        <v>3404</v>
      </c>
      <c r="D122" s="751"/>
      <c r="E122" s="4553"/>
      <c r="F122" s="4553"/>
      <c r="G122" s="4553"/>
      <c r="H122" s="4553"/>
      <c r="I122" s="4553"/>
      <c r="J122" s="4553"/>
    </row>
    <row r="123" spans="1:10" ht="12" customHeight="1">
      <c r="C123" s="410" t="s">
        <v>3404</v>
      </c>
      <c r="D123" s="751"/>
      <c r="E123" s="4553"/>
      <c r="F123" s="4553"/>
      <c r="G123" s="4553"/>
      <c r="H123" s="4553"/>
      <c r="I123" s="4553"/>
      <c r="J123" s="4553"/>
    </row>
    <row r="124" spans="1:10" ht="3" customHeight="1">
      <c r="E124" s="410"/>
      <c r="F124" s="410"/>
      <c r="I124" s="410"/>
    </row>
    <row r="125" spans="1:10" ht="12" customHeight="1">
      <c r="A125" s="314" t="s">
        <v>3405</v>
      </c>
      <c r="D125" s="468" t="s">
        <v>3387</v>
      </c>
      <c r="I125" s="410"/>
    </row>
    <row r="126" spans="1:10" ht="3" customHeight="1">
      <c r="D126" s="410"/>
      <c r="I126" s="410"/>
    </row>
    <row r="127" spans="1:10" ht="12" customHeight="1">
      <c r="A127" s="314" t="s">
        <v>3406</v>
      </c>
      <c r="D127" s="410" t="s">
        <v>3387</v>
      </c>
      <c r="I127" s="410"/>
    </row>
    <row r="128" spans="1:10" ht="3" customHeight="1">
      <c r="G128" s="410"/>
      <c r="H128" s="410"/>
      <c r="I128" s="410"/>
    </row>
    <row r="129" spans="1:10" ht="12" customHeight="1">
      <c r="A129" s="314" t="s">
        <v>3407</v>
      </c>
      <c r="D129" s="410" t="s">
        <v>3408</v>
      </c>
      <c r="G129" s="410"/>
      <c r="I129" s="410"/>
    </row>
    <row r="130" spans="1:10" ht="7.5" customHeight="1">
      <c r="G130" s="410"/>
      <c r="H130" s="410"/>
      <c r="I130" s="410"/>
    </row>
    <row r="131" spans="1:10" ht="12" customHeight="1">
      <c r="A131" s="457" t="s">
        <v>3409</v>
      </c>
      <c r="G131" s="410"/>
      <c r="H131" s="410"/>
      <c r="I131" s="410"/>
    </row>
    <row r="132" spans="1:10" ht="12" customHeight="1">
      <c r="A132" s="314" t="s">
        <v>3410</v>
      </c>
      <c r="C132" s="458">
        <f>'Sensitivity Analysis'!H11</f>
        <v>0</v>
      </c>
      <c r="D132" s="458">
        <f>'Sensitivity Analysis'!K11</f>
        <v>0</v>
      </c>
      <c r="G132" s="458">
        <f>'Sensitivity Analysis'!M11</f>
        <v>0</v>
      </c>
      <c r="I132" s="410"/>
    </row>
    <row r="133" spans="1:10" ht="12" customHeight="1">
      <c r="G133" s="410"/>
      <c r="I133" s="410"/>
    </row>
    <row r="134" spans="1:10" ht="3" customHeight="1">
      <c r="C134" s="410"/>
      <c r="G134" s="410"/>
      <c r="I134" s="410"/>
    </row>
    <row r="135" spans="1:10" ht="12" customHeight="1">
      <c r="A135" s="314" t="s">
        <v>3411</v>
      </c>
      <c r="C135" s="475">
        <f>('Part III-A-Uses of Funds'!G127-'Part II-Sources of Funds'!I45)/2</f>
        <v>772209</v>
      </c>
      <c r="G135" s="410"/>
      <c r="I135" s="410"/>
    </row>
    <row r="136" spans="1:10" ht="3" customHeight="1">
      <c r="C136" s="410"/>
      <c r="G136" s="410"/>
      <c r="I136" s="410"/>
    </row>
    <row r="137" spans="1:10" ht="12" customHeight="1">
      <c r="A137" s="314" t="s">
        <v>3412</v>
      </c>
      <c r="C137" s="2622" t="s">
        <v>1785</v>
      </c>
      <c r="G137" s="410"/>
      <c r="I137" s="410"/>
    </row>
    <row r="138" spans="1:10" ht="3" customHeight="1">
      <c r="C138" s="458"/>
      <c r="G138" s="410"/>
      <c r="I138" s="410"/>
    </row>
    <row r="139" spans="1:10" ht="12" customHeight="1">
      <c r="A139" s="314" t="s">
        <v>3413</v>
      </c>
      <c r="C139" s="458">
        <f>'Preview term'!E20</f>
        <v>0</v>
      </c>
      <c r="G139" s="410"/>
      <c r="I139" s="410"/>
      <c r="J139" s="476"/>
    </row>
    <row r="140" spans="1:10" ht="3" customHeight="1">
      <c r="C140" s="458"/>
      <c r="G140" s="410"/>
      <c r="I140" s="410"/>
    </row>
    <row r="141" spans="1:10" ht="12" customHeight="1">
      <c r="A141" s="314" t="s">
        <v>3414</v>
      </c>
      <c r="C141" s="458">
        <f>C8</f>
        <v>0</v>
      </c>
      <c r="G141" s="410"/>
      <c r="I141" s="410"/>
    </row>
    <row r="142" spans="1:10" ht="3" customHeight="1">
      <c r="C142" s="458"/>
      <c r="G142" s="410"/>
      <c r="I142" s="410"/>
    </row>
    <row r="143" spans="1:10" ht="12" customHeight="1">
      <c r="A143" s="314" t="s">
        <v>3415</v>
      </c>
      <c r="C143" s="458">
        <f>C18</f>
        <v>0</v>
      </c>
      <c r="G143" s="410"/>
      <c r="I143" s="410"/>
    </row>
    <row r="144" spans="1:10">
      <c r="C144" s="458">
        <f>C19</f>
        <v>0</v>
      </c>
      <c r="G144" s="410"/>
      <c r="I144" s="410"/>
    </row>
    <row r="145" spans="1:10" ht="3" customHeight="1">
      <c r="C145" s="410"/>
      <c r="G145" s="410"/>
      <c r="I145" s="410"/>
    </row>
    <row r="146" spans="1:10" ht="12" customHeight="1">
      <c r="A146" s="314" t="s">
        <v>3416</v>
      </c>
      <c r="C146" s="458">
        <f>'Sensitivity Analysis'!H10</f>
        <v>0</v>
      </c>
      <c r="G146" s="410"/>
      <c r="I146" s="410"/>
      <c r="J146" s="476"/>
    </row>
    <row r="147" spans="1:10" ht="3" customHeight="1">
      <c r="C147" s="458"/>
      <c r="G147" s="410"/>
      <c r="I147" s="410"/>
    </row>
    <row r="148" spans="1:10" ht="12" customHeight="1">
      <c r="A148" s="314" t="s">
        <v>3417</v>
      </c>
      <c r="C148" s="458">
        <f>'Sensitivity Analysis'!K10</f>
        <v>0</v>
      </c>
      <c r="G148" s="410"/>
      <c r="I148" s="410"/>
      <c r="J148" s="476"/>
    </row>
    <row r="149" spans="1:10" ht="3" customHeight="1">
      <c r="C149" s="410"/>
      <c r="G149" s="410"/>
      <c r="I149" s="410"/>
    </row>
    <row r="150" spans="1:10" ht="12" customHeight="1">
      <c r="A150" s="314" t="s">
        <v>3418</v>
      </c>
      <c r="C150" s="410" t="s">
        <v>3387</v>
      </c>
      <c r="G150" s="410"/>
      <c r="I150" s="410"/>
    </row>
    <row r="151" spans="1:10" ht="3" customHeight="1">
      <c r="C151" s="410"/>
      <c r="G151" s="410"/>
      <c r="I151" s="410"/>
    </row>
    <row r="152" spans="1:10" ht="12" customHeight="1">
      <c r="A152" s="314" t="s">
        <v>3419</v>
      </c>
      <c r="C152" s="410" t="s">
        <v>3387</v>
      </c>
      <c r="G152" s="410"/>
      <c r="I152" s="410"/>
    </row>
    <row r="153" spans="1:10" ht="7.5" customHeight="1">
      <c r="G153" s="410"/>
      <c r="H153" s="410"/>
      <c r="I153" s="410"/>
    </row>
    <row r="154" spans="1:10" ht="12" customHeight="1">
      <c r="A154" s="457" t="s">
        <v>3420</v>
      </c>
      <c r="G154" s="410"/>
      <c r="H154" s="410"/>
      <c r="I154" s="410"/>
    </row>
    <row r="155" spans="1:10" ht="3" customHeight="1">
      <c r="D155" s="410"/>
      <c r="E155" s="410"/>
      <c r="G155" s="410"/>
    </row>
    <row r="156" spans="1:10" ht="12" customHeight="1">
      <c r="A156" s="314" t="s">
        <v>3421</v>
      </c>
      <c r="C156" s="410" t="s">
        <v>3422</v>
      </c>
      <c r="D156" s="410"/>
      <c r="G156" s="410"/>
      <c r="H156" s="410"/>
      <c r="I156" s="410"/>
    </row>
    <row r="157" spans="1:10" ht="3" customHeight="1">
      <c r="D157" s="410"/>
      <c r="E157" s="410"/>
      <c r="G157" s="410"/>
    </row>
    <row r="158" spans="1:10" ht="12" customHeight="1">
      <c r="A158" s="314" t="s">
        <v>3423</v>
      </c>
      <c r="D158" s="2622">
        <v>20</v>
      </c>
      <c r="E158" s="410" t="s">
        <v>3278</v>
      </c>
    </row>
    <row r="159" spans="1:10" ht="3" customHeight="1">
      <c r="D159" s="410"/>
      <c r="E159" s="410"/>
      <c r="G159" s="410"/>
    </row>
    <row r="160" spans="1:10" ht="12" customHeight="1">
      <c r="A160" s="314" t="s">
        <v>3424</v>
      </c>
      <c r="C160" s="745" t="str">
        <f>'Part V-Revenues &amp; Expenses'!$G$6</f>
        <v>&lt;Select&gt;</v>
      </c>
      <c r="D160" s="410" t="s">
        <v>3425</v>
      </c>
      <c r="G160" s="410"/>
    </row>
    <row r="161" spans="1:9" ht="3" customHeight="1">
      <c r="G161" s="410"/>
      <c r="H161" s="410"/>
      <c r="I161" s="410"/>
    </row>
    <row r="162" spans="1:9" ht="12" customHeight="1">
      <c r="A162" s="314" t="s">
        <v>3426</v>
      </c>
      <c r="G162" s="410"/>
      <c r="H162" s="410"/>
      <c r="I162" s="410"/>
    </row>
    <row r="163" spans="1:9" ht="7.5" customHeight="1">
      <c r="G163" s="410"/>
      <c r="H163" s="410"/>
      <c r="I163" s="410"/>
    </row>
    <row r="164" spans="1:9" ht="12" customHeight="1">
      <c r="A164" s="457" t="s">
        <v>3427</v>
      </c>
      <c r="G164" s="410"/>
      <c r="H164" s="410"/>
      <c r="I164" s="410"/>
    </row>
    <row r="165" spans="1:9" ht="12" customHeight="1">
      <c r="A165" s="314" t="s">
        <v>3428</v>
      </c>
      <c r="C165" s="314" t="s">
        <v>3429</v>
      </c>
      <c r="E165" s="469">
        <f>'Preview term'!F80</f>
        <v>0</v>
      </c>
      <c r="G165" s="410"/>
      <c r="I165" s="410"/>
    </row>
    <row r="166" spans="1:9" ht="12" customHeight="1">
      <c r="C166" s="314" t="s">
        <v>3430</v>
      </c>
      <c r="E166" s="4544"/>
      <c r="F166" s="4544"/>
      <c r="G166" s="4544"/>
      <c r="I166" s="410"/>
    </row>
    <row r="167" spans="1:9" ht="3" customHeight="1">
      <c r="E167" s="410"/>
      <c r="G167" s="410"/>
      <c r="I167" s="410"/>
    </row>
    <row r="168" spans="1:9" ht="12" customHeight="1">
      <c r="A168" s="314" t="s">
        <v>3431</v>
      </c>
      <c r="C168" s="314" t="s">
        <v>3432</v>
      </c>
      <c r="E168" s="475">
        <f>'Preview term'!F74</f>
        <v>342150</v>
      </c>
      <c r="G168" s="410"/>
      <c r="I168" s="410"/>
    </row>
    <row r="169" spans="1:9" ht="12" customHeight="1">
      <c r="C169" s="314" t="s">
        <v>3430</v>
      </c>
      <c r="E169" s="4544"/>
      <c r="F169" s="4544"/>
      <c r="G169" s="4544"/>
      <c r="I169" s="410"/>
    </row>
    <row r="170" spans="1:9" ht="12" customHeight="1">
      <c r="C170" s="314" t="s">
        <v>3433</v>
      </c>
      <c r="E170" s="458" t="s">
        <v>2176</v>
      </c>
      <c r="G170" s="410"/>
      <c r="I170" s="410"/>
    </row>
    <row r="171" spans="1:9" ht="3" customHeight="1">
      <c r="E171" s="458"/>
      <c r="G171" s="410"/>
      <c r="I171" s="410"/>
    </row>
    <row r="172" spans="1:9" ht="12" customHeight="1">
      <c r="A172" s="314" t="s">
        <v>3434</v>
      </c>
      <c r="C172" s="314" t="s">
        <v>3435</v>
      </c>
      <c r="E172" s="475">
        <f>'Preview term'!F76</f>
        <v>0</v>
      </c>
      <c r="G172" s="410"/>
      <c r="I172" s="410"/>
    </row>
    <row r="173" spans="1:9" ht="12" customHeight="1">
      <c r="C173" s="314" t="s">
        <v>3436</v>
      </c>
      <c r="E173" s="475">
        <f>'Preview term'!F76</f>
        <v>0</v>
      </c>
      <c r="G173" s="410"/>
      <c r="I173" s="410"/>
    </row>
    <row r="174" spans="1:9" ht="12" customHeight="1">
      <c r="C174" s="314" t="s">
        <v>3437</v>
      </c>
      <c r="E174" s="475">
        <f>'Part V-Revenues &amp; Expenses'!Q238</f>
        <v>17400</v>
      </c>
      <c r="F174" s="410" t="s">
        <v>3438</v>
      </c>
    </row>
    <row r="175" spans="1:9">
      <c r="E175" s="475">
        <f>E174/12</f>
        <v>1450</v>
      </c>
      <c r="F175" s="410" t="s">
        <v>3259</v>
      </c>
    </row>
    <row r="176" spans="1:9" ht="12" customHeight="1">
      <c r="C176" s="314" t="s">
        <v>3439</v>
      </c>
      <c r="E176" s="4544"/>
      <c r="F176" s="4544"/>
      <c r="G176" s="4544"/>
      <c r="I176" s="410"/>
    </row>
    <row r="177" spans="1:10" ht="12" customHeight="1">
      <c r="C177" s="314" t="s">
        <v>3440</v>
      </c>
      <c r="E177" s="410" t="s">
        <v>362</v>
      </c>
      <c r="I177" s="410"/>
    </row>
    <row r="178" spans="1:10" ht="12" customHeight="1">
      <c r="C178" s="314" t="s">
        <v>3441</v>
      </c>
      <c r="E178" s="410" t="s">
        <v>2176</v>
      </c>
      <c r="I178" s="410"/>
    </row>
    <row r="179" spans="1:10" ht="3" customHeight="1">
      <c r="E179" s="410"/>
      <c r="F179" s="410"/>
      <c r="I179" s="410"/>
    </row>
    <row r="180" spans="1:10" ht="12" customHeight="1">
      <c r="A180" s="314" t="s">
        <v>3442</v>
      </c>
      <c r="C180" s="314" t="s">
        <v>3443</v>
      </c>
      <c r="E180" s="469" t="s">
        <v>730</v>
      </c>
      <c r="I180" s="410"/>
    </row>
    <row r="181" spans="1:10" ht="12" customHeight="1">
      <c r="C181" s="314" t="s">
        <v>3444</v>
      </c>
      <c r="E181" s="469" t="s">
        <v>730</v>
      </c>
      <c r="F181" s="4544"/>
      <c r="G181" s="4544"/>
      <c r="H181" s="4544"/>
      <c r="I181" s="4544"/>
      <c r="J181" s="4544"/>
    </row>
    <row r="182" spans="1:10" ht="12" customHeight="1">
      <c r="C182" s="314" t="s">
        <v>3445</v>
      </c>
      <c r="E182" s="410" t="s">
        <v>3387</v>
      </c>
      <c r="I182" s="410"/>
    </row>
    <row r="183" spans="1:10" ht="12" customHeight="1">
      <c r="C183" s="314" t="s">
        <v>3446</v>
      </c>
      <c r="E183" s="410" t="s">
        <v>2176</v>
      </c>
      <c r="I183" s="410"/>
    </row>
    <row r="184" spans="1:10" ht="3" customHeight="1">
      <c r="G184" s="410"/>
      <c r="H184" s="410"/>
      <c r="I184" s="410"/>
    </row>
    <row r="185" spans="1:10" ht="12" customHeight="1">
      <c r="A185" s="314" t="s">
        <v>3447</v>
      </c>
      <c r="C185" s="314" t="s">
        <v>3448</v>
      </c>
      <c r="E185" s="475">
        <f>'Preview term'!F78</f>
        <v>113097</v>
      </c>
      <c r="G185" s="410"/>
      <c r="I185" s="410"/>
    </row>
    <row r="186" spans="1:10" ht="12" customHeight="1">
      <c r="C186" s="314" t="s">
        <v>3430</v>
      </c>
      <c r="E186" s="458">
        <f>E169</f>
        <v>0</v>
      </c>
      <c r="G186" s="410"/>
      <c r="I186" s="410"/>
    </row>
    <row r="187" spans="1:10" ht="12" customHeight="1">
      <c r="C187" s="314" t="s">
        <v>3449</v>
      </c>
      <c r="E187" s="458" t="s">
        <v>3387</v>
      </c>
      <c r="G187" s="410"/>
      <c r="I187" s="410"/>
    </row>
    <row r="188" spans="1:10" ht="3" customHeight="1">
      <c r="E188" s="458"/>
      <c r="G188" s="410"/>
      <c r="I188" s="410"/>
    </row>
    <row r="189" spans="1:10" ht="12" customHeight="1">
      <c r="A189" s="314" t="s">
        <v>3450</v>
      </c>
      <c r="C189" s="314" t="s">
        <v>3451</v>
      </c>
      <c r="E189" s="458" t="s">
        <v>3387</v>
      </c>
      <c r="G189" s="410"/>
      <c r="I189" s="410"/>
    </row>
    <row r="190" spans="1:10" ht="12" customHeight="1">
      <c r="C190" s="314" t="s">
        <v>3432</v>
      </c>
      <c r="E190" s="463"/>
      <c r="G190" s="410"/>
      <c r="H190" s="468"/>
      <c r="I190" s="410"/>
    </row>
    <row r="191" spans="1:10" ht="12" customHeight="1">
      <c r="C191" s="314" t="s">
        <v>3430</v>
      </c>
      <c r="E191" s="463"/>
      <c r="I191" s="458"/>
    </row>
    <row r="192" spans="1:10" ht="12" customHeight="1">
      <c r="C192" s="314" t="s">
        <v>3433</v>
      </c>
      <c r="E192" s="463"/>
      <c r="G192" s="410"/>
      <c r="H192" s="410"/>
      <c r="I192" s="410"/>
    </row>
    <row r="193" spans="1:10" ht="9" customHeight="1">
      <c r="G193" s="410"/>
      <c r="H193" s="410"/>
      <c r="I193" s="410"/>
    </row>
    <row r="194" spans="1:10" ht="12" customHeight="1">
      <c r="A194" s="457" t="s">
        <v>3452</v>
      </c>
      <c r="C194" s="410" t="s">
        <v>3453</v>
      </c>
      <c r="E194" s="410"/>
      <c r="I194" s="410"/>
    </row>
    <row r="195" spans="1:10" ht="9" customHeight="1">
      <c r="E195" s="410"/>
      <c r="F195" s="410"/>
      <c r="I195" s="410"/>
    </row>
    <row r="196" spans="1:10" ht="12" customHeight="1">
      <c r="A196" s="457" t="s">
        <v>3454</v>
      </c>
      <c r="E196" s="410"/>
      <c r="F196" s="410"/>
      <c r="I196" s="410"/>
    </row>
    <row r="197" spans="1:10" ht="12" customHeight="1">
      <c r="A197" s="314" t="s">
        <v>3455</v>
      </c>
      <c r="C197" s="741" t="s">
        <v>730</v>
      </c>
      <c r="E197" s="410"/>
      <c r="F197" s="410"/>
      <c r="I197" s="410"/>
    </row>
    <row r="198" spans="1:10" ht="3" customHeight="1">
      <c r="G198" s="410"/>
      <c r="H198" s="410"/>
      <c r="I198" s="410"/>
    </row>
    <row r="199" spans="1:10">
      <c r="A199" s="460" t="s">
        <v>3456</v>
      </c>
      <c r="B199" s="460"/>
      <c r="C199" s="460"/>
      <c r="D199" s="460"/>
      <c r="E199" s="462" t="s">
        <v>3457</v>
      </c>
      <c r="F199" s="4552">
        <f>'Part VII-Threshold Criteria OLD'!E372</f>
        <v>0</v>
      </c>
      <c r="G199" s="4552"/>
      <c r="H199" s="4552"/>
      <c r="I199" s="4552"/>
      <c r="J199" s="4552"/>
    </row>
    <row r="200" spans="1:10" ht="9" customHeight="1">
      <c r="G200" s="410"/>
      <c r="H200" s="410"/>
      <c r="I200" s="410"/>
    </row>
    <row r="201" spans="1:10" ht="12" customHeight="1">
      <c r="A201" s="477" t="s">
        <v>3458</v>
      </c>
      <c r="G201" s="410"/>
      <c r="H201" s="410"/>
      <c r="I201" s="468"/>
    </row>
    <row r="202" spans="1:10" ht="25.5" hidden="1" customHeight="1">
      <c r="A202" s="4545" t="str">
        <f>'Subsidy Layering Memo'!A105</f>
        <v>Include any reserve requirements; explain any reserves far in excess of 6 month ODR, 3 mo lease up, 1 year RR, 6 mo T&amp;I standards.</v>
      </c>
      <c r="B202" s="4545"/>
      <c r="C202" s="4545"/>
      <c r="D202" s="4545"/>
      <c r="E202" s="4545"/>
      <c r="F202" s="4545"/>
      <c r="G202" s="4545"/>
      <c r="H202" s="4545"/>
      <c r="I202" s="4545"/>
      <c r="J202" s="4545"/>
    </row>
    <row r="203" spans="1:10">
      <c r="A203" s="410"/>
      <c r="G203" s="410"/>
      <c r="H203" s="410"/>
      <c r="I203" s="410"/>
    </row>
    <row r="204" spans="1:10" s="375" customFormat="1" ht="15">
      <c r="A204" s="2509" t="s">
        <v>3041</v>
      </c>
    </row>
    <row r="205" spans="1:10" s="375" customFormat="1" ht="14.25" customHeight="1">
      <c r="A205" s="451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18"/>
      <c r="C205" s="4518"/>
      <c r="D205" s="4518"/>
      <c r="E205" s="4518"/>
      <c r="F205" s="4518"/>
      <c r="G205" s="4518"/>
      <c r="H205" s="4518"/>
      <c r="I205" s="4518"/>
      <c r="J205" s="4518"/>
    </row>
    <row r="206" spans="1:10" s="375" customFormat="1" ht="14.25" customHeight="1">
      <c r="A206" s="4518"/>
      <c r="B206" s="4518"/>
      <c r="C206" s="4518"/>
      <c r="D206" s="4518"/>
      <c r="E206" s="4518"/>
      <c r="F206" s="4518"/>
      <c r="G206" s="4518"/>
      <c r="H206" s="4518"/>
      <c r="I206" s="4518"/>
      <c r="J206" s="4518"/>
    </row>
    <row r="207" spans="1:10" s="375" customFormat="1" ht="6.75" customHeight="1">
      <c r="A207" s="4518"/>
      <c r="B207" s="4518"/>
      <c r="C207" s="4518"/>
      <c r="D207" s="4518"/>
      <c r="E207" s="4518"/>
      <c r="F207" s="4518"/>
      <c r="G207" s="4518"/>
      <c r="H207" s="4518"/>
      <c r="I207" s="4518"/>
      <c r="J207" s="4518"/>
    </row>
    <row r="208" spans="1:10" s="375" customFormat="1" ht="21.75" customHeight="1">
      <c r="A208" s="4518"/>
      <c r="B208" s="4518"/>
      <c r="C208" s="4518"/>
      <c r="D208" s="4518"/>
      <c r="E208" s="4518"/>
      <c r="F208" s="4518"/>
      <c r="G208" s="4518"/>
      <c r="H208" s="4518"/>
      <c r="I208" s="4518"/>
      <c r="J208" s="4518"/>
    </row>
    <row r="209" spans="1:10" s="375" customFormat="1" ht="20.25" customHeight="1">
      <c r="A209" s="4518"/>
      <c r="B209" s="4518"/>
      <c r="C209" s="4518"/>
      <c r="D209" s="4518"/>
      <c r="E209" s="4518"/>
      <c r="F209" s="4518"/>
      <c r="G209" s="4518"/>
      <c r="H209" s="4518"/>
      <c r="I209" s="4518"/>
      <c r="J209" s="4518"/>
    </row>
    <row r="210" spans="1:10" s="375" customFormat="1" ht="54.75" customHeight="1">
      <c r="A210" s="4518"/>
      <c r="B210" s="4518"/>
      <c r="C210" s="4518"/>
      <c r="D210" s="4518"/>
      <c r="E210" s="4518"/>
      <c r="F210" s="4518"/>
      <c r="G210" s="4518"/>
      <c r="H210" s="4518"/>
      <c r="I210" s="4518"/>
      <c r="J210" s="4518"/>
    </row>
    <row r="211" spans="1:10" s="375" customFormat="1" ht="0.75" hidden="1" customHeight="1">
      <c r="A211" s="4518"/>
      <c r="B211" s="4518"/>
      <c r="C211" s="4518"/>
      <c r="D211" s="4518"/>
      <c r="E211" s="4518"/>
      <c r="F211" s="4518"/>
      <c r="G211" s="4518"/>
      <c r="H211" s="4518"/>
      <c r="I211" s="4518"/>
      <c r="J211" s="4518"/>
    </row>
    <row r="212" spans="1:10" s="375" customFormat="1" ht="3.75" hidden="1" customHeight="1">
      <c r="A212" s="4518"/>
      <c r="B212" s="4518"/>
      <c r="C212" s="4518"/>
      <c r="D212" s="4518"/>
      <c r="E212" s="4518"/>
      <c r="F212" s="4518"/>
      <c r="G212" s="4518"/>
      <c r="H212" s="4518"/>
      <c r="I212" s="4518"/>
      <c r="J212" s="4518"/>
    </row>
    <row r="213" spans="1:10" s="375" customFormat="1" ht="5.25" customHeight="1">
      <c r="A213" s="2613"/>
      <c r="B213" s="2613"/>
      <c r="C213" s="2613"/>
      <c r="D213" s="2613"/>
      <c r="E213" s="2613"/>
      <c r="F213" s="2613"/>
      <c r="G213" s="2613"/>
      <c r="H213" s="2613"/>
      <c r="I213" s="2613"/>
      <c r="J213" s="2613"/>
    </row>
    <row r="214" spans="1:10" s="375" customFormat="1" ht="19.5" customHeight="1">
      <c r="A214" s="4517" t="s">
        <v>3043</v>
      </c>
      <c r="B214" s="4517"/>
      <c r="C214" s="4517"/>
      <c r="D214" s="2609"/>
      <c r="E214" s="2609"/>
      <c r="F214" s="2609"/>
      <c r="G214" s="2609"/>
      <c r="H214" s="2609"/>
      <c r="I214" s="2609"/>
      <c r="J214" s="2609"/>
    </row>
    <row r="215" spans="1:10" s="375" customFormat="1" ht="22.5" customHeight="1">
      <c r="A215" s="4499" t="str">
        <f>'Subsidy Layering Memo'!A37</f>
        <v>1)</v>
      </c>
      <c r="B215" s="4499"/>
      <c r="C215" s="4499"/>
      <c r="D215" s="4499"/>
      <c r="E215" s="4499"/>
      <c r="F215" s="4499"/>
      <c r="G215" s="4499"/>
      <c r="H215" s="4499"/>
      <c r="I215" s="4499"/>
      <c r="J215" s="4499"/>
    </row>
    <row r="216" spans="1:10" s="375" customFormat="1" ht="22.5" customHeight="1">
      <c r="A216" s="4499" t="str">
        <f>'Subsidy Layering Memo'!A38</f>
        <v>2)</v>
      </c>
      <c r="B216" s="4499"/>
      <c r="C216" s="4499"/>
      <c r="D216" s="4499"/>
      <c r="E216" s="4499"/>
      <c r="F216" s="4499"/>
      <c r="G216" s="4499"/>
      <c r="H216" s="4499"/>
      <c r="I216" s="4499"/>
      <c r="J216" s="4499"/>
    </row>
    <row r="217" spans="1:10" s="375" customFormat="1" ht="22.5" customHeight="1">
      <c r="A217" s="4499" t="str">
        <f>'Subsidy Layering Memo'!A39</f>
        <v>3)</v>
      </c>
      <c r="B217" s="4499"/>
      <c r="C217" s="4499"/>
      <c r="D217" s="4499"/>
      <c r="E217" s="4499"/>
      <c r="F217" s="4499"/>
      <c r="G217" s="4499"/>
      <c r="H217" s="4499"/>
      <c r="I217" s="4499"/>
      <c r="J217" s="4499"/>
    </row>
    <row r="218" spans="1:10" s="375" customFormat="1" ht="22.5" customHeight="1">
      <c r="A218" s="4499" t="str">
        <f>'Subsidy Layering Memo'!A40</f>
        <v>4)</v>
      </c>
      <c r="B218" s="4499"/>
      <c r="C218" s="4499"/>
      <c r="D218" s="4499"/>
      <c r="E218" s="4499"/>
      <c r="F218" s="4499"/>
      <c r="G218" s="4499"/>
      <c r="H218" s="4499"/>
      <c r="I218" s="4499"/>
      <c r="J218" s="4499"/>
    </row>
    <row r="219" spans="1:10" s="375" customFormat="1" ht="22.5" customHeight="1">
      <c r="A219" s="4499" t="str">
        <f>'Subsidy Layering Memo'!A41</f>
        <v>5)</v>
      </c>
      <c r="B219" s="4499"/>
      <c r="C219" s="4499"/>
      <c r="D219" s="4499"/>
      <c r="E219" s="4499"/>
      <c r="F219" s="4499"/>
      <c r="G219" s="4499"/>
      <c r="H219" s="4499"/>
      <c r="I219" s="4499"/>
      <c r="J219" s="4499"/>
    </row>
    <row r="220" spans="1:10" s="375" customFormat="1" ht="22.5" customHeight="1">
      <c r="A220" s="4499" t="str">
        <f>'Subsidy Layering Memo'!A42</f>
        <v>6)</v>
      </c>
      <c r="B220" s="4499"/>
      <c r="C220" s="4499"/>
      <c r="D220" s="4499"/>
      <c r="E220" s="4499"/>
      <c r="F220" s="4499"/>
      <c r="G220" s="4499"/>
      <c r="H220" s="4499"/>
      <c r="I220" s="4499"/>
      <c r="J220" s="4499"/>
    </row>
    <row r="221" spans="1:10" s="375" customFormat="1" ht="22.5" customHeight="1">
      <c r="A221" s="4499" t="str">
        <f>'Subsidy Layering Memo'!A43</f>
        <v>7)</v>
      </c>
      <c r="B221" s="4499"/>
      <c r="C221" s="4499"/>
      <c r="D221" s="4499"/>
      <c r="E221" s="4499"/>
      <c r="F221" s="4499"/>
      <c r="G221" s="4499"/>
      <c r="H221" s="4499"/>
      <c r="I221" s="4499"/>
      <c r="J221" s="4499"/>
    </row>
    <row r="222" spans="1:10" s="375" customFormat="1" ht="22.5" customHeight="1">
      <c r="A222" s="4499" t="str">
        <f>'Subsidy Layering Memo'!A44</f>
        <v>8)</v>
      </c>
      <c r="B222" s="4499"/>
      <c r="C222" s="4499"/>
      <c r="D222" s="4499"/>
      <c r="E222" s="4499"/>
      <c r="F222" s="4499"/>
      <c r="G222" s="4499"/>
      <c r="H222" s="4499"/>
      <c r="I222" s="4499"/>
      <c r="J222" s="4499"/>
    </row>
  </sheetData>
  <sheetProtection algorithmName="SHA-512" hashValue="ueFfLHsMhEDOMx8tRJXTp5Jzjn2nWepaBIqebCjiw4dHioUk+rOoQL5Vs++YAFFxXsPzTh7LhIKYlfE86gRtFQ==" saltValue="RlwXSBwn15Nobp2N5OqeM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28515625" defaultRowHeight="16.5"/>
  <cols>
    <col min="1" max="1" width="5.42578125" style="970" customWidth="1"/>
    <col min="2" max="2" width="6.28515625" style="970" customWidth="1"/>
    <col min="3" max="3" width="9.7109375" style="970" customWidth="1"/>
    <col min="4" max="4" width="10.42578125" style="970" customWidth="1"/>
    <col min="5" max="5" width="7.7109375" style="972" customWidth="1"/>
    <col min="6" max="6" width="8" style="970" customWidth="1"/>
    <col min="7" max="7" width="8.7109375" style="970" customWidth="1"/>
    <col min="8" max="8" width="10.28515625" style="970" customWidth="1"/>
    <col min="9" max="9" width="10.7109375" style="970" customWidth="1"/>
    <col min="10" max="11" width="11.7109375" style="970" customWidth="1"/>
    <col min="12" max="16384" width="9.28515625" style="970"/>
  </cols>
  <sheetData>
    <row r="1" spans="1:11" ht="18.75">
      <c r="A1" s="1007" t="s">
        <v>2338</v>
      </c>
      <c r="B1" s="1007"/>
      <c r="C1" s="1007"/>
      <c r="D1" s="1007"/>
      <c r="E1" s="1007"/>
      <c r="F1" s="1007"/>
      <c r="G1" s="1007"/>
      <c r="H1" s="1007"/>
    </row>
    <row r="2" spans="1:11" ht="19.5" thickBot="1">
      <c r="A2" s="1007" t="s">
        <v>2339</v>
      </c>
      <c r="B2" s="1007"/>
      <c r="C2" s="1007"/>
      <c r="D2" s="1007"/>
      <c r="E2" s="1007"/>
      <c r="F2" s="1007"/>
      <c r="G2" s="1007"/>
      <c r="H2" s="1007"/>
    </row>
    <row r="3" spans="1:11" ht="15" customHeight="1" thickBot="1">
      <c r="A3" s="971" t="s">
        <v>2340</v>
      </c>
      <c r="B3" s="2784"/>
      <c r="C3" s="4722"/>
      <c r="D3" s="3916" t="str">
        <f>'Part I-Project Identification'!F26</f>
        <v>Finley Place</v>
      </c>
      <c r="E3" s="3917"/>
      <c r="F3" s="3917"/>
      <c r="G3" s="3917"/>
      <c r="H3" s="3917"/>
      <c r="I3" s="3917"/>
      <c r="J3" s="4560" t="s">
        <v>3459</v>
      </c>
      <c r="K3" s="4561"/>
    </row>
    <row r="4" spans="1:11" ht="15" customHeight="1">
      <c r="A4" s="973" t="s">
        <v>2342</v>
      </c>
      <c r="B4" s="974"/>
      <c r="C4" s="975"/>
      <c r="D4" s="4556">
        <f>'Preview term'!$E$16</f>
        <v>0</v>
      </c>
      <c r="E4" s="4557"/>
      <c r="F4" s="4557"/>
      <c r="G4" s="4557"/>
      <c r="H4" s="4557"/>
      <c r="I4" s="4557"/>
      <c r="J4" s="3922" t="s">
        <v>2343</v>
      </c>
      <c r="K4" s="3923"/>
    </row>
    <row r="5" spans="1:11" ht="15" customHeight="1" thickBot="1">
      <c r="A5" s="976" t="s">
        <v>2344</v>
      </c>
      <c r="B5" s="977"/>
      <c r="C5" s="978"/>
      <c r="D5" s="4558"/>
      <c r="E5" s="4559"/>
      <c r="F5" s="4559"/>
      <c r="G5" s="4559"/>
      <c r="H5" s="4559"/>
      <c r="I5" s="4559"/>
      <c r="J5" s="3924"/>
      <c r="K5" s="3925"/>
    </row>
    <row r="6" spans="1:11" ht="9" customHeight="1" thickBot="1">
      <c r="E6" s="970"/>
    </row>
    <row r="7" spans="1:11">
      <c r="A7" s="3910" t="s">
        <v>2345</v>
      </c>
      <c r="B7" s="3911"/>
      <c r="C7" s="3911"/>
      <c r="D7" s="3911"/>
      <c r="E7" s="3911"/>
      <c r="F7" s="3911"/>
      <c r="G7" s="3911"/>
      <c r="H7" s="3911"/>
      <c r="I7" s="3911"/>
      <c r="J7" s="3911"/>
      <c r="K7" s="3912"/>
    </row>
    <row r="8" spans="1:11" ht="14.25" customHeight="1">
      <c r="A8" s="974"/>
      <c r="B8" s="974"/>
      <c r="C8" s="998">
        <v>1</v>
      </c>
      <c r="D8" s="989" t="s">
        <v>2346</v>
      </c>
      <c r="E8" s="989"/>
      <c r="F8" s="989"/>
      <c r="G8" s="989"/>
      <c r="H8" s="989"/>
      <c r="I8" s="989"/>
      <c r="J8" s="4583"/>
      <c r="K8" s="4584"/>
    </row>
    <row r="9" spans="1:11" ht="7.15" customHeight="1">
      <c r="A9" s="3932"/>
      <c r="B9" s="3932"/>
      <c r="C9" s="3932"/>
      <c r="D9" s="3933"/>
      <c r="E9" s="3933"/>
      <c r="F9" s="3933"/>
      <c r="G9" s="3933"/>
      <c r="H9" s="3933"/>
      <c r="I9" s="3933"/>
      <c r="J9" s="3933"/>
      <c r="K9" s="990"/>
    </row>
    <row r="10" spans="1:11">
      <c r="A10" s="3934" t="s">
        <v>2347</v>
      </c>
      <c r="B10" s="3935"/>
      <c r="C10" s="3935"/>
      <c r="D10" s="3935"/>
      <c r="E10" s="3935"/>
      <c r="F10" s="3935"/>
      <c r="G10" s="3935"/>
      <c r="H10" s="3935"/>
      <c r="I10" s="3935"/>
      <c r="J10" s="3935"/>
      <c r="K10" s="3936"/>
    </row>
    <row r="11" spans="1:11" ht="14.25" customHeight="1">
      <c r="A11" s="974"/>
      <c r="B11" s="974"/>
      <c r="C11" s="998">
        <v>2</v>
      </c>
      <c r="D11" s="989" t="s">
        <v>2348</v>
      </c>
      <c r="E11" s="991"/>
      <c r="F11" s="991"/>
      <c r="G11" s="991"/>
      <c r="H11" s="991"/>
      <c r="I11" s="991"/>
      <c r="J11" s="4581"/>
      <c r="K11" s="4582"/>
    </row>
    <row r="12" spans="1:11" ht="7.15" customHeight="1">
      <c r="A12" s="3932"/>
      <c r="B12" s="3932"/>
      <c r="C12" s="3932"/>
      <c r="D12" s="3933"/>
      <c r="E12" s="3933"/>
      <c r="F12" s="3933"/>
      <c r="G12" s="3933"/>
      <c r="H12" s="3933"/>
      <c r="I12" s="3933"/>
      <c r="J12" s="3933"/>
      <c r="K12" s="2573"/>
    </row>
    <row r="13" spans="1:11">
      <c r="A13" s="3934" t="s">
        <v>2349</v>
      </c>
      <c r="B13" s="3935"/>
      <c r="C13" s="3935"/>
      <c r="D13" s="3935"/>
      <c r="E13" s="3935"/>
      <c r="F13" s="3935"/>
      <c r="G13" s="3935"/>
      <c r="H13" s="3935"/>
      <c r="I13" s="3935"/>
      <c r="J13" s="3935"/>
      <c r="K13" s="3936"/>
    </row>
    <row r="14" spans="1:11" ht="14.25" customHeight="1">
      <c r="A14" s="974"/>
      <c r="B14" s="974"/>
      <c r="C14" s="999">
        <v>3</v>
      </c>
      <c r="D14" s="2785" t="s">
        <v>2350</v>
      </c>
      <c r="E14" s="2785"/>
      <c r="F14" s="2785"/>
      <c r="G14" s="2785"/>
      <c r="H14" s="2785"/>
      <c r="I14" s="2785"/>
      <c r="J14" s="4579"/>
      <c r="K14" s="4580"/>
    </row>
    <row r="15" spans="1:11" ht="14.25" customHeight="1">
      <c r="A15" s="974"/>
      <c r="B15" s="974"/>
      <c r="C15" s="1000">
        <v>4</v>
      </c>
      <c r="D15" s="974" t="s">
        <v>2351</v>
      </c>
      <c r="E15" s="974"/>
      <c r="F15" s="974"/>
      <c r="G15" s="974"/>
      <c r="H15" s="974"/>
      <c r="I15" s="974"/>
      <c r="J15" s="4577"/>
      <c r="K15" s="4578"/>
    </row>
    <row r="16" spans="1:11" ht="14.25" customHeight="1">
      <c r="A16" s="974"/>
      <c r="B16" s="974"/>
      <c r="C16" s="1000">
        <v>5</v>
      </c>
      <c r="D16" s="974" t="s">
        <v>2352</v>
      </c>
      <c r="E16" s="974"/>
      <c r="F16" s="974"/>
      <c r="G16" s="974"/>
      <c r="H16" s="974"/>
      <c r="I16" s="974"/>
      <c r="J16" s="4577"/>
      <c r="K16" s="4578"/>
    </row>
    <row r="17" spans="1:13" ht="14.25" customHeight="1">
      <c r="A17" s="974"/>
      <c r="B17" s="974"/>
      <c r="C17" s="1001">
        <v>6</v>
      </c>
      <c r="D17" s="977" t="s">
        <v>2353</v>
      </c>
      <c r="E17" s="977"/>
      <c r="F17" s="977"/>
      <c r="G17" s="977"/>
      <c r="H17" s="977"/>
      <c r="I17" s="977"/>
      <c r="J17" s="4585"/>
      <c r="K17" s="4586"/>
    </row>
    <row r="18" spans="1:13" ht="7.15" customHeight="1">
      <c r="A18" s="3932"/>
      <c r="B18" s="3932"/>
      <c r="C18" s="3932"/>
      <c r="D18" s="3933"/>
      <c r="E18" s="3933"/>
      <c r="F18" s="3933"/>
      <c r="G18" s="3933"/>
      <c r="H18" s="3933"/>
      <c r="I18" s="3933"/>
      <c r="J18" s="3933"/>
      <c r="K18" s="2573"/>
    </row>
    <row r="19" spans="1:13" ht="14.25" customHeight="1">
      <c r="A19" s="974"/>
      <c r="B19" s="974"/>
      <c r="C19" s="999">
        <v>7</v>
      </c>
      <c r="D19" s="2785" t="s">
        <v>2354</v>
      </c>
      <c r="E19" s="2785"/>
      <c r="F19" s="2785"/>
      <c r="G19" s="2785"/>
      <c r="H19" s="2785"/>
      <c r="I19" s="2785"/>
      <c r="J19" s="3928" t="str">
        <f>IF(J17="No",J14-J15,IF(J17="Yes",J14-J15-J16,"Error"))</f>
        <v>Error</v>
      </c>
      <c r="K19" s="3929"/>
    </row>
    <row r="20" spans="1:13" ht="14.25" customHeight="1">
      <c r="A20" s="974"/>
      <c r="B20" s="974"/>
      <c r="C20" s="1001">
        <v>8</v>
      </c>
      <c r="D20" s="977" t="s">
        <v>2355</v>
      </c>
      <c r="E20" s="977"/>
      <c r="F20" s="977"/>
      <c r="G20" s="977"/>
      <c r="H20" s="977"/>
      <c r="I20" s="977"/>
      <c r="J20" s="3945" t="e">
        <f>ROUNDDOWN(J19/J8,2)</f>
        <v>#VALUE!</v>
      </c>
      <c r="K20" s="3946"/>
    </row>
    <row r="21" spans="1:13" ht="7.15" customHeight="1">
      <c r="A21" s="3932"/>
      <c r="B21" s="3932"/>
      <c r="C21" s="3932"/>
      <c r="D21" s="3933"/>
      <c r="E21" s="3933"/>
      <c r="F21" s="3933"/>
      <c r="G21" s="3933"/>
      <c r="H21" s="3933"/>
      <c r="I21" s="3933"/>
      <c r="J21" s="3933"/>
      <c r="K21" s="2573"/>
    </row>
    <row r="22" spans="1:13" ht="14.25" customHeight="1" thickBot="1">
      <c r="A22" s="974"/>
      <c r="B22" s="974"/>
      <c r="C22" s="998">
        <v>9</v>
      </c>
      <c r="D22" s="992" t="s">
        <v>2356</v>
      </c>
      <c r="E22" s="992"/>
      <c r="F22" s="992"/>
      <c r="G22" s="992"/>
      <c r="H22" s="992"/>
      <c r="I22" s="992"/>
      <c r="J22" s="3947" t="e">
        <f>J11/J19</f>
        <v>#VALUE!</v>
      </c>
      <c r="K22" s="3948"/>
    </row>
    <row r="23" spans="1:13" ht="9" customHeight="1">
      <c r="A23" s="2570"/>
      <c r="C23" s="981"/>
      <c r="D23" s="981"/>
      <c r="E23" s="981"/>
      <c r="F23" s="981"/>
      <c r="G23" s="981"/>
      <c r="H23" s="981"/>
      <c r="I23" s="981"/>
      <c r="J23" s="981"/>
      <c r="K23" s="982"/>
    </row>
    <row r="24" spans="1:13" ht="18.75">
      <c r="A24" s="983" t="s">
        <v>2357</v>
      </c>
      <c r="C24" s="981"/>
      <c r="D24" s="981"/>
      <c r="E24" s="981"/>
      <c r="F24" s="981"/>
      <c r="G24" s="981"/>
      <c r="H24" s="981"/>
      <c r="I24" s="981"/>
      <c r="J24" s="981"/>
      <c r="K24" s="982"/>
    </row>
    <row r="25" spans="1:13" ht="14.25" customHeight="1">
      <c r="A25" s="1030" t="s">
        <v>2358</v>
      </c>
      <c r="C25" s="981"/>
      <c r="D25" s="981"/>
      <c r="E25" s="981"/>
      <c r="F25" s="981"/>
      <c r="G25" s="981"/>
      <c r="H25" s="981"/>
      <c r="I25" s="981"/>
      <c r="J25" s="981"/>
      <c r="K25" s="982"/>
    </row>
    <row r="26" spans="1:13" ht="14.25" customHeight="1">
      <c r="A26" s="1030" t="s">
        <v>2359</v>
      </c>
      <c r="C26" s="981"/>
      <c r="D26" s="981"/>
      <c r="E26" s="981"/>
      <c r="F26" s="981"/>
      <c r="G26" s="981"/>
      <c r="H26" s="981"/>
      <c r="I26" s="981"/>
      <c r="J26" s="981"/>
      <c r="K26" s="982"/>
    </row>
    <row r="27" spans="1:13" ht="14.25" customHeight="1">
      <c r="A27" s="1030" t="s">
        <v>2360</v>
      </c>
      <c r="C27" s="981"/>
      <c r="D27" s="981"/>
      <c r="E27" s="981"/>
      <c r="F27" s="981"/>
      <c r="G27" s="981"/>
      <c r="H27" s="981"/>
      <c r="I27" s="981"/>
      <c r="J27" s="981"/>
      <c r="K27" s="982"/>
    </row>
    <row r="28" spans="1:13" ht="14.25" customHeight="1">
      <c r="A28" s="1030" t="s">
        <v>2361</v>
      </c>
      <c r="C28" s="981"/>
      <c r="D28" s="981"/>
      <c r="E28" s="981"/>
      <c r="F28" s="981"/>
      <c r="G28" s="981"/>
      <c r="H28" s="981"/>
      <c r="I28" s="981"/>
      <c r="J28" s="981"/>
      <c r="K28" s="982"/>
    </row>
    <row r="29" spans="1:13" ht="9" customHeight="1">
      <c r="A29" s="981"/>
      <c r="C29" s="981"/>
      <c r="D29" s="981"/>
      <c r="E29" s="981"/>
      <c r="F29" s="981"/>
      <c r="G29" s="981"/>
      <c r="H29" s="981"/>
      <c r="I29" s="981"/>
      <c r="J29" s="981"/>
      <c r="K29" s="982"/>
    </row>
    <row r="30" spans="1:13">
      <c r="A30" s="3949" t="s">
        <v>2362</v>
      </c>
      <c r="B30" s="3950"/>
      <c r="C30" s="3950"/>
      <c r="D30" s="3950"/>
      <c r="E30" s="3950"/>
      <c r="F30" s="3950"/>
      <c r="G30" s="3950"/>
      <c r="H30" s="3950"/>
      <c r="I30" s="3950"/>
      <c r="J30" s="3950"/>
      <c r="K30" s="3951"/>
    </row>
    <row r="31" spans="1:13">
      <c r="B31" s="4572" t="s">
        <v>3459</v>
      </c>
      <c r="C31" s="4572"/>
      <c r="D31" s="4572"/>
      <c r="E31" s="4572"/>
      <c r="F31" s="4572"/>
      <c r="G31" s="3953" t="s">
        <v>2363</v>
      </c>
      <c r="H31" s="3954"/>
      <c r="I31" s="3954"/>
      <c r="J31" s="3954"/>
      <c r="K31" s="3955"/>
    </row>
    <row r="32" spans="1:13" ht="56.25" customHeight="1">
      <c r="A32" s="2506"/>
      <c r="B32" s="1002" t="s">
        <v>2364</v>
      </c>
      <c r="C32" s="1003" t="s">
        <v>2365</v>
      </c>
      <c r="D32" s="1003" t="s">
        <v>2366</v>
      </c>
      <c r="E32" s="3956" t="s">
        <v>2367</v>
      </c>
      <c r="F32" s="4723"/>
      <c r="G32" s="1004" t="s">
        <v>2368</v>
      </c>
      <c r="H32" s="1004" t="s">
        <v>2369</v>
      </c>
      <c r="J32" s="1004" t="s">
        <v>2370</v>
      </c>
      <c r="K32" s="1004" t="s">
        <v>2371</v>
      </c>
      <c r="L32" s="3957" t="s">
        <v>2372</v>
      </c>
      <c r="M32" s="3957"/>
    </row>
    <row r="33" spans="2:14" ht="12.75" customHeight="1">
      <c r="B33" s="1097"/>
      <c r="C33" s="1098"/>
      <c r="D33" s="1099"/>
      <c r="E33" s="4564"/>
      <c r="F33" s="4565"/>
      <c r="G33" s="1020" t="e">
        <f t="shared" ref="G33:G51" si="0">$J$22*B33</f>
        <v>#VALUE!</v>
      </c>
      <c r="H33" s="1021" t="e">
        <f>ROUNDUP(G33,0)</f>
        <v>#VALUE!</v>
      </c>
      <c r="I33" s="1022"/>
      <c r="J33" s="1023" t="e">
        <f t="shared" ref="J33:J51" si="1">$J$20*E33</f>
        <v>#VALUE!</v>
      </c>
      <c r="K33" s="1023" t="e">
        <f t="shared" ref="K33:K51" si="2">ROUNDDOWN(J33*H33,0)</f>
        <v>#VALUE!</v>
      </c>
      <c r="L33" s="3957"/>
      <c r="M33" s="3957"/>
    </row>
    <row r="34" spans="2:14" ht="12.75" customHeight="1">
      <c r="B34" s="1100"/>
      <c r="C34" s="1101"/>
      <c r="D34" s="1102"/>
      <c r="E34" s="4566"/>
      <c r="F34" s="4567"/>
      <c r="G34" s="1024" t="e">
        <f t="shared" si="0"/>
        <v>#VALUE!</v>
      </c>
      <c r="H34" s="1025" t="e">
        <f t="shared" ref="H34:H51" si="3">ROUNDUP(G34,0)</f>
        <v>#VALUE!</v>
      </c>
      <c r="I34" s="1022"/>
      <c r="J34" s="1026" t="e">
        <f t="shared" si="1"/>
        <v>#VALUE!</v>
      </c>
      <c r="K34" s="1026" t="e">
        <f t="shared" si="2"/>
        <v>#VALUE!</v>
      </c>
      <c r="L34" s="3957"/>
      <c r="M34" s="3957"/>
    </row>
    <row r="35" spans="2:14" ht="12.75" customHeight="1">
      <c r="B35" s="1100"/>
      <c r="C35" s="1101"/>
      <c r="D35" s="1102"/>
      <c r="E35" s="4566"/>
      <c r="F35" s="4567"/>
      <c r="G35" s="1024" t="e">
        <f t="shared" si="0"/>
        <v>#VALUE!</v>
      </c>
      <c r="H35" s="1025" t="e">
        <f t="shared" si="3"/>
        <v>#VALUE!</v>
      </c>
      <c r="I35" s="1022"/>
      <c r="J35" s="1026" t="e">
        <f t="shared" si="1"/>
        <v>#VALUE!</v>
      </c>
      <c r="K35" s="1026" t="e">
        <f t="shared" si="2"/>
        <v>#VALUE!</v>
      </c>
      <c r="L35" s="3957"/>
      <c r="M35" s="3957"/>
    </row>
    <row r="36" spans="2:14" ht="12.75" customHeight="1">
      <c r="B36" s="1100"/>
      <c r="C36" s="1101"/>
      <c r="D36" s="1102"/>
      <c r="E36" s="4566"/>
      <c r="F36" s="4567"/>
      <c r="G36" s="1024" t="e">
        <f t="shared" si="0"/>
        <v>#VALUE!</v>
      </c>
      <c r="H36" s="1025" t="e">
        <f t="shared" si="3"/>
        <v>#VALUE!</v>
      </c>
      <c r="I36" s="1022"/>
      <c r="J36" s="1026" t="e">
        <f t="shared" si="1"/>
        <v>#VALUE!</v>
      </c>
      <c r="K36" s="1026" t="e">
        <f t="shared" si="2"/>
        <v>#VALUE!</v>
      </c>
      <c r="L36" s="3957"/>
      <c r="M36" s="3957"/>
      <c r="N36" s="984"/>
    </row>
    <row r="37" spans="2:14" ht="12.75" customHeight="1">
      <c r="B37" s="1100"/>
      <c r="C37" s="1101"/>
      <c r="D37" s="1102"/>
      <c r="E37" s="4566"/>
      <c r="F37" s="4567"/>
      <c r="G37" s="1024" t="e">
        <f t="shared" si="0"/>
        <v>#VALUE!</v>
      </c>
      <c r="H37" s="1025" t="e">
        <f t="shared" si="3"/>
        <v>#VALUE!</v>
      </c>
      <c r="I37" s="1022"/>
      <c r="J37" s="1026" t="e">
        <f t="shared" si="1"/>
        <v>#VALUE!</v>
      </c>
      <c r="K37" s="1026" t="e">
        <f t="shared" si="2"/>
        <v>#VALUE!</v>
      </c>
      <c r="L37" s="3957"/>
      <c r="M37" s="3957"/>
    </row>
    <row r="38" spans="2:14" ht="12.75" customHeight="1">
      <c r="B38" s="1100"/>
      <c r="C38" s="1101"/>
      <c r="D38" s="1102"/>
      <c r="E38" s="4566"/>
      <c r="F38" s="4567"/>
      <c r="G38" s="1024" t="e">
        <f t="shared" si="0"/>
        <v>#VALUE!</v>
      </c>
      <c r="H38" s="1025" t="e">
        <f t="shared" si="3"/>
        <v>#VALUE!</v>
      </c>
      <c r="I38" s="1022"/>
      <c r="J38" s="1026" t="e">
        <f t="shared" si="1"/>
        <v>#VALUE!</v>
      </c>
      <c r="K38" s="1026" t="e">
        <f t="shared" si="2"/>
        <v>#VALUE!</v>
      </c>
      <c r="L38" s="3957"/>
      <c r="M38" s="3957"/>
    </row>
    <row r="39" spans="2:14" ht="12.75" customHeight="1">
      <c r="B39" s="1100"/>
      <c r="C39" s="1101"/>
      <c r="D39" s="1102"/>
      <c r="E39" s="4566"/>
      <c r="F39" s="4567"/>
      <c r="G39" s="1024" t="e">
        <f t="shared" si="0"/>
        <v>#VALUE!</v>
      </c>
      <c r="H39" s="1025" t="e">
        <f t="shared" si="3"/>
        <v>#VALUE!</v>
      </c>
      <c r="I39" s="1022"/>
      <c r="J39" s="1026" t="e">
        <f t="shared" si="1"/>
        <v>#VALUE!</v>
      </c>
      <c r="K39" s="1026" t="e">
        <f t="shared" si="2"/>
        <v>#VALUE!</v>
      </c>
      <c r="L39" s="3957"/>
      <c r="M39" s="3957"/>
    </row>
    <row r="40" spans="2:14" ht="12.75" customHeight="1">
      <c r="B40" s="1100"/>
      <c r="C40" s="1101"/>
      <c r="D40" s="1102"/>
      <c r="E40" s="4566"/>
      <c r="F40" s="4567"/>
      <c r="G40" s="1024" t="e">
        <f t="shared" si="0"/>
        <v>#VALUE!</v>
      </c>
      <c r="H40" s="1025" t="e">
        <f t="shared" si="3"/>
        <v>#VALUE!</v>
      </c>
      <c r="I40" s="1022"/>
      <c r="J40" s="1026" t="e">
        <f t="shared" si="1"/>
        <v>#VALUE!</v>
      </c>
      <c r="K40" s="1026" t="e">
        <f t="shared" si="2"/>
        <v>#VALUE!</v>
      </c>
      <c r="L40" s="3957"/>
      <c r="M40" s="3957"/>
    </row>
    <row r="41" spans="2:14" ht="12.75" customHeight="1">
      <c r="B41" s="1100"/>
      <c r="C41" s="1101"/>
      <c r="D41" s="1102"/>
      <c r="E41" s="4566"/>
      <c r="F41" s="4567"/>
      <c r="G41" s="1024" t="e">
        <f t="shared" si="0"/>
        <v>#VALUE!</v>
      </c>
      <c r="H41" s="1025" t="e">
        <f t="shared" si="3"/>
        <v>#VALUE!</v>
      </c>
      <c r="I41" s="1022"/>
      <c r="J41" s="1026" t="e">
        <f t="shared" si="1"/>
        <v>#VALUE!</v>
      </c>
      <c r="K41" s="1026" t="e">
        <f t="shared" si="2"/>
        <v>#VALUE!</v>
      </c>
      <c r="L41" s="3957"/>
      <c r="M41" s="3957"/>
    </row>
    <row r="42" spans="2:14" ht="12.75" customHeight="1">
      <c r="B42" s="1100"/>
      <c r="C42" s="1101"/>
      <c r="D42" s="1102"/>
      <c r="E42" s="4566"/>
      <c r="F42" s="4567"/>
      <c r="G42" s="1024" t="e">
        <f t="shared" si="0"/>
        <v>#VALUE!</v>
      </c>
      <c r="H42" s="1025" t="e">
        <f>ROUNDUP(G42,0)</f>
        <v>#VALUE!</v>
      </c>
      <c r="I42" s="1022"/>
      <c r="J42" s="1026" t="e">
        <f t="shared" si="1"/>
        <v>#VALUE!</v>
      </c>
      <c r="K42" s="1026" t="e">
        <f t="shared" si="2"/>
        <v>#VALUE!</v>
      </c>
      <c r="L42" s="3957"/>
      <c r="M42" s="3957"/>
    </row>
    <row r="43" spans="2:14" ht="12.75" customHeight="1">
      <c r="B43" s="1100"/>
      <c r="C43" s="1101"/>
      <c r="D43" s="1102"/>
      <c r="E43" s="4566"/>
      <c r="F43" s="4567"/>
      <c r="G43" s="1024" t="e">
        <f t="shared" si="0"/>
        <v>#VALUE!</v>
      </c>
      <c r="H43" s="1025" t="e">
        <f>ROUNDUP(G43,0)</f>
        <v>#VALUE!</v>
      </c>
      <c r="I43" s="1022"/>
      <c r="J43" s="1026" t="e">
        <f t="shared" si="1"/>
        <v>#VALUE!</v>
      </c>
      <c r="K43" s="1026" t="e">
        <f t="shared" si="2"/>
        <v>#VALUE!</v>
      </c>
      <c r="L43" s="3957"/>
      <c r="M43" s="3957"/>
    </row>
    <row r="44" spans="2:14" ht="12.75" customHeight="1">
      <c r="B44" s="1100"/>
      <c r="C44" s="1101"/>
      <c r="D44" s="1102"/>
      <c r="E44" s="4566"/>
      <c r="F44" s="4567"/>
      <c r="G44" s="1024" t="e">
        <f t="shared" si="0"/>
        <v>#VALUE!</v>
      </c>
      <c r="H44" s="1025" t="e">
        <f>ROUNDUP(G44,0)</f>
        <v>#VALUE!</v>
      </c>
      <c r="I44" s="1022"/>
      <c r="J44" s="1026" t="e">
        <f t="shared" si="1"/>
        <v>#VALUE!</v>
      </c>
      <c r="K44" s="1026" t="e">
        <f t="shared" si="2"/>
        <v>#VALUE!</v>
      </c>
      <c r="L44" s="3957"/>
      <c r="M44" s="3957"/>
    </row>
    <row r="45" spans="2:14" ht="12.75" customHeight="1">
      <c r="B45" s="1100"/>
      <c r="C45" s="1101"/>
      <c r="D45" s="1102"/>
      <c r="E45" s="4566"/>
      <c r="F45" s="4567"/>
      <c r="G45" s="1024" t="e">
        <f t="shared" si="0"/>
        <v>#VALUE!</v>
      </c>
      <c r="H45" s="1025" t="e">
        <f>ROUNDUP(G45,0)</f>
        <v>#VALUE!</v>
      </c>
      <c r="I45" s="1022"/>
      <c r="J45" s="1026" t="e">
        <f t="shared" si="1"/>
        <v>#VALUE!</v>
      </c>
      <c r="K45" s="1026" t="e">
        <f t="shared" si="2"/>
        <v>#VALUE!</v>
      </c>
      <c r="L45" s="3957"/>
      <c r="M45" s="3957"/>
    </row>
    <row r="46" spans="2:14" ht="12.75" customHeight="1">
      <c r="B46" s="1100"/>
      <c r="C46" s="1101"/>
      <c r="D46" s="1102"/>
      <c r="E46" s="4566"/>
      <c r="F46" s="4567"/>
      <c r="G46" s="1024" t="e">
        <f t="shared" si="0"/>
        <v>#VALUE!</v>
      </c>
      <c r="H46" s="1025" t="e">
        <f t="shared" si="3"/>
        <v>#VALUE!</v>
      </c>
      <c r="I46" s="1022"/>
      <c r="J46" s="1026" t="e">
        <f t="shared" si="1"/>
        <v>#VALUE!</v>
      </c>
      <c r="K46" s="1026" t="e">
        <f t="shared" si="2"/>
        <v>#VALUE!</v>
      </c>
      <c r="L46" s="3957"/>
      <c r="M46" s="3957"/>
    </row>
    <row r="47" spans="2:14" ht="12.75" customHeight="1">
      <c r="B47" s="1100"/>
      <c r="C47" s="1101"/>
      <c r="D47" s="1102"/>
      <c r="E47" s="4566"/>
      <c r="F47" s="4567"/>
      <c r="G47" s="1024" t="e">
        <f t="shared" si="0"/>
        <v>#VALUE!</v>
      </c>
      <c r="H47" s="1025" t="e">
        <f t="shared" si="3"/>
        <v>#VALUE!</v>
      </c>
      <c r="I47" s="1022"/>
      <c r="J47" s="1026" t="e">
        <f t="shared" si="1"/>
        <v>#VALUE!</v>
      </c>
      <c r="K47" s="1026" t="e">
        <f t="shared" si="2"/>
        <v>#VALUE!</v>
      </c>
      <c r="L47" s="3957"/>
      <c r="M47" s="3957"/>
    </row>
    <row r="48" spans="2:14" ht="12.75" customHeight="1">
      <c r="B48" s="1100"/>
      <c r="C48" s="1101"/>
      <c r="D48" s="1102"/>
      <c r="E48" s="4566"/>
      <c r="F48" s="4567"/>
      <c r="G48" s="1024" t="e">
        <f t="shared" si="0"/>
        <v>#VALUE!</v>
      </c>
      <c r="H48" s="1025" t="e">
        <f>ROUNDUP(G48,0)</f>
        <v>#VALUE!</v>
      </c>
      <c r="I48" s="1022"/>
      <c r="J48" s="1026" t="e">
        <f t="shared" si="1"/>
        <v>#VALUE!</v>
      </c>
      <c r="K48" s="1026" t="e">
        <f t="shared" si="2"/>
        <v>#VALUE!</v>
      </c>
      <c r="L48" s="3957"/>
      <c r="M48" s="3957"/>
    </row>
    <row r="49" spans="1:13" ht="12.75" customHeight="1">
      <c r="B49" s="1100"/>
      <c r="C49" s="1101"/>
      <c r="D49" s="1102"/>
      <c r="E49" s="4566"/>
      <c r="F49" s="4567"/>
      <c r="G49" s="1024" t="e">
        <f t="shared" si="0"/>
        <v>#VALUE!</v>
      </c>
      <c r="H49" s="1025" t="e">
        <f t="shared" si="3"/>
        <v>#VALUE!</v>
      </c>
      <c r="I49" s="1022"/>
      <c r="J49" s="1026" t="e">
        <f t="shared" si="1"/>
        <v>#VALUE!</v>
      </c>
      <c r="K49" s="1026" t="e">
        <f t="shared" si="2"/>
        <v>#VALUE!</v>
      </c>
      <c r="L49" s="3957"/>
      <c r="M49" s="3957"/>
    </row>
    <row r="50" spans="1:13" ht="12.75" customHeight="1">
      <c r="B50" s="1100"/>
      <c r="C50" s="1101"/>
      <c r="D50" s="1102"/>
      <c r="E50" s="4566"/>
      <c r="F50" s="4567"/>
      <c r="G50" s="1024" t="e">
        <f t="shared" si="0"/>
        <v>#VALUE!</v>
      </c>
      <c r="H50" s="1025" t="e">
        <f t="shared" si="3"/>
        <v>#VALUE!</v>
      </c>
      <c r="I50" s="1022"/>
      <c r="J50" s="1026" t="e">
        <f t="shared" si="1"/>
        <v>#VALUE!</v>
      </c>
      <c r="K50" s="1026" t="e">
        <f t="shared" si="2"/>
        <v>#VALUE!</v>
      </c>
      <c r="L50" s="3957"/>
      <c r="M50" s="3957"/>
    </row>
    <row r="51" spans="1:13" ht="12.75" customHeight="1" thickBot="1">
      <c r="B51" s="1103"/>
      <c r="C51" s="1104"/>
      <c r="D51" s="1105"/>
      <c r="E51" s="4575"/>
      <c r="F51" s="4576"/>
      <c r="G51" s="1027" t="e">
        <f t="shared" si="0"/>
        <v>#VALUE!</v>
      </c>
      <c r="H51" s="1028" t="e">
        <f t="shared" si="3"/>
        <v>#VALUE!</v>
      </c>
      <c r="I51" s="1022"/>
      <c r="J51" s="1029" t="e">
        <f t="shared" si="1"/>
        <v>#VALUE!</v>
      </c>
      <c r="K51" s="1029" t="e">
        <f t="shared" si="2"/>
        <v>#VALUE!</v>
      </c>
      <c r="L51" s="3957"/>
      <c r="M51" s="3957"/>
    </row>
    <row r="52" spans="1:13" ht="15" customHeight="1" thickBot="1">
      <c r="B52" s="2786"/>
      <c r="D52" s="2785"/>
      <c r="E52" s="2785"/>
      <c r="F52" s="2785"/>
      <c r="G52" s="1006" t="s">
        <v>2373</v>
      </c>
      <c r="H52" s="1005" t="e">
        <f>SUM(H33:H51)</f>
        <v>#VALUE!</v>
      </c>
      <c r="I52" s="2785"/>
      <c r="J52" s="2786" t="s">
        <v>2374</v>
      </c>
      <c r="K52" s="993" t="e">
        <f>SUM(K33:K51)</f>
        <v>#VALUE!</v>
      </c>
      <c r="L52" s="3957"/>
      <c r="M52" s="3957"/>
    </row>
    <row r="53" spans="1:13" ht="15" customHeight="1">
      <c r="B53" s="2572"/>
      <c r="C53" s="3962" t="s">
        <v>2375</v>
      </c>
      <c r="D53" s="3962"/>
      <c r="E53" s="3962"/>
      <c r="F53" s="3962"/>
      <c r="G53" s="3962"/>
      <c r="H53" s="3962"/>
      <c r="I53" s="3962"/>
      <c r="J53" s="3963"/>
      <c r="K53" s="997" t="str">
        <f>IF(J17="no",0,IF(J17="yes",J16,"Error"))</f>
        <v>Error</v>
      </c>
      <c r="L53" s="3957"/>
      <c r="M53" s="3957"/>
    </row>
    <row r="54" spans="1:13" ht="15" customHeight="1" thickBot="1">
      <c r="B54" s="2572"/>
      <c r="C54" s="3966" t="s">
        <v>2376</v>
      </c>
      <c r="D54" s="3966"/>
      <c r="E54" s="3966"/>
      <c r="F54" s="3966"/>
      <c r="G54" s="3966"/>
      <c r="H54" s="3966"/>
      <c r="I54" s="3966"/>
      <c r="J54" s="3967"/>
      <c r="K54" s="1008" t="e">
        <f>K52+K53</f>
        <v>#VALUE!</v>
      </c>
    </row>
    <row r="55" spans="1:13" ht="7.9" customHeight="1">
      <c r="A55" s="3968"/>
      <c r="B55" s="3969"/>
      <c r="C55" s="3969"/>
      <c r="D55" s="3969"/>
      <c r="E55" s="3969"/>
      <c r="F55" s="3969"/>
      <c r="G55" s="3969"/>
      <c r="H55" s="3969"/>
      <c r="I55" s="3969"/>
      <c r="J55" s="3969"/>
      <c r="K55" s="1019"/>
    </row>
    <row r="56" spans="1:13" ht="15" customHeight="1">
      <c r="A56" s="3970" t="s">
        <v>2377</v>
      </c>
      <c r="B56" s="3971"/>
      <c r="C56" s="3971"/>
      <c r="D56" s="3971"/>
      <c r="E56" s="3971"/>
      <c r="F56" s="3971"/>
      <c r="G56" s="3971"/>
      <c r="H56" s="3971"/>
      <c r="I56" s="3971"/>
      <c r="J56" s="3971"/>
      <c r="K56" s="3972"/>
    </row>
    <row r="57" spans="1:13" ht="48" customHeight="1">
      <c r="A57" s="986"/>
      <c r="B57" s="4724"/>
      <c r="C57" s="988" t="s">
        <v>2378</v>
      </c>
      <c r="D57" s="1086" t="s">
        <v>2379</v>
      </c>
      <c r="E57" s="3973" t="s">
        <v>2380</v>
      </c>
      <c r="F57" s="3974"/>
      <c r="G57" s="4568" t="s">
        <v>2381</v>
      </c>
      <c r="H57" s="4569"/>
      <c r="I57" s="3973" t="s">
        <v>2382</v>
      </c>
      <c r="J57" s="3974"/>
      <c r="K57" s="4725"/>
    </row>
    <row r="58" spans="1:13" ht="15" customHeight="1">
      <c r="A58" s="2571"/>
      <c r="B58" s="1014"/>
      <c r="C58" s="994">
        <f>SUMIF(C33:C51, "0", H33:H51)</f>
        <v>0</v>
      </c>
      <c r="D58" s="1087">
        <f t="shared" ref="D58:D63" si="4">ROUNDUP(C58*1.1,0)</f>
        <v>0</v>
      </c>
      <c r="E58" s="3978" t="s">
        <v>2384</v>
      </c>
      <c r="F58" s="3979"/>
      <c r="G58" s="4570" t="e">
        <f>#REF!</f>
        <v>#REF!</v>
      </c>
      <c r="H58" s="4571"/>
      <c r="I58" s="3982" t="e">
        <f t="shared" ref="I58:I63" si="5">D58*G58</f>
        <v>#REF!</v>
      </c>
      <c r="J58" s="3982"/>
      <c r="K58" s="3977"/>
    </row>
    <row r="59" spans="1:13">
      <c r="A59" s="2571"/>
      <c r="B59" s="1014"/>
      <c r="C59" s="995">
        <f>SUMIF(C33:C51, "1", H33:H51)</f>
        <v>0</v>
      </c>
      <c r="D59" s="1088">
        <f t="shared" si="4"/>
        <v>0</v>
      </c>
      <c r="E59" s="3983" t="s">
        <v>2385</v>
      </c>
      <c r="F59" s="3984"/>
      <c r="G59" s="4562" t="e">
        <f>#REF!</f>
        <v>#REF!</v>
      </c>
      <c r="H59" s="4563"/>
      <c r="I59" s="3985" t="e">
        <f t="shared" si="5"/>
        <v>#REF!</v>
      </c>
      <c r="J59" s="3985"/>
      <c r="K59" s="3977"/>
    </row>
    <row r="60" spans="1:13" ht="15" customHeight="1">
      <c r="A60" s="2571"/>
      <c r="B60" s="1014"/>
      <c r="C60" s="995">
        <f>SUMIF(C33:C51, "2", H33:H51)</f>
        <v>0</v>
      </c>
      <c r="D60" s="1088">
        <f t="shared" si="4"/>
        <v>0</v>
      </c>
      <c r="E60" s="3983" t="s">
        <v>2386</v>
      </c>
      <c r="F60" s="3984"/>
      <c r="G60" s="4562" t="e">
        <f>#REF!</f>
        <v>#REF!</v>
      </c>
      <c r="H60" s="4563"/>
      <c r="I60" s="3985" t="e">
        <f t="shared" si="5"/>
        <v>#REF!</v>
      </c>
      <c r="J60" s="3985"/>
      <c r="K60" s="3977"/>
    </row>
    <row r="61" spans="1:13">
      <c r="A61" s="2571"/>
      <c r="B61" s="1014"/>
      <c r="C61" s="995">
        <f>SUMIF(C33:C51, "3", H33:H51)</f>
        <v>0</v>
      </c>
      <c r="D61" s="1088">
        <f t="shared" si="4"/>
        <v>0</v>
      </c>
      <c r="E61" s="3983" t="s">
        <v>2387</v>
      </c>
      <c r="F61" s="3984"/>
      <c r="G61" s="4562" t="e">
        <f>#REF!</f>
        <v>#REF!</v>
      </c>
      <c r="H61" s="4563"/>
      <c r="I61" s="3985" t="e">
        <f t="shared" si="5"/>
        <v>#REF!</v>
      </c>
      <c r="J61" s="3985"/>
      <c r="K61" s="3977"/>
    </row>
    <row r="62" spans="1:13">
      <c r="A62" s="2571"/>
      <c r="B62" s="1014"/>
      <c r="C62" s="995">
        <f>SUMIF(C33:C51, "4", H33:H51)</f>
        <v>0</v>
      </c>
      <c r="D62" s="1088">
        <f t="shared" si="4"/>
        <v>0</v>
      </c>
      <c r="E62" s="3983" t="s">
        <v>2388</v>
      </c>
      <c r="F62" s="3984"/>
      <c r="G62" s="4562" t="e">
        <f>#REF!</f>
        <v>#REF!</v>
      </c>
      <c r="H62" s="4563"/>
      <c r="I62" s="3985" t="e">
        <f t="shared" si="5"/>
        <v>#REF!</v>
      </c>
      <c r="J62" s="3985"/>
      <c r="K62" s="3977"/>
    </row>
    <row r="63" spans="1:13">
      <c r="A63" s="1085"/>
      <c r="B63" s="1015"/>
      <c r="C63" s="996">
        <f>SUMIF(C33:C51, "5", H33:H51)</f>
        <v>0</v>
      </c>
      <c r="D63" s="1089">
        <f t="shared" si="4"/>
        <v>0</v>
      </c>
      <c r="E63" s="3987" t="s">
        <v>2389</v>
      </c>
      <c r="F63" s="3988"/>
      <c r="G63" s="4573" t="e">
        <f>#REF!</f>
        <v>#REF!</v>
      </c>
      <c r="H63" s="4574"/>
      <c r="I63" s="3989" t="e">
        <f t="shared" si="5"/>
        <v>#REF!</v>
      </c>
      <c r="J63" s="3989"/>
      <c r="K63" s="1017"/>
    </row>
    <row r="64" spans="1:13" ht="17.25" thickBot="1">
      <c r="A64" s="1084" t="s">
        <v>2390</v>
      </c>
      <c r="B64" s="1010">
        <f>SUM(C58:C63)</f>
        <v>0</v>
      </c>
      <c r="C64" s="1090"/>
      <c r="D64" s="1090">
        <f>SUM(D58:D63)</f>
        <v>0</v>
      </c>
      <c r="E64" s="1083"/>
      <c r="F64" s="1083"/>
      <c r="G64" s="1083"/>
      <c r="H64" s="1083"/>
      <c r="I64" s="1083"/>
      <c r="J64" s="1077" t="s">
        <v>2391</v>
      </c>
      <c r="K64" s="1009" t="e">
        <f>SUM(I58:I62)</f>
        <v>#REF!</v>
      </c>
    </row>
    <row r="65" spans="1:11">
      <c r="A65" s="3969"/>
      <c r="B65" s="3969"/>
      <c r="C65" s="3969"/>
      <c r="D65" s="3969"/>
      <c r="E65" s="3969"/>
      <c r="F65" s="3969"/>
      <c r="G65" s="3969"/>
      <c r="H65" s="3969"/>
      <c r="I65" s="3969"/>
      <c r="J65" s="3969"/>
    </row>
    <row r="66" spans="1:11">
      <c r="A66" s="3970" t="s">
        <v>2392</v>
      </c>
      <c r="B66" s="3971"/>
      <c r="C66" s="3971"/>
      <c r="D66" s="3971"/>
      <c r="E66" s="3971"/>
      <c r="F66" s="3971"/>
      <c r="G66" s="3971"/>
      <c r="H66" s="3971"/>
      <c r="I66" s="3971"/>
      <c r="J66" s="3971"/>
      <c r="K66" s="3972"/>
    </row>
    <row r="67" spans="1:11" ht="15" customHeight="1">
      <c r="A67" s="1011"/>
      <c r="B67" s="2787"/>
      <c r="C67" s="2787"/>
      <c r="D67" s="2787"/>
      <c r="E67" s="2787" t="s">
        <v>2393</v>
      </c>
      <c r="F67" s="2787"/>
      <c r="G67" s="2787"/>
      <c r="H67" s="2787"/>
      <c r="I67" s="2787"/>
      <c r="J67" s="4724"/>
      <c r="K67" s="985">
        <f>J11</f>
        <v>0</v>
      </c>
    </row>
    <row r="68" spans="1:11">
      <c r="A68" s="1012"/>
      <c r="E68" s="970" t="s">
        <v>2394</v>
      </c>
      <c r="J68" s="1014"/>
      <c r="K68" s="985" t="e">
        <f>K54</f>
        <v>#VALUE!</v>
      </c>
    </row>
    <row r="69" spans="1:11" ht="17.25" thickBot="1">
      <c r="A69" s="1013"/>
      <c r="B69" s="979"/>
      <c r="C69" s="979"/>
      <c r="D69" s="979"/>
      <c r="E69" s="979" t="s">
        <v>2395</v>
      </c>
      <c r="F69" s="979"/>
      <c r="G69" s="979"/>
      <c r="H69" s="979"/>
      <c r="I69" s="979"/>
      <c r="J69" s="1015"/>
      <c r="K69" s="1018" t="e">
        <f>K64</f>
        <v>#REF!</v>
      </c>
    </row>
    <row r="70" spans="1:11" ht="17.25" thickBot="1">
      <c r="A70" s="987"/>
      <c r="B70" s="980"/>
      <c r="C70" s="3986" t="s">
        <v>2396</v>
      </c>
      <c r="D70" s="3986"/>
      <c r="E70" s="3986"/>
      <c r="F70" s="3986"/>
      <c r="G70" s="3986"/>
      <c r="H70" s="3986"/>
      <c r="I70" s="3986"/>
      <c r="J70" s="3986"/>
      <c r="K70" s="1016" t="e">
        <f>IF(ISBLANK(J11),MIN(K68:K69),MIN(K67:K69))</f>
        <v>#VALUE!</v>
      </c>
    </row>
    <row r="71" spans="1:11">
      <c r="E71" s="970"/>
    </row>
    <row r="72" spans="1:11">
      <c r="E72" s="970"/>
    </row>
    <row r="73" spans="1:11">
      <c r="E73" s="970"/>
    </row>
    <row r="74" spans="1:11">
      <c r="E74" s="970"/>
    </row>
    <row r="75" spans="1:11">
      <c r="E75" s="970"/>
    </row>
    <row r="76" spans="1:11">
      <c r="E76" s="970"/>
    </row>
    <row r="77" spans="1:11">
      <c r="E77" s="970"/>
    </row>
    <row r="78" spans="1:11">
      <c r="E78" s="970"/>
    </row>
    <row r="79" spans="1:11">
      <c r="E79" s="970"/>
    </row>
  </sheetData>
  <sheetProtection algorithmName="SHA-512" hashValue="tRakZ6arQi+QD27YO3O4iOJVjeywgOPSYVv9gqGxTXhmYHFD7hyIjqW8x2CXLmJz47UCdkmRrTH1QHO0zxebLQ==" saltValue="BgD1aOe3YURAPQaTiuBWD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8515625" defaultRowHeight="12.75"/>
  <cols>
    <col min="1" max="1" width="3.42578125" style="314" customWidth="1"/>
    <col min="2" max="2" width="4.28515625" style="314" customWidth="1"/>
    <col min="3" max="3" width="18.5703125" style="314" customWidth="1"/>
    <col min="4" max="4" width="2.7109375" style="314" customWidth="1"/>
    <col min="5" max="5" width="6.5703125" style="314" customWidth="1"/>
    <col min="6" max="6" width="39.28515625" style="314" customWidth="1"/>
    <col min="7" max="8" width="8.42578125" style="314" customWidth="1"/>
    <col min="9" max="9" width="9.28515625" style="314"/>
    <col min="10" max="10" width="14.28515625" style="314" customWidth="1"/>
    <col min="11" max="16384" width="9.28515625" style="314"/>
  </cols>
  <sheetData>
    <row r="1" spans="1:11">
      <c r="A1" s="410" t="s">
        <v>3460</v>
      </c>
      <c r="H1" s="459" t="str">
        <f>'Sensitivity Analysis'!C8</f>
        <v>Finley Place</v>
      </c>
    </row>
    <row r="2" spans="1:11">
      <c r="A2" s="410" t="s">
        <v>3461</v>
      </c>
      <c r="H2" s="314" t="str">
        <f>'Sensitivity Analysis'!E8</f>
        <v>2024-0</v>
      </c>
    </row>
    <row r="3" spans="1:11" ht="3" customHeight="1"/>
    <row r="4" spans="1:11" ht="51.75" customHeight="1">
      <c r="A4" s="4587" t="s">
        <v>3462</v>
      </c>
      <c r="B4" s="4587"/>
      <c r="C4" s="4587"/>
      <c r="D4" s="4587"/>
      <c r="E4" s="4587"/>
      <c r="F4" s="4587"/>
      <c r="G4" s="4587"/>
      <c r="H4" s="4587"/>
      <c r="J4" s="761">
        <f>SUM('Part VI-Pro Forma'!B15:B17)/12</f>
        <v>64269.547200000001</v>
      </c>
      <c r="K4" s="760" t="s">
        <v>3463</v>
      </c>
    </row>
    <row r="5" spans="1:11" ht="1.5" customHeight="1"/>
    <row r="6" spans="1:11" ht="12.75" customHeight="1">
      <c r="B6" s="478" t="s">
        <v>2468</v>
      </c>
      <c r="C6" s="4587" t="s">
        <v>3464</v>
      </c>
      <c r="D6" s="4587"/>
      <c r="E6" s="4587"/>
      <c r="F6" s="4587"/>
      <c r="G6" s="4587"/>
      <c r="H6" s="4587"/>
    </row>
    <row r="7" spans="1:11" ht="12.75" customHeight="1">
      <c r="B7" s="478" t="s">
        <v>2470</v>
      </c>
      <c r="C7" s="4587" t="s">
        <v>3465</v>
      </c>
      <c r="D7" s="4587"/>
      <c r="E7" s="4587"/>
      <c r="F7" s="4587"/>
      <c r="G7" s="4587"/>
      <c r="H7" s="4587"/>
    </row>
    <row r="8" spans="1:11" ht="3" customHeight="1"/>
    <row r="9" spans="1:11">
      <c r="A9" s="314" t="s">
        <v>3466</v>
      </c>
    </row>
    <row r="10" spans="1:11" ht="1.5" customHeight="1"/>
    <row r="11" spans="1:11" ht="26.25" customHeight="1">
      <c r="A11" s="479" t="s">
        <v>197</v>
      </c>
      <c r="B11" s="4589" t="s">
        <v>3467</v>
      </c>
      <c r="C11" s="4589"/>
      <c r="D11" s="4589"/>
      <c r="E11" s="4589"/>
      <c r="F11" s="4589"/>
      <c r="G11" s="4590">
        <f>'Part II-Sources of Funds'!I51+'Part II-Sources of Funds'!I52</f>
        <v>16833964</v>
      </c>
      <c r="H11" s="4590"/>
    </row>
    <row r="12" spans="1:11" ht="1.5" customHeight="1">
      <c r="G12" s="460"/>
      <c r="H12" s="460"/>
    </row>
    <row r="13" spans="1:11" ht="26.25" customHeight="1">
      <c r="A13" s="479" t="s">
        <v>209</v>
      </c>
      <c r="B13" s="4589" t="s">
        <v>3468</v>
      </c>
      <c r="C13" s="4589"/>
      <c r="D13" s="4589"/>
      <c r="E13" s="4589"/>
      <c r="F13" s="4589"/>
      <c r="G13" s="4591" t="s">
        <v>3387</v>
      </c>
      <c r="H13" s="4591"/>
    </row>
    <row r="14" spans="1:11" ht="12" hidden="1" customHeight="1">
      <c r="A14" s="479"/>
      <c r="B14" s="4555"/>
      <c r="C14" s="4555"/>
      <c r="D14" s="4555"/>
      <c r="E14" s="4555"/>
      <c r="F14" s="4555"/>
      <c r="G14" s="4555"/>
      <c r="H14" s="4555"/>
    </row>
    <row r="15" spans="1:11" ht="1.5" customHeight="1"/>
    <row r="16" spans="1:11" ht="12" customHeight="1">
      <c r="A16" s="479" t="s">
        <v>230</v>
      </c>
      <c r="B16" s="314" t="s">
        <v>3469</v>
      </c>
      <c r="G16" s="4592" t="s">
        <v>56</v>
      </c>
      <c r="H16" s="4592"/>
    </row>
    <row r="17" spans="1:8" ht="1.5" customHeight="1">
      <c r="G17" s="463"/>
    </row>
    <row r="18" spans="1:8" ht="12" customHeight="1">
      <c r="A18" s="479" t="s">
        <v>232</v>
      </c>
      <c r="B18" s="460" t="s">
        <v>3470</v>
      </c>
      <c r="C18" s="479"/>
      <c r="D18" s="479"/>
      <c r="E18" s="479"/>
      <c r="G18" s="4555" t="s">
        <v>2176</v>
      </c>
      <c r="H18" s="4555"/>
    </row>
    <row r="19" spans="1:8" ht="12" hidden="1" customHeight="1">
      <c r="B19" s="4555"/>
      <c r="C19" s="4555"/>
      <c r="D19" s="4555"/>
      <c r="E19" s="4555"/>
      <c r="F19" s="4555"/>
      <c r="G19" s="4555"/>
      <c r="H19" s="4555"/>
    </row>
    <row r="20" spans="1:8" ht="13.5" customHeight="1"/>
    <row r="21" spans="1:8" ht="12" customHeight="1">
      <c r="A21" s="410" t="s">
        <v>3254</v>
      </c>
    </row>
    <row r="22" spans="1:8" ht="3" customHeight="1"/>
    <row r="23" spans="1:8" ht="24.75" customHeight="1">
      <c r="A23" s="4593" t="s">
        <v>3471</v>
      </c>
      <c r="B23" s="4593"/>
      <c r="C23" s="4593"/>
      <c r="D23" s="4593"/>
      <c r="E23" s="4593"/>
      <c r="F23" s="4593"/>
      <c r="G23" s="4593"/>
      <c r="H23" s="4593"/>
    </row>
    <row r="24" spans="1:8" ht="9" customHeight="1" thickBot="1">
      <c r="A24" s="456"/>
    </row>
    <row r="25" spans="1:8" ht="16.149999999999999" customHeight="1" thickBot="1">
      <c r="A25" s="4594">
        <v>20</v>
      </c>
      <c r="B25" s="4595"/>
      <c r="C25" s="1076" t="s">
        <v>1207</v>
      </c>
    </row>
    <row r="26" spans="1:8" ht="9" customHeight="1">
      <c r="A26" s="456"/>
    </row>
    <row r="27" spans="1:8" ht="28.15" customHeight="1">
      <c r="A27" s="4587" t="s">
        <v>3472</v>
      </c>
      <c r="B27" s="4587"/>
      <c r="C27" s="4587"/>
      <c r="D27" s="4587"/>
      <c r="E27" s="4587"/>
      <c r="F27" s="4587"/>
      <c r="G27" s="4587"/>
      <c r="H27" s="4587"/>
    </row>
    <row r="28" spans="1:8" ht="9" customHeight="1">
      <c r="A28" s="456"/>
    </row>
    <row r="29" spans="1:8">
      <c r="A29" s="463" t="s">
        <v>3473</v>
      </c>
      <c r="B29" s="480" t="str">
        <f>IF('Part V-Revenues &amp; Expenses'!$K$62=0,"",'Part V-Revenues &amp; Expenses'!$K$62)</f>
        <v/>
      </c>
      <c r="C29" s="463" t="s">
        <v>3474</v>
      </c>
      <c r="D29" s="481" t="s">
        <v>3475</v>
      </c>
    </row>
    <row r="30" spans="1:8" ht="1.9" customHeight="1"/>
    <row r="31" spans="1:8" ht="12.75" customHeight="1">
      <c r="C31" s="460" t="s">
        <v>3476</v>
      </c>
      <c r="D31" s="482" t="s">
        <v>212</v>
      </c>
      <c r="E31" s="483"/>
      <c r="F31" s="4587" t="s">
        <v>3477</v>
      </c>
      <c r="G31" s="4587"/>
      <c r="H31" s="4587"/>
    </row>
    <row r="32" spans="1:8" ht="12.75" customHeight="1">
      <c r="C32" s="484" t="s">
        <v>338</v>
      </c>
      <c r="D32" s="482" t="s">
        <v>220</v>
      </c>
      <c r="E32" s="4587" t="s">
        <v>3478</v>
      </c>
      <c r="F32" s="4587"/>
      <c r="G32" s="4587"/>
      <c r="H32" s="4587"/>
    </row>
    <row r="33" spans="1:11" ht="12.75" customHeight="1">
      <c r="C33" s="2619" t="s">
        <v>3479</v>
      </c>
      <c r="E33" s="4587" t="s">
        <v>3480</v>
      </c>
      <c r="F33" s="4587"/>
      <c r="G33" s="4587"/>
      <c r="H33" s="4587"/>
    </row>
    <row r="34" spans="1:11" ht="12.75" customHeight="1">
      <c r="C34" s="1075"/>
      <c r="D34" s="1074" t="s">
        <v>2822</v>
      </c>
      <c r="E34" s="4588" t="s">
        <v>3481</v>
      </c>
      <c r="F34" s="4588"/>
      <c r="G34" s="4588"/>
      <c r="H34" s="4588"/>
    </row>
    <row r="35" spans="1:11" ht="3" customHeight="1">
      <c r="D35" s="482"/>
      <c r="E35" s="2624"/>
      <c r="F35" s="2624"/>
      <c r="G35" s="2624"/>
      <c r="H35" s="2624"/>
    </row>
    <row r="36" spans="1:11" ht="12.75" customHeight="1">
      <c r="C36" s="460" t="s">
        <v>3476</v>
      </c>
      <c r="D36" s="482" t="s">
        <v>212</v>
      </c>
      <c r="E36" s="483"/>
      <c r="F36" s="479" t="s">
        <v>3477</v>
      </c>
      <c r="G36" s="479"/>
      <c r="H36" s="479"/>
    </row>
    <row r="37" spans="1:11" ht="12.75" customHeight="1">
      <c r="C37" s="484" t="s">
        <v>338</v>
      </c>
      <c r="D37" s="482" t="s">
        <v>220</v>
      </c>
      <c r="E37" s="4587" t="s">
        <v>3478</v>
      </c>
      <c r="F37" s="4587"/>
      <c r="G37" s="4587"/>
      <c r="H37" s="4587"/>
    </row>
    <row r="38" spans="1:11" ht="12.75" customHeight="1">
      <c r="C38" s="2619" t="s">
        <v>3479</v>
      </c>
      <c r="E38" s="4587" t="s">
        <v>3480</v>
      </c>
      <c r="F38" s="4587"/>
      <c r="G38" s="4587"/>
      <c r="H38" s="4587"/>
    </row>
    <row r="39" spans="1:11" ht="12.75" customHeight="1">
      <c r="C39" s="1075"/>
      <c r="D39" s="1074" t="s">
        <v>2822</v>
      </c>
      <c r="E39" s="4588" t="s">
        <v>3481</v>
      </c>
      <c r="F39" s="4588"/>
      <c r="G39" s="4588"/>
      <c r="H39" s="4588"/>
    </row>
    <row r="40" spans="1:11" ht="3" customHeight="1">
      <c r="D40" s="482"/>
      <c r="E40" s="2624"/>
      <c r="F40" s="2624"/>
      <c r="G40" s="2624"/>
      <c r="H40" s="2624"/>
    </row>
    <row r="41" spans="1:11" ht="12.75" customHeight="1">
      <c r="C41" s="460" t="s">
        <v>3476</v>
      </c>
      <c r="D41" s="482" t="s">
        <v>212</v>
      </c>
      <c r="E41" s="483"/>
      <c r="F41" s="479" t="s">
        <v>3477</v>
      </c>
      <c r="G41" s="479"/>
      <c r="H41" s="479"/>
    </row>
    <row r="42" spans="1:11" ht="12.75" customHeight="1">
      <c r="C42" s="484" t="s">
        <v>338</v>
      </c>
      <c r="D42" s="482" t="s">
        <v>220</v>
      </c>
      <c r="E42" s="4587" t="s">
        <v>3478</v>
      </c>
      <c r="F42" s="4587"/>
      <c r="G42" s="4587"/>
      <c r="H42" s="4587"/>
    </row>
    <row r="43" spans="1:11" ht="12.75" customHeight="1">
      <c r="C43" s="2619" t="s">
        <v>3479</v>
      </c>
      <c r="E43" s="4587" t="s">
        <v>3480</v>
      </c>
      <c r="F43" s="4587"/>
      <c r="G43" s="4587"/>
      <c r="H43" s="4587"/>
    </row>
    <row r="44" spans="1:11" ht="12.75" customHeight="1">
      <c r="C44" s="1075"/>
      <c r="D44" s="1074" t="s">
        <v>2822</v>
      </c>
      <c r="E44" s="4588" t="s">
        <v>3481</v>
      </c>
      <c r="F44" s="4588"/>
      <c r="G44" s="4588"/>
      <c r="H44" s="4588"/>
    </row>
    <row r="45" spans="1:11" ht="6" customHeight="1">
      <c r="D45" s="482"/>
      <c r="E45" s="2624"/>
      <c r="F45" s="2624"/>
      <c r="G45" s="2624"/>
      <c r="H45" s="2624"/>
    </row>
    <row r="46" spans="1:11">
      <c r="A46" s="463" t="s">
        <v>3473</v>
      </c>
      <c r="B46" s="480" t="str">
        <f>IF('Part V-Revenues &amp; Expenses'!$L$62=0,"",'Part V-Revenues &amp; Expenses'!$L$62)</f>
        <v/>
      </c>
      <c r="C46" s="463" t="s">
        <v>3482</v>
      </c>
      <c r="D46" s="481" t="s">
        <v>3483</v>
      </c>
    </row>
    <row r="47" spans="1:11" ht="1.9" customHeight="1">
      <c r="K47" s="2620"/>
    </row>
    <row r="48" spans="1:11" ht="12.75" customHeight="1">
      <c r="C48" s="460" t="s">
        <v>3476</v>
      </c>
      <c r="D48" s="482" t="s">
        <v>212</v>
      </c>
      <c r="E48" s="483"/>
      <c r="F48" s="479" t="s">
        <v>3477</v>
      </c>
      <c r="G48" s="479"/>
      <c r="H48" s="479"/>
      <c r="K48" s="2620"/>
    </row>
    <row r="49" spans="1:11" ht="12.75" customHeight="1">
      <c r="C49" s="484" t="s">
        <v>338</v>
      </c>
      <c r="D49" s="482" t="s">
        <v>220</v>
      </c>
      <c r="E49" s="4587" t="s">
        <v>3478</v>
      </c>
      <c r="F49" s="4587"/>
      <c r="G49" s="4587"/>
      <c r="H49" s="4587"/>
      <c r="K49" s="2620"/>
    </row>
    <row r="50" spans="1:11" ht="12.75" customHeight="1">
      <c r="C50" s="2619" t="s">
        <v>3479</v>
      </c>
      <c r="E50" s="4587" t="s">
        <v>3480</v>
      </c>
      <c r="F50" s="4587"/>
      <c r="G50" s="4587"/>
      <c r="H50" s="4587"/>
    </row>
    <row r="51" spans="1:11" ht="12.75" customHeight="1">
      <c r="C51" s="1075"/>
      <c r="D51" s="485" t="s">
        <v>2822</v>
      </c>
      <c r="E51" s="4587" t="s">
        <v>3481</v>
      </c>
      <c r="F51" s="4587"/>
      <c r="G51" s="4587"/>
      <c r="H51" s="4587"/>
    </row>
    <row r="52" spans="1:11" ht="3" customHeight="1">
      <c r="D52" s="482"/>
      <c r="E52" s="2624"/>
      <c r="F52" s="2624"/>
      <c r="G52" s="2624"/>
      <c r="H52" s="2624"/>
    </row>
    <row r="53" spans="1:11" ht="12.75" customHeight="1">
      <c r="C53" s="460" t="s">
        <v>3476</v>
      </c>
      <c r="D53" s="482" t="s">
        <v>212</v>
      </c>
      <c r="E53" s="483"/>
      <c r="F53" s="479" t="s">
        <v>3477</v>
      </c>
      <c r="G53" s="479"/>
      <c r="H53" s="479"/>
    </row>
    <row r="54" spans="1:11" ht="12.75" customHeight="1">
      <c r="C54" s="484" t="s">
        <v>338</v>
      </c>
      <c r="D54" s="482" t="s">
        <v>220</v>
      </c>
      <c r="E54" s="4587" t="s">
        <v>3478</v>
      </c>
      <c r="F54" s="4587"/>
      <c r="G54" s="4587"/>
      <c r="H54" s="4587"/>
    </row>
    <row r="55" spans="1:11" ht="12.75" customHeight="1">
      <c r="C55" s="2619" t="s">
        <v>3479</v>
      </c>
      <c r="E55" s="4587" t="s">
        <v>3480</v>
      </c>
      <c r="F55" s="4587"/>
      <c r="G55" s="4587"/>
      <c r="H55" s="4587"/>
    </row>
    <row r="56" spans="1:11" ht="12.75" customHeight="1">
      <c r="C56" s="1075"/>
      <c r="D56" s="1074" t="s">
        <v>2822</v>
      </c>
      <c r="E56" s="4588" t="s">
        <v>3481</v>
      </c>
      <c r="F56" s="4588"/>
      <c r="G56" s="4588"/>
      <c r="H56" s="4588"/>
    </row>
    <row r="57" spans="1:11" ht="3" customHeight="1">
      <c r="D57" s="482"/>
      <c r="E57" s="2624"/>
      <c r="F57" s="2624"/>
      <c r="G57" s="2624"/>
      <c r="H57" s="2624"/>
    </row>
    <row r="58" spans="1:11" ht="12.75" customHeight="1">
      <c r="C58" s="460" t="s">
        <v>3476</v>
      </c>
      <c r="D58" s="482" t="s">
        <v>212</v>
      </c>
      <c r="E58" s="483"/>
      <c r="F58" s="479" t="s">
        <v>3477</v>
      </c>
      <c r="G58" s="479"/>
      <c r="H58" s="479"/>
    </row>
    <row r="59" spans="1:11" ht="12.75" customHeight="1">
      <c r="C59" s="484" t="s">
        <v>338</v>
      </c>
      <c r="D59" s="482" t="s">
        <v>220</v>
      </c>
      <c r="E59" s="4587" t="s">
        <v>3478</v>
      </c>
      <c r="F59" s="4587"/>
      <c r="G59" s="4587"/>
      <c r="H59" s="4587"/>
    </row>
    <row r="60" spans="1:11" ht="12.75" customHeight="1">
      <c r="C60" s="2619" t="s">
        <v>3479</v>
      </c>
      <c r="E60" s="4587" t="s">
        <v>3480</v>
      </c>
      <c r="F60" s="4587"/>
      <c r="G60" s="4587"/>
      <c r="H60" s="4587"/>
    </row>
    <row r="61" spans="1:11" ht="12.75" customHeight="1">
      <c r="C61" s="1075"/>
      <c r="D61" s="1074" t="s">
        <v>2822</v>
      </c>
      <c r="E61" s="4588" t="s">
        <v>3481</v>
      </c>
      <c r="F61" s="4588"/>
      <c r="G61" s="4588"/>
      <c r="H61" s="4588"/>
    </row>
    <row r="62" spans="1:11" ht="6" customHeight="1">
      <c r="D62" s="482"/>
      <c r="E62" s="2624"/>
      <c r="F62" s="2624"/>
      <c r="G62" s="2624"/>
      <c r="H62" s="2624"/>
    </row>
    <row r="63" spans="1:11">
      <c r="A63" s="463" t="s">
        <v>3473</v>
      </c>
      <c r="B63" s="480" t="str">
        <f>IF('Part V-Revenues &amp; Expenses'!$M$62=0,"",'Part V-Revenues &amp; Expenses'!$M$62)</f>
        <v/>
      </c>
      <c r="C63" s="463" t="s">
        <v>3484</v>
      </c>
      <c r="D63" s="481" t="s">
        <v>3485</v>
      </c>
    </row>
    <row r="64" spans="1:11" ht="1.9" customHeight="1"/>
    <row r="65" spans="1:8" ht="12.75" customHeight="1">
      <c r="C65" s="460" t="s">
        <v>3476</v>
      </c>
      <c r="D65" s="482" t="s">
        <v>212</v>
      </c>
      <c r="E65" s="483"/>
      <c r="F65" s="479" t="s">
        <v>3477</v>
      </c>
      <c r="G65" s="479"/>
      <c r="H65" s="479"/>
    </row>
    <row r="66" spans="1:8" ht="12.75" customHeight="1">
      <c r="C66" s="484" t="s">
        <v>338</v>
      </c>
      <c r="D66" s="482" t="s">
        <v>220</v>
      </c>
      <c r="E66" s="4587" t="s">
        <v>3478</v>
      </c>
      <c r="F66" s="4587"/>
      <c r="G66" s="4587"/>
      <c r="H66" s="4587"/>
    </row>
    <row r="67" spans="1:8" ht="12.75" customHeight="1">
      <c r="C67" s="2619" t="s">
        <v>3479</v>
      </c>
      <c r="E67" s="4587" t="s">
        <v>3480</v>
      </c>
      <c r="F67" s="4587"/>
      <c r="G67" s="4587"/>
      <c r="H67" s="4587"/>
    </row>
    <row r="68" spans="1:8" ht="12.75" customHeight="1">
      <c r="C68" s="1075"/>
      <c r="D68" s="485" t="s">
        <v>2822</v>
      </c>
      <c r="E68" s="4587" t="s">
        <v>3481</v>
      </c>
      <c r="F68" s="4587"/>
      <c r="G68" s="4587"/>
      <c r="H68" s="4587"/>
    </row>
    <row r="69" spans="1:8" ht="3" customHeight="1">
      <c r="D69" s="482"/>
      <c r="E69" s="2624"/>
      <c r="F69" s="2624"/>
      <c r="G69" s="2624"/>
      <c r="H69" s="2624"/>
    </row>
    <row r="70" spans="1:8" ht="12.75" customHeight="1">
      <c r="C70" s="460" t="s">
        <v>3476</v>
      </c>
      <c r="D70" s="482" t="s">
        <v>212</v>
      </c>
      <c r="E70" s="483"/>
      <c r="F70" s="479" t="s">
        <v>3477</v>
      </c>
      <c r="G70" s="479"/>
      <c r="H70" s="479"/>
    </row>
    <row r="71" spans="1:8" ht="12.75" customHeight="1">
      <c r="C71" s="484" t="s">
        <v>338</v>
      </c>
      <c r="D71" s="482" t="s">
        <v>220</v>
      </c>
      <c r="E71" s="4587" t="s">
        <v>3478</v>
      </c>
      <c r="F71" s="4587"/>
      <c r="G71" s="4587"/>
      <c r="H71" s="4587"/>
    </row>
    <row r="72" spans="1:8" ht="12.75" customHeight="1">
      <c r="C72" s="2619" t="s">
        <v>3479</v>
      </c>
      <c r="E72" s="4587" t="s">
        <v>3480</v>
      </c>
      <c r="F72" s="4587"/>
      <c r="G72" s="4587"/>
      <c r="H72" s="4587"/>
    </row>
    <row r="73" spans="1:8" ht="12.75" customHeight="1">
      <c r="C73" s="1075"/>
      <c r="D73" s="1074" t="s">
        <v>2822</v>
      </c>
      <c r="E73" s="4588" t="s">
        <v>3481</v>
      </c>
      <c r="F73" s="4588"/>
      <c r="G73" s="4588"/>
      <c r="H73" s="4588"/>
    </row>
    <row r="74" spans="1:8" ht="3" customHeight="1">
      <c r="D74" s="482"/>
      <c r="E74" s="2624"/>
      <c r="F74" s="2624"/>
      <c r="G74" s="2624"/>
      <c r="H74" s="2624"/>
    </row>
    <row r="75" spans="1:8" ht="12.75" customHeight="1">
      <c r="C75" s="460" t="s">
        <v>3476</v>
      </c>
      <c r="D75" s="482" t="s">
        <v>212</v>
      </c>
      <c r="E75" s="483"/>
      <c r="F75" s="479" t="s">
        <v>3477</v>
      </c>
      <c r="G75" s="479"/>
      <c r="H75" s="479"/>
    </row>
    <row r="76" spans="1:8" ht="12.75" customHeight="1">
      <c r="C76" s="484" t="s">
        <v>338</v>
      </c>
      <c r="D76" s="482" t="s">
        <v>220</v>
      </c>
      <c r="E76" s="4587" t="s">
        <v>3478</v>
      </c>
      <c r="F76" s="4587"/>
      <c r="G76" s="4587"/>
      <c r="H76" s="4587"/>
    </row>
    <row r="77" spans="1:8" ht="12.75" customHeight="1">
      <c r="C77" s="2619" t="s">
        <v>3479</v>
      </c>
      <c r="E77" s="4587" t="s">
        <v>3480</v>
      </c>
      <c r="F77" s="4587"/>
      <c r="G77" s="4587"/>
      <c r="H77" s="4587"/>
    </row>
    <row r="78" spans="1:8" ht="12.75" customHeight="1">
      <c r="C78" s="1075"/>
      <c r="D78" s="1074" t="s">
        <v>2822</v>
      </c>
      <c r="E78" s="4588" t="s">
        <v>3481</v>
      </c>
      <c r="F78" s="4588"/>
      <c r="G78" s="4588"/>
      <c r="H78" s="4588"/>
    </row>
    <row r="79" spans="1:8" ht="6" customHeight="1">
      <c r="D79" s="482"/>
      <c r="E79" s="2624"/>
      <c r="F79" s="2624"/>
      <c r="G79" s="2624"/>
      <c r="H79" s="2624"/>
    </row>
    <row r="80" spans="1:8">
      <c r="A80" s="463" t="s">
        <v>3473</v>
      </c>
      <c r="B80" s="480" t="str">
        <f>IF('Part V-Revenues &amp; Expenses'!$N$62=0,"",'Part V-Revenues &amp; Expenses'!$N$62)</f>
        <v/>
      </c>
      <c r="C80" s="463" t="s">
        <v>3486</v>
      </c>
      <c r="D80" s="481" t="s">
        <v>3487</v>
      </c>
    </row>
    <row r="81" spans="3:8" ht="1.9" customHeight="1"/>
    <row r="82" spans="3:8" ht="12.75" customHeight="1">
      <c r="C82" s="460" t="s">
        <v>3476</v>
      </c>
      <c r="D82" s="482" t="s">
        <v>212</v>
      </c>
      <c r="E82" s="483"/>
      <c r="F82" s="479" t="s">
        <v>3477</v>
      </c>
      <c r="G82" s="479"/>
      <c r="H82" s="479"/>
    </row>
    <row r="83" spans="3:8" ht="12.75" customHeight="1">
      <c r="C83" s="484" t="s">
        <v>338</v>
      </c>
      <c r="D83" s="482" t="s">
        <v>220</v>
      </c>
      <c r="E83" s="4587" t="s">
        <v>3478</v>
      </c>
      <c r="F83" s="4587"/>
      <c r="G83" s="4587"/>
      <c r="H83" s="4587"/>
    </row>
    <row r="84" spans="3:8" ht="12.75" customHeight="1">
      <c r="C84" s="2619" t="s">
        <v>3479</v>
      </c>
      <c r="E84" s="4587" t="s">
        <v>3480</v>
      </c>
      <c r="F84" s="4587"/>
      <c r="G84" s="4587"/>
      <c r="H84" s="4587"/>
    </row>
    <row r="85" spans="3:8" ht="12.75" customHeight="1">
      <c r="C85" s="1075"/>
      <c r="D85" s="485" t="s">
        <v>2822</v>
      </c>
      <c r="E85" s="4587" t="s">
        <v>3481</v>
      </c>
      <c r="F85" s="4587"/>
      <c r="G85" s="4587"/>
      <c r="H85" s="4587"/>
    </row>
    <row r="86" spans="3:8" ht="3" customHeight="1">
      <c r="D86" s="482"/>
      <c r="E86" s="2624"/>
      <c r="F86" s="2624"/>
      <c r="G86" s="2624"/>
      <c r="H86" s="2624"/>
    </row>
    <row r="87" spans="3:8" ht="12.75" customHeight="1">
      <c r="C87" s="460" t="s">
        <v>3476</v>
      </c>
      <c r="D87" s="482" t="s">
        <v>212</v>
      </c>
      <c r="E87" s="483"/>
      <c r="F87" s="479" t="s">
        <v>3477</v>
      </c>
      <c r="G87" s="479"/>
      <c r="H87" s="479"/>
    </row>
    <row r="88" spans="3:8" ht="12.75" customHeight="1">
      <c r="C88" s="484" t="s">
        <v>338</v>
      </c>
      <c r="D88" s="482" t="s">
        <v>220</v>
      </c>
      <c r="E88" s="4587" t="s">
        <v>3478</v>
      </c>
      <c r="F88" s="4587"/>
      <c r="G88" s="4587"/>
      <c r="H88" s="4587"/>
    </row>
    <row r="89" spans="3:8" ht="12.75" customHeight="1">
      <c r="C89" s="2619" t="s">
        <v>3479</v>
      </c>
      <c r="E89" s="4587" t="s">
        <v>3480</v>
      </c>
      <c r="F89" s="4587"/>
      <c r="G89" s="4587"/>
      <c r="H89" s="4587"/>
    </row>
    <row r="90" spans="3:8" ht="12.75" customHeight="1">
      <c r="C90" s="1075"/>
      <c r="D90" s="1074" t="s">
        <v>2822</v>
      </c>
      <c r="E90" s="4588" t="s">
        <v>3481</v>
      </c>
      <c r="F90" s="4588"/>
      <c r="G90" s="4588"/>
      <c r="H90" s="4588"/>
    </row>
    <row r="91" spans="3:8" ht="3" customHeight="1">
      <c r="D91" s="482"/>
      <c r="E91" s="2624"/>
      <c r="F91" s="2624"/>
      <c r="G91" s="2624"/>
      <c r="H91" s="2624"/>
    </row>
    <row r="92" spans="3:8" ht="12.75" customHeight="1">
      <c r="C92" s="460" t="s">
        <v>3476</v>
      </c>
      <c r="D92" s="482" t="s">
        <v>212</v>
      </c>
      <c r="E92" s="483"/>
      <c r="F92" s="479" t="s">
        <v>3477</v>
      </c>
      <c r="G92" s="479"/>
      <c r="H92" s="479"/>
    </row>
    <row r="93" spans="3:8" ht="12.75" customHeight="1">
      <c r="C93" s="484" t="s">
        <v>338</v>
      </c>
      <c r="D93" s="482" t="s">
        <v>220</v>
      </c>
      <c r="E93" s="4587" t="s">
        <v>3478</v>
      </c>
      <c r="F93" s="4587"/>
      <c r="G93" s="4587"/>
      <c r="H93" s="4587"/>
    </row>
    <row r="94" spans="3:8" ht="12.75" customHeight="1">
      <c r="C94" s="2619" t="s">
        <v>3479</v>
      </c>
      <c r="E94" s="4587" t="s">
        <v>3480</v>
      </c>
      <c r="F94" s="4587"/>
      <c r="G94" s="4587"/>
      <c r="H94" s="4587"/>
    </row>
    <row r="95" spans="3:8" ht="12.75" customHeight="1">
      <c r="C95" s="1075"/>
      <c r="D95" s="1074" t="s">
        <v>2822</v>
      </c>
      <c r="E95" s="4588" t="s">
        <v>3481</v>
      </c>
      <c r="F95" s="4588"/>
      <c r="G95" s="4588"/>
      <c r="H95" s="4588"/>
    </row>
    <row r="96" spans="3:8" ht="6" customHeight="1">
      <c r="D96" s="482"/>
      <c r="E96" s="2624"/>
      <c r="F96" s="2624"/>
      <c r="G96" s="2624"/>
      <c r="H96" s="2624"/>
    </row>
    <row r="97" spans="1:11">
      <c r="A97" s="463" t="s">
        <v>3473</v>
      </c>
      <c r="B97" s="480" t="str">
        <f>IF('Part V-Revenues &amp; Expenses'!$O$62=0,"",'Part V-Revenues &amp; Expenses'!$O$62)</f>
        <v/>
      </c>
      <c r="C97" s="463" t="s">
        <v>3488</v>
      </c>
      <c r="D97" s="481" t="s">
        <v>3489</v>
      </c>
    </row>
    <row r="98" spans="1:11" ht="1.9" customHeight="1"/>
    <row r="99" spans="1:11" ht="12.75" customHeight="1">
      <c r="C99" s="460" t="s">
        <v>3476</v>
      </c>
      <c r="D99" s="482" t="s">
        <v>212</v>
      </c>
      <c r="E99" s="483"/>
      <c r="F99" s="4587" t="s">
        <v>3477</v>
      </c>
      <c r="G99" s="4587"/>
      <c r="H99" s="4587"/>
      <c r="K99" s="314" t="s">
        <v>3017</v>
      </c>
    </row>
    <row r="100" spans="1:11" ht="12.75" customHeight="1">
      <c r="C100" s="484" t="s">
        <v>338</v>
      </c>
      <c r="D100" s="482" t="s">
        <v>220</v>
      </c>
      <c r="E100" s="4587" t="s">
        <v>3490</v>
      </c>
      <c r="F100" s="4587"/>
      <c r="G100" s="4587"/>
      <c r="H100" s="4587"/>
    </row>
    <row r="101" spans="1:11" ht="12.75" customHeight="1">
      <c r="E101" s="4587" t="s">
        <v>3480</v>
      </c>
      <c r="F101" s="4587"/>
      <c r="G101" s="4587"/>
      <c r="H101" s="4587"/>
    </row>
    <row r="102" spans="1:11" ht="12.75" customHeight="1">
      <c r="D102" s="485" t="s">
        <v>2822</v>
      </c>
      <c r="E102" s="4587" t="s">
        <v>3481</v>
      </c>
      <c r="F102" s="4587"/>
      <c r="G102" s="4587"/>
      <c r="H102" s="4587"/>
    </row>
    <row r="103" spans="1:11" ht="9" customHeight="1" thickBot="1"/>
    <row r="104" spans="1:11" ht="16.149999999999999" customHeight="1" thickBot="1">
      <c r="A104" s="4594">
        <v>30</v>
      </c>
      <c r="B104" s="4595"/>
      <c r="C104" s="1076" t="s">
        <v>1207</v>
      </c>
    </row>
    <row r="105" spans="1:11" ht="9" customHeight="1">
      <c r="A105" s="456"/>
    </row>
    <row r="106" spans="1:11" ht="28.15" customHeight="1">
      <c r="A106" s="4587" t="s">
        <v>3491</v>
      </c>
      <c r="B106" s="4587"/>
      <c r="C106" s="4587"/>
      <c r="D106" s="4587"/>
      <c r="E106" s="4587"/>
      <c r="F106" s="4587"/>
      <c r="G106" s="4587"/>
      <c r="H106" s="4587"/>
    </row>
    <row r="107" spans="1:11" ht="9" customHeight="1">
      <c r="A107" s="456"/>
    </row>
    <row r="108" spans="1:11">
      <c r="A108" s="463" t="s">
        <v>3473</v>
      </c>
      <c r="B108" s="480" t="str">
        <f>IF('Part V-Revenues &amp; Expenses'!$K$61=0,"",'Part V-Revenues &amp; Expenses'!$K$61)</f>
        <v/>
      </c>
      <c r="C108" s="463" t="s">
        <v>3474</v>
      </c>
      <c r="D108" s="481" t="s">
        <v>3475</v>
      </c>
    </row>
    <row r="109" spans="1:11" ht="1.9" customHeight="1"/>
    <row r="110" spans="1:11" ht="12.75" customHeight="1">
      <c r="C110" s="460" t="s">
        <v>3476</v>
      </c>
      <c r="D110" s="482" t="s">
        <v>212</v>
      </c>
      <c r="E110" s="483"/>
      <c r="F110" s="4587" t="s">
        <v>3477</v>
      </c>
      <c r="G110" s="4587"/>
      <c r="H110" s="4587"/>
    </row>
    <row r="111" spans="1:11" ht="12.75" customHeight="1">
      <c r="C111" s="484" t="s">
        <v>338</v>
      </c>
      <c r="D111" s="482" t="s">
        <v>220</v>
      </c>
      <c r="E111" s="4587" t="s">
        <v>3478</v>
      </c>
      <c r="F111" s="4587"/>
      <c r="G111" s="4587"/>
      <c r="H111" s="4587"/>
    </row>
    <row r="112" spans="1:11" ht="12.75" customHeight="1">
      <c r="C112" s="2619" t="s">
        <v>3479</v>
      </c>
      <c r="E112" s="4587" t="s">
        <v>3480</v>
      </c>
      <c r="F112" s="4587"/>
      <c r="G112" s="4587"/>
      <c r="H112" s="4587"/>
    </row>
    <row r="113" spans="1:8" ht="12.75" customHeight="1">
      <c r="C113" s="1075"/>
      <c r="D113" s="1074" t="s">
        <v>2822</v>
      </c>
      <c r="E113" s="4588" t="s">
        <v>3481</v>
      </c>
      <c r="F113" s="4588"/>
      <c r="G113" s="4588"/>
      <c r="H113" s="4588"/>
    </row>
    <row r="114" spans="1:8" ht="3" customHeight="1">
      <c r="D114" s="482"/>
      <c r="E114" s="2624"/>
      <c r="F114" s="2624"/>
      <c r="G114" s="2624"/>
      <c r="H114" s="2624"/>
    </row>
    <row r="115" spans="1:8" ht="12.75" customHeight="1">
      <c r="C115" s="460" t="s">
        <v>3476</v>
      </c>
      <c r="D115" s="482" t="s">
        <v>212</v>
      </c>
      <c r="E115" s="483"/>
      <c r="F115" s="479" t="s">
        <v>3477</v>
      </c>
      <c r="G115" s="479"/>
      <c r="H115" s="479"/>
    </row>
    <row r="116" spans="1:8" ht="12.75" customHeight="1">
      <c r="C116" s="484" t="s">
        <v>338</v>
      </c>
      <c r="D116" s="482" t="s">
        <v>220</v>
      </c>
      <c r="E116" s="4587" t="s">
        <v>3478</v>
      </c>
      <c r="F116" s="4587"/>
      <c r="G116" s="4587"/>
      <c r="H116" s="4587"/>
    </row>
    <row r="117" spans="1:8" ht="12.75" customHeight="1">
      <c r="C117" s="2619" t="s">
        <v>3479</v>
      </c>
      <c r="E117" s="4587" t="s">
        <v>3480</v>
      </c>
      <c r="F117" s="4587"/>
      <c r="G117" s="4587"/>
      <c r="H117" s="4587"/>
    </row>
    <row r="118" spans="1:8" ht="12.75" customHeight="1">
      <c r="C118" s="1075"/>
      <c r="D118" s="1074" t="s">
        <v>2822</v>
      </c>
      <c r="E118" s="4588" t="s">
        <v>3481</v>
      </c>
      <c r="F118" s="4588"/>
      <c r="G118" s="4588"/>
      <c r="H118" s="4588"/>
    </row>
    <row r="119" spans="1:8" ht="3" customHeight="1">
      <c r="D119" s="482"/>
      <c r="E119" s="2624"/>
      <c r="F119" s="2624"/>
      <c r="G119" s="2624"/>
      <c r="H119" s="2624"/>
    </row>
    <row r="120" spans="1:8" ht="12.75" customHeight="1">
      <c r="C120" s="460" t="s">
        <v>3476</v>
      </c>
      <c r="D120" s="482" t="s">
        <v>212</v>
      </c>
      <c r="E120" s="483"/>
      <c r="F120" s="479" t="s">
        <v>3477</v>
      </c>
      <c r="G120" s="479"/>
      <c r="H120" s="479"/>
    </row>
    <row r="121" spans="1:8" ht="12.75" customHeight="1">
      <c r="C121" s="484" t="s">
        <v>338</v>
      </c>
      <c r="D121" s="482" t="s">
        <v>220</v>
      </c>
      <c r="E121" s="4587" t="s">
        <v>3478</v>
      </c>
      <c r="F121" s="4587"/>
      <c r="G121" s="4587"/>
      <c r="H121" s="4587"/>
    </row>
    <row r="122" spans="1:8" ht="12.75" customHeight="1">
      <c r="C122" s="2619" t="s">
        <v>3479</v>
      </c>
      <c r="E122" s="4587" t="s">
        <v>3480</v>
      </c>
      <c r="F122" s="4587"/>
      <c r="G122" s="4587"/>
      <c r="H122" s="4587"/>
    </row>
    <row r="123" spans="1:8" ht="12.75" customHeight="1">
      <c r="C123" s="1075"/>
      <c r="D123" s="1074" t="s">
        <v>2822</v>
      </c>
      <c r="E123" s="4588" t="s">
        <v>3481</v>
      </c>
      <c r="F123" s="4588"/>
      <c r="G123" s="4588"/>
      <c r="H123" s="4588"/>
    </row>
    <row r="124" spans="1:8" ht="6" customHeight="1">
      <c r="D124" s="482"/>
      <c r="E124" s="2624"/>
      <c r="F124" s="2624"/>
      <c r="G124" s="2624"/>
      <c r="H124" s="2624"/>
    </row>
    <row r="125" spans="1:8">
      <c r="A125" s="463" t="s">
        <v>3473</v>
      </c>
      <c r="B125" s="480">
        <f>IF('Part V-Revenues &amp; Expenses'!$L$61=0,"",'Part V-Revenues &amp; Expenses'!$L$61)</f>
        <v>6</v>
      </c>
      <c r="C125" s="463" t="s">
        <v>3482</v>
      </c>
      <c r="D125" s="481" t="s">
        <v>3483</v>
      </c>
    </row>
    <row r="126" spans="1:8" ht="1.9" customHeight="1"/>
    <row r="127" spans="1:8" ht="12.75" customHeight="1">
      <c r="C127" s="460" t="s">
        <v>3476</v>
      </c>
      <c r="D127" s="482" t="s">
        <v>212</v>
      </c>
      <c r="E127" s="483"/>
      <c r="F127" s="479" t="s">
        <v>3477</v>
      </c>
      <c r="G127" s="479"/>
      <c r="H127" s="479"/>
    </row>
    <row r="128" spans="1:8" ht="12.75" customHeight="1">
      <c r="C128" s="484" t="s">
        <v>338</v>
      </c>
      <c r="D128" s="482" t="s">
        <v>220</v>
      </c>
      <c r="E128" s="4587" t="s">
        <v>3478</v>
      </c>
      <c r="F128" s="4587"/>
      <c r="G128" s="4587"/>
      <c r="H128" s="4587"/>
    </row>
    <row r="129" spans="1:8" ht="12.75" customHeight="1">
      <c r="C129" s="2619" t="s">
        <v>3479</v>
      </c>
      <c r="E129" s="4587" t="s">
        <v>3480</v>
      </c>
      <c r="F129" s="4587"/>
      <c r="G129" s="4587"/>
      <c r="H129" s="4587"/>
    </row>
    <row r="130" spans="1:8" ht="12.75" customHeight="1">
      <c r="C130" s="1075"/>
      <c r="D130" s="485" t="s">
        <v>2822</v>
      </c>
      <c r="E130" s="4587" t="s">
        <v>3481</v>
      </c>
      <c r="F130" s="4587"/>
      <c r="G130" s="4587"/>
      <c r="H130" s="4587"/>
    </row>
    <row r="131" spans="1:8" ht="3" customHeight="1">
      <c r="D131" s="482"/>
      <c r="E131" s="2624"/>
      <c r="F131" s="2624"/>
      <c r="G131" s="2624"/>
      <c r="H131" s="2624"/>
    </row>
    <row r="132" spans="1:8" ht="12.75" customHeight="1">
      <c r="C132" s="460" t="s">
        <v>3476</v>
      </c>
      <c r="D132" s="482" t="s">
        <v>212</v>
      </c>
      <c r="E132" s="483"/>
      <c r="F132" s="479" t="s">
        <v>3477</v>
      </c>
      <c r="G132" s="479"/>
      <c r="H132" s="479"/>
    </row>
    <row r="133" spans="1:8" ht="12.75" customHeight="1">
      <c r="C133" s="484" t="s">
        <v>338</v>
      </c>
      <c r="D133" s="482" t="s">
        <v>220</v>
      </c>
      <c r="E133" s="4587" t="s">
        <v>3478</v>
      </c>
      <c r="F133" s="4587"/>
      <c r="G133" s="4587"/>
      <c r="H133" s="4587"/>
    </row>
    <row r="134" spans="1:8" ht="12.75" customHeight="1">
      <c r="C134" s="2619" t="s">
        <v>3479</v>
      </c>
      <c r="E134" s="4587" t="s">
        <v>3480</v>
      </c>
      <c r="F134" s="4587"/>
      <c r="G134" s="4587"/>
      <c r="H134" s="4587"/>
    </row>
    <row r="135" spans="1:8" ht="12.75" customHeight="1">
      <c r="C135" s="1075"/>
      <c r="D135" s="1074" t="s">
        <v>2822</v>
      </c>
      <c r="E135" s="4588" t="s">
        <v>3481</v>
      </c>
      <c r="F135" s="4588"/>
      <c r="G135" s="4588"/>
      <c r="H135" s="4588"/>
    </row>
    <row r="136" spans="1:8" ht="3" customHeight="1">
      <c r="D136" s="482"/>
      <c r="E136" s="2624"/>
      <c r="F136" s="2624"/>
      <c r="G136" s="2624"/>
      <c r="H136" s="2624"/>
    </row>
    <row r="137" spans="1:8" ht="12.75" customHeight="1">
      <c r="C137" s="460" t="s">
        <v>3476</v>
      </c>
      <c r="D137" s="482" t="s">
        <v>212</v>
      </c>
      <c r="E137" s="483"/>
      <c r="F137" s="479" t="s">
        <v>3477</v>
      </c>
      <c r="G137" s="479"/>
      <c r="H137" s="479"/>
    </row>
    <row r="138" spans="1:8" ht="12.75" customHeight="1">
      <c r="C138" s="484" t="s">
        <v>338</v>
      </c>
      <c r="D138" s="482" t="s">
        <v>220</v>
      </c>
      <c r="E138" s="4587" t="s">
        <v>3478</v>
      </c>
      <c r="F138" s="4587"/>
      <c r="G138" s="4587"/>
      <c r="H138" s="4587"/>
    </row>
    <row r="139" spans="1:8" ht="12.75" customHeight="1">
      <c r="C139" s="2619" t="s">
        <v>3479</v>
      </c>
      <c r="E139" s="4587" t="s">
        <v>3480</v>
      </c>
      <c r="F139" s="4587"/>
      <c r="G139" s="4587"/>
      <c r="H139" s="4587"/>
    </row>
    <row r="140" spans="1:8" ht="12.75" customHeight="1">
      <c r="C140" s="1075"/>
      <c r="D140" s="1074" t="s">
        <v>2822</v>
      </c>
      <c r="E140" s="4588" t="s">
        <v>3481</v>
      </c>
      <c r="F140" s="4588"/>
      <c r="G140" s="4588"/>
      <c r="H140" s="4588"/>
    </row>
    <row r="141" spans="1:8" ht="6" customHeight="1">
      <c r="D141" s="482"/>
      <c r="E141" s="2624"/>
      <c r="F141" s="2624"/>
      <c r="G141" s="2624"/>
      <c r="H141" s="2624"/>
    </row>
    <row r="142" spans="1:8">
      <c r="A142" s="463" t="s">
        <v>3473</v>
      </c>
      <c r="B142" s="480" t="str">
        <f>IF('Part V-Revenues &amp; Expenses'!$M$61=0,"",'Part V-Revenues &amp; Expenses'!$M$61)</f>
        <v/>
      </c>
      <c r="C142" s="463" t="s">
        <v>3484</v>
      </c>
      <c r="D142" s="481" t="s">
        <v>3485</v>
      </c>
    </row>
    <row r="143" spans="1:8" ht="1.9" customHeight="1"/>
    <row r="144" spans="1:8" ht="12.75" customHeight="1">
      <c r="C144" s="460" t="s">
        <v>3476</v>
      </c>
      <c r="D144" s="482" t="s">
        <v>212</v>
      </c>
      <c r="E144" s="483"/>
      <c r="F144" s="479" t="s">
        <v>3477</v>
      </c>
      <c r="G144" s="479"/>
      <c r="H144" s="479"/>
    </row>
    <row r="145" spans="1:8" ht="12.75" customHeight="1">
      <c r="C145" s="484" t="s">
        <v>338</v>
      </c>
      <c r="D145" s="482" t="s">
        <v>220</v>
      </c>
      <c r="E145" s="4587" t="s">
        <v>3478</v>
      </c>
      <c r="F145" s="4587"/>
      <c r="G145" s="4587"/>
      <c r="H145" s="4587"/>
    </row>
    <row r="146" spans="1:8" ht="12.75" customHeight="1">
      <c r="C146" s="2619" t="s">
        <v>3479</v>
      </c>
      <c r="E146" s="4587" t="s">
        <v>3480</v>
      </c>
      <c r="F146" s="4587"/>
      <c r="G146" s="4587"/>
      <c r="H146" s="4587"/>
    </row>
    <row r="147" spans="1:8" ht="12.75" customHeight="1">
      <c r="C147" s="1075"/>
      <c r="D147" s="485" t="s">
        <v>2822</v>
      </c>
      <c r="E147" s="4587" t="s">
        <v>3481</v>
      </c>
      <c r="F147" s="4587"/>
      <c r="G147" s="4587"/>
      <c r="H147" s="4587"/>
    </row>
    <row r="148" spans="1:8" ht="3" customHeight="1">
      <c r="D148" s="482"/>
      <c r="E148" s="2624"/>
      <c r="F148" s="2624"/>
      <c r="G148" s="2624"/>
      <c r="H148" s="2624"/>
    </row>
    <row r="149" spans="1:8" ht="12.75" customHeight="1">
      <c r="C149" s="460" t="s">
        <v>3476</v>
      </c>
      <c r="D149" s="482" t="s">
        <v>212</v>
      </c>
      <c r="E149" s="483"/>
      <c r="F149" s="479" t="s">
        <v>3477</v>
      </c>
      <c r="G149" s="479"/>
      <c r="H149" s="479"/>
    </row>
    <row r="150" spans="1:8" ht="12.75" customHeight="1">
      <c r="C150" s="484" t="s">
        <v>338</v>
      </c>
      <c r="D150" s="482" t="s">
        <v>220</v>
      </c>
      <c r="E150" s="4587" t="s">
        <v>3478</v>
      </c>
      <c r="F150" s="4587"/>
      <c r="G150" s="4587"/>
      <c r="H150" s="4587"/>
    </row>
    <row r="151" spans="1:8" ht="12.75" customHeight="1">
      <c r="C151" s="2619" t="s">
        <v>3479</v>
      </c>
      <c r="E151" s="4587" t="s">
        <v>3480</v>
      </c>
      <c r="F151" s="4587"/>
      <c r="G151" s="4587"/>
      <c r="H151" s="4587"/>
    </row>
    <row r="152" spans="1:8" ht="12.75" customHeight="1">
      <c r="C152" s="1075"/>
      <c r="D152" s="1074" t="s">
        <v>2822</v>
      </c>
      <c r="E152" s="4588" t="s">
        <v>3481</v>
      </c>
      <c r="F152" s="4588"/>
      <c r="G152" s="4588"/>
      <c r="H152" s="4588"/>
    </row>
    <row r="153" spans="1:8" ht="3" customHeight="1">
      <c r="D153" s="482"/>
      <c r="E153" s="2624"/>
      <c r="F153" s="2624"/>
      <c r="G153" s="2624"/>
      <c r="H153" s="2624"/>
    </row>
    <row r="154" spans="1:8" ht="12.75" customHeight="1">
      <c r="C154" s="460" t="s">
        <v>3476</v>
      </c>
      <c r="D154" s="482" t="s">
        <v>212</v>
      </c>
      <c r="E154" s="483"/>
      <c r="F154" s="479" t="s">
        <v>3477</v>
      </c>
      <c r="G154" s="479"/>
      <c r="H154" s="479"/>
    </row>
    <row r="155" spans="1:8" ht="12.75" customHeight="1">
      <c r="C155" s="484" t="s">
        <v>338</v>
      </c>
      <c r="D155" s="482" t="s">
        <v>220</v>
      </c>
      <c r="E155" s="4587" t="s">
        <v>3478</v>
      </c>
      <c r="F155" s="4587"/>
      <c r="G155" s="4587"/>
      <c r="H155" s="4587"/>
    </row>
    <row r="156" spans="1:8" ht="12.75" customHeight="1">
      <c r="C156" s="2619" t="s">
        <v>3479</v>
      </c>
      <c r="E156" s="4587" t="s">
        <v>3480</v>
      </c>
      <c r="F156" s="4587"/>
      <c r="G156" s="4587"/>
      <c r="H156" s="4587"/>
    </row>
    <row r="157" spans="1:8" ht="12.75" customHeight="1">
      <c r="C157" s="1075"/>
      <c r="D157" s="1074" t="s">
        <v>2822</v>
      </c>
      <c r="E157" s="4588" t="s">
        <v>3481</v>
      </c>
      <c r="F157" s="4588"/>
      <c r="G157" s="4588"/>
      <c r="H157" s="4588"/>
    </row>
    <row r="158" spans="1:8" ht="6" customHeight="1">
      <c r="D158" s="482"/>
      <c r="E158" s="2624"/>
      <c r="F158" s="2624"/>
      <c r="G158" s="2624"/>
      <c r="H158" s="2624"/>
    </row>
    <row r="159" spans="1:8">
      <c r="A159" s="463" t="s">
        <v>3473</v>
      </c>
      <c r="B159" s="480" t="str">
        <f>IF('Part V-Revenues &amp; Expenses'!$N$61=0,"",'Part V-Revenues &amp; Expenses'!$N$61)</f>
        <v/>
      </c>
      <c r="C159" s="463" t="s">
        <v>3486</v>
      </c>
      <c r="D159" s="481" t="s">
        <v>3487</v>
      </c>
    </row>
    <row r="160" spans="1:8" ht="1.9" customHeight="1"/>
    <row r="161" spans="1:8" ht="12.75" customHeight="1">
      <c r="C161" s="460" t="s">
        <v>3476</v>
      </c>
      <c r="D161" s="482" t="s">
        <v>212</v>
      </c>
      <c r="E161" s="483"/>
      <c r="F161" s="479" t="s">
        <v>3477</v>
      </c>
      <c r="G161" s="479"/>
      <c r="H161" s="479"/>
    </row>
    <row r="162" spans="1:8" ht="12.75" customHeight="1">
      <c r="C162" s="484" t="s">
        <v>338</v>
      </c>
      <c r="D162" s="482" t="s">
        <v>220</v>
      </c>
      <c r="E162" s="4587" t="s">
        <v>3478</v>
      </c>
      <c r="F162" s="4587"/>
      <c r="G162" s="4587"/>
      <c r="H162" s="4587"/>
    </row>
    <row r="163" spans="1:8" ht="12.75" customHeight="1">
      <c r="C163" s="2619" t="s">
        <v>3479</v>
      </c>
      <c r="E163" s="4587" t="s">
        <v>3480</v>
      </c>
      <c r="F163" s="4587"/>
      <c r="G163" s="4587"/>
      <c r="H163" s="4587"/>
    </row>
    <row r="164" spans="1:8" ht="12.75" customHeight="1">
      <c r="C164" s="1075"/>
      <c r="D164" s="485" t="s">
        <v>2822</v>
      </c>
      <c r="E164" s="4587" t="s">
        <v>3481</v>
      </c>
      <c r="F164" s="4587"/>
      <c r="G164" s="4587"/>
      <c r="H164" s="4587"/>
    </row>
    <row r="165" spans="1:8" ht="3" customHeight="1">
      <c r="D165" s="482"/>
      <c r="E165" s="2624"/>
      <c r="F165" s="2624"/>
      <c r="G165" s="2624"/>
      <c r="H165" s="2624"/>
    </row>
    <row r="166" spans="1:8" ht="12.75" customHeight="1">
      <c r="C166" s="460" t="s">
        <v>3476</v>
      </c>
      <c r="D166" s="482" t="s">
        <v>212</v>
      </c>
      <c r="E166" s="483"/>
      <c r="F166" s="479" t="s">
        <v>3477</v>
      </c>
      <c r="G166" s="479"/>
      <c r="H166" s="479"/>
    </row>
    <row r="167" spans="1:8" ht="12.75" customHeight="1">
      <c r="C167" s="484" t="s">
        <v>338</v>
      </c>
      <c r="D167" s="482" t="s">
        <v>220</v>
      </c>
      <c r="E167" s="4587" t="s">
        <v>3478</v>
      </c>
      <c r="F167" s="4587"/>
      <c r="G167" s="4587"/>
      <c r="H167" s="4587"/>
    </row>
    <row r="168" spans="1:8" ht="12.75" customHeight="1">
      <c r="C168" s="2619" t="s">
        <v>3479</v>
      </c>
      <c r="E168" s="4587" t="s">
        <v>3480</v>
      </c>
      <c r="F168" s="4587"/>
      <c r="G168" s="4587"/>
      <c r="H168" s="4587"/>
    </row>
    <row r="169" spans="1:8" ht="12.75" customHeight="1">
      <c r="C169" s="1075"/>
      <c r="D169" s="1074" t="s">
        <v>2822</v>
      </c>
      <c r="E169" s="4588" t="s">
        <v>3481</v>
      </c>
      <c r="F169" s="4588"/>
      <c r="G169" s="4588"/>
      <c r="H169" s="4588"/>
    </row>
    <row r="170" spans="1:8" ht="3" customHeight="1">
      <c r="D170" s="482"/>
      <c r="E170" s="2624"/>
      <c r="F170" s="2624"/>
      <c r="G170" s="2624"/>
      <c r="H170" s="2624"/>
    </row>
    <row r="171" spans="1:8" ht="12.75" customHeight="1">
      <c r="C171" s="460" t="s">
        <v>3476</v>
      </c>
      <c r="D171" s="482" t="s">
        <v>212</v>
      </c>
      <c r="E171" s="483"/>
      <c r="F171" s="479" t="s">
        <v>3477</v>
      </c>
      <c r="G171" s="479"/>
      <c r="H171" s="479"/>
    </row>
    <row r="172" spans="1:8" ht="12.75" customHeight="1">
      <c r="C172" s="484" t="s">
        <v>338</v>
      </c>
      <c r="D172" s="482" t="s">
        <v>220</v>
      </c>
      <c r="E172" s="4587" t="s">
        <v>3478</v>
      </c>
      <c r="F172" s="4587"/>
      <c r="G172" s="4587"/>
      <c r="H172" s="4587"/>
    </row>
    <row r="173" spans="1:8" ht="12.75" customHeight="1">
      <c r="C173" s="2619" t="s">
        <v>3479</v>
      </c>
      <c r="E173" s="4587" t="s">
        <v>3480</v>
      </c>
      <c r="F173" s="4587"/>
      <c r="G173" s="4587"/>
      <c r="H173" s="4587"/>
    </row>
    <row r="174" spans="1:8" ht="12.75" customHeight="1">
      <c r="C174" s="1075"/>
      <c r="D174" s="1074" t="s">
        <v>2822</v>
      </c>
      <c r="E174" s="4588" t="s">
        <v>3481</v>
      </c>
      <c r="F174" s="4588"/>
      <c r="G174" s="4588"/>
      <c r="H174" s="4588"/>
    </row>
    <row r="175" spans="1:8" ht="6" customHeight="1">
      <c r="D175" s="482"/>
      <c r="E175" s="2624"/>
      <c r="F175" s="2624"/>
      <c r="G175" s="2624"/>
      <c r="H175" s="2624"/>
    </row>
    <row r="176" spans="1:8">
      <c r="A176" s="463" t="s">
        <v>3473</v>
      </c>
      <c r="B176" s="480" t="str">
        <f>IF('Part V-Revenues &amp; Expenses'!$O61=0,"",'Part V-Revenues &amp; Expenses'!$O$61)</f>
        <v/>
      </c>
      <c r="C176" s="463" t="s">
        <v>3488</v>
      </c>
      <c r="D176" s="481" t="s">
        <v>3489</v>
      </c>
    </row>
    <row r="177" spans="1:11" ht="1.9" customHeight="1"/>
    <row r="178" spans="1:11" ht="12.75" customHeight="1">
      <c r="C178" s="460" t="s">
        <v>3476</v>
      </c>
      <c r="D178" s="482" t="s">
        <v>212</v>
      </c>
      <c r="E178" s="483"/>
      <c r="F178" s="4587" t="s">
        <v>3477</v>
      </c>
      <c r="G178" s="4587"/>
      <c r="H178" s="4587"/>
      <c r="K178" s="314" t="s">
        <v>3017</v>
      </c>
    </row>
    <row r="179" spans="1:11" ht="12.75" customHeight="1">
      <c r="C179" s="484" t="s">
        <v>338</v>
      </c>
      <c r="D179" s="482" t="s">
        <v>220</v>
      </c>
      <c r="E179" s="4587" t="s">
        <v>3490</v>
      </c>
      <c r="F179" s="4587"/>
      <c r="G179" s="4587"/>
      <c r="H179" s="4587"/>
    </row>
    <row r="180" spans="1:11" ht="12.75" customHeight="1">
      <c r="E180" s="4587" t="s">
        <v>3480</v>
      </c>
      <c r="F180" s="4587"/>
      <c r="G180" s="4587"/>
      <c r="H180" s="4587"/>
    </row>
    <row r="181" spans="1:11" ht="12.75" customHeight="1">
      <c r="D181" s="485" t="s">
        <v>2822</v>
      </c>
      <c r="E181" s="4587" t="s">
        <v>3481</v>
      </c>
      <c r="F181" s="4587"/>
      <c r="G181" s="4587"/>
      <c r="H181" s="4587"/>
    </row>
    <row r="182" spans="1:11" ht="9" customHeight="1" thickBot="1"/>
    <row r="183" spans="1:11" ht="16.149999999999999" customHeight="1" thickBot="1">
      <c r="A183" s="4594">
        <v>40</v>
      </c>
      <c r="B183" s="4595"/>
      <c r="C183" s="1076" t="s">
        <v>1207</v>
      </c>
    </row>
    <row r="184" spans="1:11" ht="9" customHeight="1">
      <c r="A184" s="456"/>
    </row>
    <row r="185" spans="1:11" ht="28.15" customHeight="1">
      <c r="A185" s="4587" t="s">
        <v>3492</v>
      </c>
      <c r="B185" s="4587"/>
      <c r="C185" s="4587"/>
      <c r="D185" s="4587"/>
      <c r="E185" s="4587"/>
      <c r="F185" s="4587"/>
      <c r="G185" s="4587"/>
      <c r="H185" s="4587"/>
    </row>
    <row r="186" spans="1:11" ht="9" customHeight="1">
      <c r="A186" s="456"/>
    </row>
    <row r="187" spans="1:11">
      <c r="A187" s="463" t="s">
        <v>3473</v>
      </c>
      <c r="B187" s="480" t="str">
        <f>IF('Part V-Revenues &amp; Expenses'!$K$60=0,"",'Part V-Revenues &amp; Expenses'!$K$60)</f>
        <v/>
      </c>
      <c r="C187" s="463" t="s">
        <v>3474</v>
      </c>
      <c r="D187" s="481" t="s">
        <v>3475</v>
      </c>
    </row>
    <row r="188" spans="1:11" ht="1.9" customHeight="1"/>
    <row r="189" spans="1:11" ht="12.75" customHeight="1">
      <c r="C189" s="460" t="s">
        <v>3476</v>
      </c>
      <c r="D189" s="482" t="s">
        <v>212</v>
      </c>
      <c r="E189" s="483"/>
      <c r="F189" s="4587" t="s">
        <v>3477</v>
      </c>
      <c r="G189" s="4587"/>
      <c r="H189" s="4587"/>
    </row>
    <row r="190" spans="1:11" ht="12.75" customHeight="1">
      <c r="C190" s="484" t="s">
        <v>338</v>
      </c>
      <c r="D190" s="482" t="s">
        <v>220</v>
      </c>
      <c r="E190" s="4587" t="s">
        <v>3478</v>
      </c>
      <c r="F190" s="4587"/>
      <c r="G190" s="4587"/>
      <c r="H190" s="4587"/>
    </row>
    <row r="191" spans="1:11" ht="12.75" customHeight="1">
      <c r="C191" s="2619" t="s">
        <v>3479</v>
      </c>
      <c r="E191" s="4587" t="s">
        <v>3480</v>
      </c>
      <c r="F191" s="4587"/>
      <c r="G191" s="4587"/>
      <c r="H191" s="4587"/>
    </row>
    <row r="192" spans="1:11" ht="12.75" customHeight="1">
      <c r="C192" s="1075"/>
      <c r="D192" s="1074" t="s">
        <v>2822</v>
      </c>
      <c r="E192" s="4588" t="s">
        <v>3481</v>
      </c>
      <c r="F192" s="4588"/>
      <c r="G192" s="4588"/>
      <c r="H192" s="4588"/>
    </row>
    <row r="193" spans="1:8" ht="3" customHeight="1">
      <c r="D193" s="482"/>
      <c r="E193" s="2624"/>
      <c r="F193" s="2624"/>
      <c r="G193" s="2624"/>
      <c r="H193" s="2624"/>
    </row>
    <row r="194" spans="1:8" ht="12.75" customHeight="1">
      <c r="C194" s="460" t="s">
        <v>3476</v>
      </c>
      <c r="D194" s="482" t="s">
        <v>212</v>
      </c>
      <c r="E194" s="483"/>
      <c r="F194" s="479" t="s">
        <v>3477</v>
      </c>
      <c r="G194" s="479"/>
      <c r="H194" s="479"/>
    </row>
    <row r="195" spans="1:8" ht="12.75" customHeight="1">
      <c r="C195" s="484" t="s">
        <v>338</v>
      </c>
      <c r="D195" s="482" t="s">
        <v>220</v>
      </c>
      <c r="E195" s="4587" t="s">
        <v>3478</v>
      </c>
      <c r="F195" s="4587"/>
      <c r="G195" s="4587"/>
      <c r="H195" s="4587"/>
    </row>
    <row r="196" spans="1:8" ht="12.75" customHeight="1">
      <c r="C196" s="2619" t="s">
        <v>3479</v>
      </c>
      <c r="E196" s="4587" t="s">
        <v>3480</v>
      </c>
      <c r="F196" s="4587"/>
      <c r="G196" s="4587"/>
      <c r="H196" s="4587"/>
    </row>
    <row r="197" spans="1:8" ht="12.75" customHeight="1">
      <c r="C197" s="1075"/>
      <c r="D197" s="1074" t="s">
        <v>2822</v>
      </c>
      <c r="E197" s="4588" t="s">
        <v>3481</v>
      </c>
      <c r="F197" s="4588"/>
      <c r="G197" s="4588"/>
      <c r="H197" s="4588"/>
    </row>
    <row r="198" spans="1:8" ht="3" customHeight="1">
      <c r="D198" s="482"/>
      <c r="E198" s="2624"/>
      <c r="F198" s="2624"/>
      <c r="G198" s="2624"/>
      <c r="H198" s="2624"/>
    </row>
    <row r="199" spans="1:8" ht="12.75" customHeight="1">
      <c r="C199" s="460" t="s">
        <v>3476</v>
      </c>
      <c r="D199" s="482" t="s">
        <v>212</v>
      </c>
      <c r="E199" s="483"/>
      <c r="F199" s="479" t="s">
        <v>3477</v>
      </c>
      <c r="G199" s="479"/>
      <c r="H199" s="479"/>
    </row>
    <row r="200" spans="1:8" ht="12.75" customHeight="1">
      <c r="C200" s="484" t="s">
        <v>338</v>
      </c>
      <c r="D200" s="482" t="s">
        <v>220</v>
      </c>
      <c r="E200" s="4587" t="s">
        <v>3478</v>
      </c>
      <c r="F200" s="4587"/>
      <c r="G200" s="4587"/>
      <c r="H200" s="4587"/>
    </row>
    <row r="201" spans="1:8" ht="12.75" customHeight="1">
      <c r="C201" s="2619" t="s">
        <v>3479</v>
      </c>
      <c r="E201" s="4587" t="s">
        <v>3480</v>
      </c>
      <c r="F201" s="4587"/>
      <c r="G201" s="4587"/>
      <c r="H201" s="4587"/>
    </row>
    <row r="202" spans="1:8" ht="12.75" customHeight="1">
      <c r="C202" s="1075"/>
      <c r="D202" s="1074" t="s">
        <v>2822</v>
      </c>
      <c r="E202" s="4588" t="s">
        <v>3481</v>
      </c>
      <c r="F202" s="4588"/>
      <c r="G202" s="4588"/>
      <c r="H202" s="4588"/>
    </row>
    <row r="203" spans="1:8" ht="6" customHeight="1">
      <c r="D203" s="482"/>
      <c r="E203" s="2624"/>
      <c r="F203" s="2624"/>
      <c r="G203" s="2624"/>
      <c r="H203" s="2624"/>
    </row>
    <row r="204" spans="1:8">
      <c r="A204" s="463" t="s">
        <v>3473</v>
      </c>
      <c r="B204" s="480" t="str">
        <f>IF('Part V-Revenues &amp; Expenses'!$L$60=0,"",'Part V-Revenues &amp; Expenses'!$L$60)</f>
        <v/>
      </c>
      <c r="C204" s="463" t="s">
        <v>3482</v>
      </c>
      <c r="D204" s="481" t="s">
        <v>3483</v>
      </c>
    </row>
    <row r="205" spans="1:8" ht="1.9" customHeight="1"/>
    <row r="206" spans="1:8" ht="12.75" customHeight="1">
      <c r="C206" s="460" t="s">
        <v>3476</v>
      </c>
      <c r="D206" s="482" t="s">
        <v>212</v>
      </c>
      <c r="E206" s="483"/>
      <c r="F206" s="479" t="s">
        <v>3477</v>
      </c>
      <c r="G206" s="479"/>
      <c r="H206" s="479"/>
    </row>
    <row r="207" spans="1:8" ht="12.75" customHeight="1">
      <c r="C207" s="484" t="s">
        <v>338</v>
      </c>
      <c r="D207" s="482" t="s">
        <v>220</v>
      </c>
      <c r="E207" s="4587" t="s">
        <v>3478</v>
      </c>
      <c r="F207" s="4587"/>
      <c r="G207" s="4587"/>
      <c r="H207" s="4587"/>
    </row>
    <row r="208" spans="1:8" ht="12.75" customHeight="1">
      <c r="C208" s="2619" t="s">
        <v>3479</v>
      </c>
      <c r="E208" s="4587" t="s">
        <v>3480</v>
      </c>
      <c r="F208" s="4587"/>
      <c r="G208" s="4587"/>
      <c r="H208" s="4587"/>
    </row>
    <row r="209" spans="1:8" ht="12.75" customHeight="1">
      <c r="C209" s="1075"/>
      <c r="D209" s="485" t="s">
        <v>2822</v>
      </c>
      <c r="E209" s="4587" t="s">
        <v>3481</v>
      </c>
      <c r="F209" s="4587"/>
      <c r="G209" s="4587"/>
      <c r="H209" s="4587"/>
    </row>
    <row r="210" spans="1:8" ht="3" customHeight="1">
      <c r="D210" s="482"/>
      <c r="E210" s="2624"/>
      <c r="F210" s="2624"/>
      <c r="G210" s="2624"/>
      <c r="H210" s="2624"/>
    </row>
    <row r="211" spans="1:8" ht="12.75" customHeight="1">
      <c r="C211" s="460" t="s">
        <v>3476</v>
      </c>
      <c r="D211" s="482" t="s">
        <v>212</v>
      </c>
      <c r="E211" s="483"/>
      <c r="F211" s="479" t="s">
        <v>3477</v>
      </c>
      <c r="G211" s="479"/>
      <c r="H211" s="479"/>
    </row>
    <row r="212" spans="1:8" ht="12.75" customHeight="1">
      <c r="C212" s="484" t="s">
        <v>338</v>
      </c>
      <c r="D212" s="482" t="s">
        <v>220</v>
      </c>
      <c r="E212" s="4587" t="s">
        <v>3478</v>
      </c>
      <c r="F212" s="4587"/>
      <c r="G212" s="4587"/>
      <c r="H212" s="4587"/>
    </row>
    <row r="213" spans="1:8" ht="12.75" customHeight="1">
      <c r="C213" s="2619" t="s">
        <v>3479</v>
      </c>
      <c r="E213" s="4587" t="s">
        <v>3480</v>
      </c>
      <c r="F213" s="4587"/>
      <c r="G213" s="4587"/>
      <c r="H213" s="4587"/>
    </row>
    <row r="214" spans="1:8" ht="12.75" customHeight="1">
      <c r="C214" s="1075"/>
      <c r="D214" s="1074" t="s">
        <v>2822</v>
      </c>
      <c r="E214" s="4588" t="s">
        <v>3481</v>
      </c>
      <c r="F214" s="4588"/>
      <c r="G214" s="4588"/>
      <c r="H214" s="4588"/>
    </row>
    <row r="215" spans="1:8" ht="3" customHeight="1">
      <c r="D215" s="482"/>
      <c r="E215" s="2624"/>
      <c r="F215" s="2624"/>
      <c r="G215" s="2624"/>
      <c r="H215" s="2624"/>
    </row>
    <row r="216" spans="1:8" ht="12.75" customHeight="1">
      <c r="C216" s="460" t="s">
        <v>3476</v>
      </c>
      <c r="D216" s="482" t="s">
        <v>212</v>
      </c>
      <c r="E216" s="483"/>
      <c r="F216" s="479" t="s">
        <v>3477</v>
      </c>
      <c r="G216" s="479"/>
      <c r="H216" s="479"/>
    </row>
    <row r="217" spans="1:8" ht="12.75" customHeight="1">
      <c r="C217" s="484" t="s">
        <v>338</v>
      </c>
      <c r="D217" s="482" t="s">
        <v>220</v>
      </c>
      <c r="E217" s="4587" t="s">
        <v>3478</v>
      </c>
      <c r="F217" s="4587"/>
      <c r="G217" s="4587"/>
      <c r="H217" s="4587"/>
    </row>
    <row r="218" spans="1:8" ht="12.75" customHeight="1">
      <c r="C218" s="2619" t="s">
        <v>3479</v>
      </c>
      <c r="E218" s="4587" t="s">
        <v>3480</v>
      </c>
      <c r="F218" s="4587"/>
      <c r="G218" s="4587"/>
      <c r="H218" s="4587"/>
    </row>
    <row r="219" spans="1:8" ht="12.75" customHeight="1">
      <c r="C219" s="1075"/>
      <c r="D219" s="1074" t="s">
        <v>2822</v>
      </c>
      <c r="E219" s="4588" t="s">
        <v>3481</v>
      </c>
      <c r="F219" s="4588"/>
      <c r="G219" s="4588"/>
      <c r="H219" s="4588"/>
    </row>
    <row r="220" spans="1:8" ht="6" customHeight="1">
      <c r="D220" s="482"/>
      <c r="E220" s="2624"/>
      <c r="F220" s="2624"/>
      <c r="G220" s="2624"/>
      <c r="H220" s="2624"/>
    </row>
    <row r="221" spans="1:8">
      <c r="A221" s="463" t="s">
        <v>3473</v>
      </c>
      <c r="B221" s="480" t="str">
        <f>IF('Part V-Revenues &amp; Expenses'!$M$60=0,"",'Part V-Revenues &amp; Expenses'!$M$60)</f>
        <v/>
      </c>
      <c r="C221" s="463" t="s">
        <v>3484</v>
      </c>
      <c r="D221" s="481" t="s">
        <v>3485</v>
      </c>
    </row>
    <row r="222" spans="1:8" ht="1.9" customHeight="1"/>
    <row r="223" spans="1:8" ht="12.75" customHeight="1">
      <c r="C223" s="460" t="s">
        <v>3476</v>
      </c>
      <c r="D223" s="482" t="s">
        <v>212</v>
      </c>
      <c r="E223" s="483"/>
      <c r="F223" s="479" t="s">
        <v>3477</v>
      </c>
      <c r="G223" s="479"/>
      <c r="H223" s="479"/>
    </row>
    <row r="224" spans="1:8" ht="12.75" customHeight="1">
      <c r="C224" s="484" t="s">
        <v>338</v>
      </c>
      <c r="D224" s="482" t="s">
        <v>220</v>
      </c>
      <c r="E224" s="4587" t="s">
        <v>3478</v>
      </c>
      <c r="F224" s="4587"/>
      <c r="G224" s="4587"/>
      <c r="H224" s="4587"/>
    </row>
    <row r="225" spans="1:8" ht="12.75" customHeight="1">
      <c r="C225" s="2619" t="s">
        <v>3479</v>
      </c>
      <c r="E225" s="4587" t="s">
        <v>3480</v>
      </c>
      <c r="F225" s="4587"/>
      <c r="G225" s="4587"/>
      <c r="H225" s="4587"/>
    </row>
    <row r="226" spans="1:8" ht="12.75" customHeight="1">
      <c r="C226" s="1075"/>
      <c r="D226" s="485" t="s">
        <v>2822</v>
      </c>
      <c r="E226" s="4587" t="s">
        <v>3481</v>
      </c>
      <c r="F226" s="4587"/>
      <c r="G226" s="4587"/>
      <c r="H226" s="4587"/>
    </row>
    <row r="227" spans="1:8" ht="3" customHeight="1">
      <c r="D227" s="482"/>
      <c r="E227" s="2624"/>
      <c r="F227" s="2624"/>
      <c r="G227" s="2624"/>
      <c r="H227" s="2624"/>
    </row>
    <row r="228" spans="1:8" ht="12.75" customHeight="1">
      <c r="C228" s="460" t="s">
        <v>3476</v>
      </c>
      <c r="D228" s="482" t="s">
        <v>212</v>
      </c>
      <c r="E228" s="483"/>
      <c r="F228" s="479" t="s">
        <v>3477</v>
      </c>
      <c r="G228" s="479"/>
      <c r="H228" s="479"/>
    </row>
    <row r="229" spans="1:8" ht="12.75" customHeight="1">
      <c r="C229" s="484" t="s">
        <v>338</v>
      </c>
      <c r="D229" s="482" t="s">
        <v>220</v>
      </c>
      <c r="E229" s="4587" t="s">
        <v>3478</v>
      </c>
      <c r="F229" s="4587"/>
      <c r="G229" s="4587"/>
      <c r="H229" s="4587"/>
    </row>
    <row r="230" spans="1:8" ht="12.75" customHeight="1">
      <c r="C230" s="2619" t="s">
        <v>3479</v>
      </c>
      <c r="E230" s="4587" t="s">
        <v>3480</v>
      </c>
      <c r="F230" s="4587"/>
      <c r="G230" s="4587"/>
      <c r="H230" s="4587"/>
    </row>
    <row r="231" spans="1:8" ht="12.75" customHeight="1">
      <c r="C231" s="1075"/>
      <c r="D231" s="1074" t="s">
        <v>2822</v>
      </c>
      <c r="E231" s="4588" t="s">
        <v>3481</v>
      </c>
      <c r="F231" s="4588"/>
      <c r="G231" s="4588"/>
      <c r="H231" s="4588"/>
    </row>
    <row r="232" spans="1:8" ht="3" customHeight="1">
      <c r="D232" s="482"/>
      <c r="E232" s="2624"/>
      <c r="F232" s="2624"/>
      <c r="G232" s="2624"/>
      <c r="H232" s="2624"/>
    </row>
    <row r="233" spans="1:8" ht="12.75" customHeight="1">
      <c r="C233" s="460" t="s">
        <v>3476</v>
      </c>
      <c r="D233" s="482" t="s">
        <v>212</v>
      </c>
      <c r="E233" s="483"/>
      <c r="F233" s="479" t="s">
        <v>3477</v>
      </c>
      <c r="G233" s="479"/>
      <c r="H233" s="479"/>
    </row>
    <row r="234" spans="1:8" ht="12.75" customHeight="1">
      <c r="C234" s="484" t="s">
        <v>338</v>
      </c>
      <c r="D234" s="482" t="s">
        <v>220</v>
      </c>
      <c r="E234" s="4587" t="s">
        <v>3478</v>
      </c>
      <c r="F234" s="4587"/>
      <c r="G234" s="4587"/>
      <c r="H234" s="4587"/>
    </row>
    <row r="235" spans="1:8" ht="12.75" customHeight="1">
      <c r="C235" s="2619" t="s">
        <v>3479</v>
      </c>
      <c r="E235" s="4587" t="s">
        <v>3480</v>
      </c>
      <c r="F235" s="4587"/>
      <c r="G235" s="4587"/>
      <c r="H235" s="4587"/>
    </row>
    <row r="236" spans="1:8" ht="12.75" customHeight="1">
      <c r="C236" s="1075"/>
      <c r="D236" s="1074" t="s">
        <v>2822</v>
      </c>
      <c r="E236" s="4588" t="s">
        <v>3481</v>
      </c>
      <c r="F236" s="4588"/>
      <c r="G236" s="4588"/>
      <c r="H236" s="4588"/>
    </row>
    <row r="237" spans="1:8" ht="6" customHeight="1">
      <c r="D237" s="482"/>
      <c r="E237" s="2624"/>
      <c r="F237" s="2624"/>
      <c r="G237" s="2624"/>
      <c r="H237" s="2624"/>
    </row>
    <row r="238" spans="1:8">
      <c r="A238" s="463" t="s">
        <v>3473</v>
      </c>
      <c r="B238" s="480" t="str">
        <f>IF('Part V-Revenues &amp; Expenses'!$N$60=0,"",'Part V-Revenues &amp; Expenses'!$N$60)</f>
        <v/>
      </c>
      <c r="C238" s="463" t="s">
        <v>3486</v>
      </c>
      <c r="D238" s="481" t="s">
        <v>3487</v>
      </c>
    </row>
    <row r="239" spans="1:8" ht="1.9" customHeight="1"/>
    <row r="240" spans="1:8" ht="12.75" customHeight="1">
      <c r="C240" s="460" t="s">
        <v>3476</v>
      </c>
      <c r="D240" s="482" t="s">
        <v>212</v>
      </c>
      <c r="E240" s="483"/>
      <c r="F240" s="479" t="s">
        <v>3477</v>
      </c>
      <c r="G240" s="479"/>
      <c r="H240" s="479"/>
    </row>
    <row r="241" spans="1:8" ht="12.75" customHeight="1">
      <c r="C241" s="484" t="s">
        <v>338</v>
      </c>
      <c r="D241" s="482" t="s">
        <v>220</v>
      </c>
      <c r="E241" s="4587" t="s">
        <v>3478</v>
      </c>
      <c r="F241" s="4587"/>
      <c r="G241" s="4587"/>
      <c r="H241" s="4587"/>
    </row>
    <row r="242" spans="1:8" ht="12.75" customHeight="1">
      <c r="C242" s="2619" t="s">
        <v>3479</v>
      </c>
      <c r="E242" s="4587" t="s">
        <v>3480</v>
      </c>
      <c r="F242" s="4587"/>
      <c r="G242" s="4587"/>
      <c r="H242" s="4587"/>
    </row>
    <row r="243" spans="1:8" ht="12.75" customHeight="1">
      <c r="C243" s="1075"/>
      <c r="D243" s="485" t="s">
        <v>2822</v>
      </c>
      <c r="E243" s="4587" t="s">
        <v>3481</v>
      </c>
      <c r="F243" s="4587"/>
      <c r="G243" s="4587"/>
      <c r="H243" s="4587"/>
    </row>
    <row r="244" spans="1:8" ht="3" customHeight="1">
      <c r="D244" s="482"/>
      <c r="E244" s="2624"/>
      <c r="F244" s="2624"/>
      <c r="G244" s="2624"/>
      <c r="H244" s="2624"/>
    </row>
    <row r="245" spans="1:8" ht="12.75" customHeight="1">
      <c r="C245" s="460" t="s">
        <v>3476</v>
      </c>
      <c r="D245" s="482" t="s">
        <v>212</v>
      </c>
      <c r="E245" s="483"/>
      <c r="F245" s="479" t="s">
        <v>3477</v>
      </c>
      <c r="G245" s="479"/>
      <c r="H245" s="479"/>
    </row>
    <row r="246" spans="1:8" ht="12.75" customHeight="1">
      <c r="C246" s="484" t="s">
        <v>338</v>
      </c>
      <c r="D246" s="482" t="s">
        <v>220</v>
      </c>
      <c r="E246" s="4587" t="s">
        <v>3478</v>
      </c>
      <c r="F246" s="4587"/>
      <c r="G246" s="4587"/>
      <c r="H246" s="4587"/>
    </row>
    <row r="247" spans="1:8" ht="12.75" customHeight="1">
      <c r="C247" s="2619" t="s">
        <v>3479</v>
      </c>
      <c r="E247" s="4587" t="s">
        <v>3480</v>
      </c>
      <c r="F247" s="4587"/>
      <c r="G247" s="4587"/>
      <c r="H247" s="4587"/>
    </row>
    <row r="248" spans="1:8" ht="12.75" customHeight="1">
      <c r="C248" s="1075"/>
      <c r="D248" s="1074" t="s">
        <v>2822</v>
      </c>
      <c r="E248" s="4588" t="s">
        <v>3481</v>
      </c>
      <c r="F248" s="4588"/>
      <c r="G248" s="4588"/>
      <c r="H248" s="4588"/>
    </row>
    <row r="249" spans="1:8" ht="3" customHeight="1">
      <c r="D249" s="482"/>
      <c r="E249" s="2624"/>
      <c r="F249" s="2624"/>
      <c r="G249" s="2624"/>
      <c r="H249" s="2624"/>
    </row>
    <row r="250" spans="1:8" ht="12.75" customHeight="1">
      <c r="C250" s="460" t="s">
        <v>3476</v>
      </c>
      <c r="D250" s="482" t="s">
        <v>212</v>
      </c>
      <c r="E250" s="483"/>
      <c r="F250" s="479" t="s">
        <v>3477</v>
      </c>
      <c r="G250" s="479"/>
      <c r="H250" s="479"/>
    </row>
    <row r="251" spans="1:8" ht="12.75" customHeight="1">
      <c r="C251" s="484" t="s">
        <v>338</v>
      </c>
      <c r="D251" s="482" t="s">
        <v>220</v>
      </c>
      <c r="E251" s="4587" t="s">
        <v>3478</v>
      </c>
      <c r="F251" s="4587"/>
      <c r="G251" s="4587"/>
      <c r="H251" s="4587"/>
    </row>
    <row r="252" spans="1:8" ht="12.75" customHeight="1">
      <c r="C252" s="2619" t="s">
        <v>3479</v>
      </c>
      <c r="E252" s="4587" t="s">
        <v>3480</v>
      </c>
      <c r="F252" s="4587"/>
      <c r="G252" s="4587"/>
      <c r="H252" s="4587"/>
    </row>
    <row r="253" spans="1:8" ht="12.75" customHeight="1">
      <c r="C253" s="1075"/>
      <c r="D253" s="1074" t="s">
        <v>2822</v>
      </c>
      <c r="E253" s="4588" t="s">
        <v>3481</v>
      </c>
      <c r="F253" s="4588"/>
      <c r="G253" s="4588"/>
      <c r="H253" s="4588"/>
    </row>
    <row r="254" spans="1:8" ht="6" customHeight="1">
      <c r="D254" s="482"/>
      <c r="E254" s="2624"/>
      <c r="F254" s="2624"/>
      <c r="G254" s="2624"/>
      <c r="H254" s="2624"/>
    </row>
    <row r="255" spans="1:8">
      <c r="A255" s="463" t="s">
        <v>3473</v>
      </c>
      <c r="B255" s="480" t="str">
        <f>IF('Part V-Revenues &amp; Expenses'!$O$60=0,"",'Part V-Revenues &amp; Expenses'!$O$60)</f>
        <v/>
      </c>
      <c r="C255" s="463" t="s">
        <v>3488</v>
      </c>
      <c r="D255" s="481" t="s">
        <v>3489</v>
      </c>
    </row>
    <row r="256" spans="1:8" ht="1.9" customHeight="1"/>
    <row r="257" spans="1:11" ht="12.75" customHeight="1">
      <c r="C257" s="460" t="s">
        <v>3476</v>
      </c>
      <c r="D257" s="482" t="s">
        <v>212</v>
      </c>
      <c r="E257" s="483"/>
      <c r="F257" s="4587" t="s">
        <v>3477</v>
      </c>
      <c r="G257" s="4587"/>
      <c r="H257" s="4587"/>
      <c r="K257" s="314" t="s">
        <v>3017</v>
      </c>
    </row>
    <row r="258" spans="1:11" ht="12.75" customHeight="1">
      <c r="C258" s="484" t="s">
        <v>338</v>
      </c>
      <c r="D258" s="482" t="s">
        <v>220</v>
      </c>
      <c r="E258" s="4587" t="s">
        <v>3490</v>
      </c>
      <c r="F258" s="4587"/>
      <c r="G258" s="4587"/>
      <c r="H258" s="4587"/>
    </row>
    <row r="259" spans="1:11" ht="12.75" customHeight="1">
      <c r="E259" s="4587" t="s">
        <v>3480</v>
      </c>
      <c r="F259" s="4587"/>
      <c r="G259" s="4587"/>
      <c r="H259" s="4587"/>
    </row>
    <row r="260" spans="1:11" ht="12.75" customHeight="1">
      <c r="D260" s="485" t="s">
        <v>2822</v>
      </c>
      <c r="E260" s="4587" t="s">
        <v>3481</v>
      </c>
      <c r="F260" s="4587"/>
      <c r="G260" s="4587"/>
      <c r="H260" s="4587"/>
    </row>
    <row r="261" spans="1:11" ht="9" customHeight="1" thickBot="1"/>
    <row r="262" spans="1:11" ht="16.149999999999999" customHeight="1" thickBot="1">
      <c r="A262" s="4594">
        <v>50</v>
      </c>
      <c r="B262" s="4595"/>
      <c r="C262" s="1076" t="s">
        <v>1207</v>
      </c>
    </row>
    <row r="263" spans="1:11" ht="9" customHeight="1">
      <c r="A263" s="456"/>
    </row>
    <row r="264" spans="1:11" ht="28.15" customHeight="1">
      <c r="A264" s="4587" t="s">
        <v>3493</v>
      </c>
      <c r="B264" s="4587"/>
      <c r="C264" s="4587"/>
      <c r="D264" s="4587"/>
      <c r="E264" s="4587"/>
      <c r="F264" s="4587"/>
      <c r="G264" s="4587"/>
      <c r="H264" s="4587"/>
    </row>
    <row r="265" spans="1:11" ht="9" customHeight="1">
      <c r="A265" s="456"/>
    </row>
    <row r="266" spans="1:11">
      <c r="A266" s="463" t="s">
        <v>3473</v>
      </c>
      <c r="B266" s="480" t="str">
        <f>IF('Part V-Revenues &amp; Expenses'!$K$59=0,"",'Part V-Revenues &amp; Expenses'!$K$59)</f>
        <v/>
      </c>
      <c r="C266" s="463" t="s">
        <v>3474</v>
      </c>
      <c r="D266" s="481" t="s">
        <v>3475</v>
      </c>
    </row>
    <row r="267" spans="1:11" ht="1.9" customHeight="1"/>
    <row r="268" spans="1:11" ht="12.75" customHeight="1">
      <c r="C268" s="460" t="s">
        <v>3476</v>
      </c>
      <c r="D268" s="482" t="s">
        <v>212</v>
      </c>
      <c r="E268" s="483"/>
      <c r="F268" s="4587" t="s">
        <v>3477</v>
      </c>
      <c r="G268" s="4587"/>
      <c r="H268" s="4587"/>
    </row>
    <row r="269" spans="1:11" ht="12.75" customHeight="1">
      <c r="C269" s="484" t="s">
        <v>338</v>
      </c>
      <c r="D269" s="482" t="s">
        <v>220</v>
      </c>
      <c r="E269" s="4587" t="s">
        <v>3478</v>
      </c>
      <c r="F269" s="4587"/>
      <c r="G269" s="4587"/>
      <c r="H269" s="4587"/>
    </row>
    <row r="270" spans="1:11" ht="12.75" customHeight="1">
      <c r="C270" s="2619" t="s">
        <v>3479</v>
      </c>
      <c r="E270" s="4587" t="s">
        <v>3480</v>
      </c>
      <c r="F270" s="4587"/>
      <c r="G270" s="4587"/>
      <c r="H270" s="4587"/>
    </row>
    <row r="271" spans="1:11" ht="12.75" customHeight="1">
      <c r="C271" s="1075"/>
      <c r="D271" s="1074" t="s">
        <v>2822</v>
      </c>
      <c r="E271" s="4588" t="s">
        <v>3481</v>
      </c>
      <c r="F271" s="4588"/>
      <c r="G271" s="4588"/>
      <c r="H271" s="4588"/>
    </row>
    <row r="272" spans="1:11" ht="3" customHeight="1">
      <c r="D272" s="482"/>
      <c r="E272" s="2624"/>
      <c r="F272" s="2624"/>
      <c r="G272" s="2624"/>
      <c r="H272" s="2624"/>
    </row>
    <row r="273" spans="1:8" ht="12.75" customHeight="1">
      <c r="C273" s="460" t="s">
        <v>3476</v>
      </c>
      <c r="D273" s="482" t="s">
        <v>212</v>
      </c>
      <c r="E273" s="483"/>
      <c r="F273" s="479" t="s">
        <v>3477</v>
      </c>
      <c r="G273" s="479"/>
      <c r="H273" s="479"/>
    </row>
    <row r="274" spans="1:8" ht="12.75" customHeight="1">
      <c r="C274" s="484" t="s">
        <v>338</v>
      </c>
      <c r="D274" s="482" t="s">
        <v>220</v>
      </c>
      <c r="E274" s="4587" t="s">
        <v>3478</v>
      </c>
      <c r="F274" s="4587"/>
      <c r="G274" s="4587"/>
      <c r="H274" s="4587"/>
    </row>
    <row r="275" spans="1:8" ht="12.75" customHeight="1">
      <c r="C275" s="2619" t="s">
        <v>3479</v>
      </c>
      <c r="E275" s="4587" t="s">
        <v>3480</v>
      </c>
      <c r="F275" s="4587"/>
      <c r="G275" s="4587"/>
      <c r="H275" s="4587"/>
    </row>
    <row r="276" spans="1:8" ht="12.75" customHeight="1">
      <c r="C276" s="1075"/>
      <c r="D276" s="1074" t="s">
        <v>2822</v>
      </c>
      <c r="E276" s="4588" t="s">
        <v>3481</v>
      </c>
      <c r="F276" s="4588"/>
      <c r="G276" s="4588"/>
      <c r="H276" s="4588"/>
    </row>
    <row r="277" spans="1:8" ht="3" customHeight="1">
      <c r="D277" s="482"/>
      <c r="E277" s="2624"/>
      <c r="F277" s="2624"/>
      <c r="G277" s="2624"/>
      <c r="H277" s="2624"/>
    </row>
    <row r="278" spans="1:8" ht="12.75" customHeight="1">
      <c r="C278" s="460" t="s">
        <v>3476</v>
      </c>
      <c r="D278" s="482" t="s">
        <v>212</v>
      </c>
      <c r="E278" s="483"/>
      <c r="F278" s="479" t="s">
        <v>3477</v>
      </c>
      <c r="G278" s="479"/>
      <c r="H278" s="479"/>
    </row>
    <row r="279" spans="1:8" ht="12.75" customHeight="1">
      <c r="C279" s="484" t="s">
        <v>338</v>
      </c>
      <c r="D279" s="482" t="s">
        <v>220</v>
      </c>
      <c r="E279" s="4587" t="s">
        <v>3478</v>
      </c>
      <c r="F279" s="4587"/>
      <c r="G279" s="4587"/>
      <c r="H279" s="4587"/>
    </row>
    <row r="280" spans="1:8" ht="12.75" customHeight="1">
      <c r="C280" s="2619" t="s">
        <v>3479</v>
      </c>
      <c r="E280" s="4587" t="s">
        <v>3480</v>
      </c>
      <c r="F280" s="4587"/>
      <c r="G280" s="4587"/>
      <c r="H280" s="4587"/>
    </row>
    <row r="281" spans="1:8" ht="12.75" customHeight="1">
      <c r="C281" s="1075"/>
      <c r="D281" s="1074" t="s">
        <v>2822</v>
      </c>
      <c r="E281" s="4588" t="s">
        <v>3481</v>
      </c>
      <c r="F281" s="4588"/>
      <c r="G281" s="4588"/>
      <c r="H281" s="4588"/>
    </row>
    <row r="282" spans="1:8" ht="6" customHeight="1">
      <c r="D282" s="482"/>
      <c r="E282" s="2624"/>
      <c r="F282" s="2624"/>
      <c r="G282" s="2624"/>
      <c r="H282" s="2624"/>
    </row>
    <row r="283" spans="1:8">
      <c r="A283" s="463" t="s">
        <v>3473</v>
      </c>
      <c r="B283" s="480">
        <f>IF('Part V-Revenues &amp; Expenses'!$L$59=0,"",'Part V-Revenues &amp; Expenses'!$L$59)</f>
        <v>17</v>
      </c>
      <c r="C283" s="463" t="s">
        <v>3482</v>
      </c>
      <c r="D283" s="481" t="s">
        <v>3483</v>
      </c>
    </row>
    <row r="284" spans="1:8" ht="1.9" customHeight="1"/>
    <row r="285" spans="1:8" ht="12.75" customHeight="1">
      <c r="C285" s="460" t="s">
        <v>3476</v>
      </c>
      <c r="D285" s="482" t="s">
        <v>212</v>
      </c>
      <c r="E285" s="483"/>
      <c r="F285" s="479" t="s">
        <v>3477</v>
      </c>
      <c r="G285" s="479"/>
      <c r="H285" s="479"/>
    </row>
    <row r="286" spans="1:8" ht="12.75" customHeight="1">
      <c r="C286" s="484" t="s">
        <v>338</v>
      </c>
      <c r="D286" s="482" t="s">
        <v>220</v>
      </c>
      <c r="E286" s="4587" t="s">
        <v>3478</v>
      </c>
      <c r="F286" s="4587"/>
      <c r="G286" s="4587"/>
      <c r="H286" s="4587"/>
    </row>
    <row r="287" spans="1:8" ht="12.75" customHeight="1">
      <c r="C287" s="2619" t="s">
        <v>3479</v>
      </c>
      <c r="E287" s="4587" t="s">
        <v>3480</v>
      </c>
      <c r="F287" s="4587"/>
      <c r="G287" s="4587"/>
      <c r="H287" s="4587"/>
    </row>
    <row r="288" spans="1:8" ht="12.75" customHeight="1">
      <c r="C288" s="1075"/>
      <c r="D288" s="485" t="s">
        <v>2822</v>
      </c>
      <c r="E288" s="4587" t="s">
        <v>3481</v>
      </c>
      <c r="F288" s="4587"/>
      <c r="G288" s="4587"/>
      <c r="H288" s="4587"/>
    </row>
    <row r="289" spans="1:8" ht="3" customHeight="1">
      <c r="D289" s="482"/>
      <c r="E289" s="2624"/>
      <c r="F289" s="2624"/>
      <c r="G289" s="2624"/>
      <c r="H289" s="2624"/>
    </row>
    <row r="290" spans="1:8" ht="12.75" customHeight="1">
      <c r="C290" s="460" t="s">
        <v>3476</v>
      </c>
      <c r="D290" s="482" t="s">
        <v>212</v>
      </c>
      <c r="E290" s="483"/>
      <c r="F290" s="479" t="s">
        <v>3477</v>
      </c>
      <c r="G290" s="479"/>
      <c r="H290" s="479"/>
    </row>
    <row r="291" spans="1:8" ht="12.75" customHeight="1">
      <c r="C291" s="484" t="s">
        <v>338</v>
      </c>
      <c r="D291" s="482" t="s">
        <v>220</v>
      </c>
      <c r="E291" s="4587" t="s">
        <v>3478</v>
      </c>
      <c r="F291" s="4587"/>
      <c r="G291" s="4587"/>
      <c r="H291" s="4587"/>
    </row>
    <row r="292" spans="1:8" ht="12.75" customHeight="1">
      <c r="C292" s="2619" t="s">
        <v>3479</v>
      </c>
      <c r="E292" s="4587" t="s">
        <v>3480</v>
      </c>
      <c r="F292" s="4587"/>
      <c r="G292" s="4587"/>
      <c r="H292" s="4587"/>
    </row>
    <row r="293" spans="1:8" ht="12.75" customHeight="1">
      <c r="C293" s="1075"/>
      <c r="D293" s="1074" t="s">
        <v>2822</v>
      </c>
      <c r="E293" s="4588" t="s">
        <v>3481</v>
      </c>
      <c r="F293" s="4588"/>
      <c r="G293" s="4588"/>
      <c r="H293" s="4588"/>
    </row>
    <row r="294" spans="1:8" ht="3" customHeight="1">
      <c r="D294" s="482"/>
      <c r="E294" s="2624"/>
      <c r="F294" s="2624"/>
      <c r="G294" s="2624"/>
      <c r="H294" s="2624"/>
    </row>
    <row r="295" spans="1:8" ht="12.75" customHeight="1">
      <c r="C295" s="460" t="s">
        <v>3476</v>
      </c>
      <c r="D295" s="482" t="s">
        <v>212</v>
      </c>
      <c r="E295" s="483"/>
      <c r="F295" s="479" t="s">
        <v>3477</v>
      </c>
      <c r="G295" s="479"/>
      <c r="H295" s="479"/>
    </row>
    <row r="296" spans="1:8" ht="12.75" customHeight="1">
      <c r="C296" s="484" t="s">
        <v>338</v>
      </c>
      <c r="D296" s="482" t="s">
        <v>220</v>
      </c>
      <c r="E296" s="4587" t="s">
        <v>3478</v>
      </c>
      <c r="F296" s="4587"/>
      <c r="G296" s="4587"/>
      <c r="H296" s="4587"/>
    </row>
    <row r="297" spans="1:8" ht="12.75" customHeight="1">
      <c r="C297" s="2619" t="s">
        <v>3479</v>
      </c>
      <c r="E297" s="4587" t="s">
        <v>3480</v>
      </c>
      <c r="F297" s="4587"/>
      <c r="G297" s="4587"/>
      <c r="H297" s="4587"/>
    </row>
    <row r="298" spans="1:8" ht="12.75" customHeight="1">
      <c r="C298" s="1075"/>
      <c r="D298" s="1074" t="s">
        <v>2822</v>
      </c>
      <c r="E298" s="4588" t="s">
        <v>3481</v>
      </c>
      <c r="F298" s="4588"/>
      <c r="G298" s="4588"/>
      <c r="H298" s="4588"/>
    </row>
    <row r="299" spans="1:8" ht="6" customHeight="1">
      <c r="D299" s="482"/>
      <c r="E299" s="2624"/>
      <c r="F299" s="2624"/>
      <c r="G299" s="2624"/>
      <c r="H299" s="2624"/>
    </row>
    <row r="300" spans="1:8">
      <c r="A300" s="463" t="s">
        <v>3473</v>
      </c>
      <c r="B300" s="480" t="str">
        <f>IF('Part V-Revenues &amp; Expenses'!$M$59=0,"",'Part V-Revenues &amp; Expenses'!$M$59)</f>
        <v/>
      </c>
      <c r="C300" s="463" t="s">
        <v>3484</v>
      </c>
      <c r="D300" s="481" t="s">
        <v>3485</v>
      </c>
    </row>
    <row r="301" spans="1:8" ht="1.9" customHeight="1"/>
    <row r="302" spans="1:8" ht="12.75" customHeight="1">
      <c r="C302" s="460" t="s">
        <v>3476</v>
      </c>
      <c r="D302" s="482" t="s">
        <v>212</v>
      </c>
      <c r="E302" s="483"/>
      <c r="F302" s="479" t="s">
        <v>3477</v>
      </c>
      <c r="G302" s="479"/>
      <c r="H302" s="479"/>
    </row>
    <row r="303" spans="1:8" ht="12.75" customHeight="1">
      <c r="C303" s="484" t="s">
        <v>338</v>
      </c>
      <c r="D303" s="482" t="s">
        <v>220</v>
      </c>
      <c r="E303" s="4587" t="s">
        <v>3478</v>
      </c>
      <c r="F303" s="4587"/>
      <c r="G303" s="4587"/>
      <c r="H303" s="4587"/>
    </row>
    <row r="304" spans="1:8" ht="12.75" customHeight="1">
      <c r="C304" s="2619" t="s">
        <v>3479</v>
      </c>
      <c r="E304" s="4587" t="s">
        <v>3480</v>
      </c>
      <c r="F304" s="4587"/>
      <c r="G304" s="4587"/>
      <c r="H304" s="4587"/>
    </row>
    <row r="305" spans="1:8" ht="12.75" customHeight="1">
      <c r="C305" s="1075"/>
      <c r="D305" s="485" t="s">
        <v>2822</v>
      </c>
      <c r="E305" s="4587" t="s">
        <v>3481</v>
      </c>
      <c r="F305" s="4587"/>
      <c r="G305" s="4587"/>
      <c r="H305" s="4587"/>
    </row>
    <row r="306" spans="1:8" ht="3" customHeight="1">
      <c r="D306" s="482"/>
      <c r="E306" s="2624"/>
      <c r="F306" s="2624"/>
      <c r="G306" s="2624"/>
      <c r="H306" s="2624"/>
    </row>
    <row r="307" spans="1:8" ht="12.75" customHeight="1">
      <c r="C307" s="460" t="s">
        <v>3476</v>
      </c>
      <c r="D307" s="482" t="s">
        <v>212</v>
      </c>
      <c r="E307" s="483"/>
      <c r="F307" s="479" t="s">
        <v>3477</v>
      </c>
      <c r="G307" s="479"/>
      <c r="H307" s="479"/>
    </row>
    <row r="308" spans="1:8" ht="12.75" customHeight="1">
      <c r="C308" s="484" t="s">
        <v>338</v>
      </c>
      <c r="D308" s="482" t="s">
        <v>220</v>
      </c>
      <c r="E308" s="4587" t="s">
        <v>3478</v>
      </c>
      <c r="F308" s="4587"/>
      <c r="G308" s="4587"/>
      <c r="H308" s="4587"/>
    </row>
    <row r="309" spans="1:8" ht="12.75" customHeight="1">
      <c r="C309" s="2619" t="s">
        <v>3479</v>
      </c>
      <c r="E309" s="4587" t="s">
        <v>3480</v>
      </c>
      <c r="F309" s="4587"/>
      <c r="G309" s="4587"/>
      <c r="H309" s="4587"/>
    </row>
    <row r="310" spans="1:8" ht="12.75" customHeight="1">
      <c r="C310" s="1075"/>
      <c r="D310" s="1074" t="s">
        <v>2822</v>
      </c>
      <c r="E310" s="4588" t="s">
        <v>3481</v>
      </c>
      <c r="F310" s="4588"/>
      <c r="G310" s="4588"/>
      <c r="H310" s="4588"/>
    </row>
    <row r="311" spans="1:8" ht="3" customHeight="1">
      <c r="D311" s="482"/>
      <c r="E311" s="2624"/>
      <c r="F311" s="2624"/>
      <c r="G311" s="2624"/>
      <c r="H311" s="2624"/>
    </row>
    <row r="312" spans="1:8" ht="12.75" customHeight="1">
      <c r="C312" s="460" t="s">
        <v>3476</v>
      </c>
      <c r="D312" s="482" t="s">
        <v>212</v>
      </c>
      <c r="E312" s="483"/>
      <c r="F312" s="479" t="s">
        <v>3477</v>
      </c>
      <c r="G312" s="479"/>
      <c r="H312" s="479"/>
    </row>
    <row r="313" spans="1:8" ht="12.75" customHeight="1">
      <c r="C313" s="484" t="s">
        <v>338</v>
      </c>
      <c r="D313" s="482" t="s">
        <v>220</v>
      </c>
      <c r="E313" s="4587" t="s">
        <v>3478</v>
      </c>
      <c r="F313" s="4587"/>
      <c r="G313" s="4587"/>
      <c r="H313" s="4587"/>
    </row>
    <row r="314" spans="1:8" ht="12.75" customHeight="1">
      <c r="C314" s="2619" t="s">
        <v>3479</v>
      </c>
      <c r="E314" s="4587" t="s">
        <v>3480</v>
      </c>
      <c r="F314" s="4587"/>
      <c r="G314" s="4587"/>
      <c r="H314" s="4587"/>
    </row>
    <row r="315" spans="1:8" ht="12.75" customHeight="1">
      <c r="C315" s="1075"/>
      <c r="D315" s="1074" t="s">
        <v>2822</v>
      </c>
      <c r="E315" s="4588" t="s">
        <v>3481</v>
      </c>
      <c r="F315" s="4588"/>
      <c r="G315" s="4588"/>
      <c r="H315" s="4588"/>
    </row>
    <row r="316" spans="1:8" ht="6" customHeight="1">
      <c r="D316" s="482"/>
      <c r="E316" s="2624"/>
      <c r="F316" s="2624"/>
      <c r="G316" s="2624"/>
      <c r="H316" s="2624"/>
    </row>
    <row r="317" spans="1:8">
      <c r="A317" s="463" t="s">
        <v>3473</v>
      </c>
      <c r="B317" s="480" t="str">
        <f>IF('Part V-Revenues &amp; Expenses'!$N$59=0,"",'Part V-Revenues &amp; Expenses'!$N$59)</f>
        <v/>
      </c>
      <c r="C317" s="463" t="s">
        <v>3486</v>
      </c>
      <c r="D317" s="481" t="s">
        <v>3487</v>
      </c>
    </row>
    <row r="318" spans="1:8" ht="1.9" customHeight="1"/>
    <row r="319" spans="1:8" ht="12.75" customHeight="1">
      <c r="C319" s="460" t="s">
        <v>3476</v>
      </c>
      <c r="D319" s="482" t="s">
        <v>212</v>
      </c>
      <c r="E319" s="483"/>
      <c r="F319" s="479" t="s">
        <v>3477</v>
      </c>
      <c r="G319" s="479"/>
      <c r="H319" s="479"/>
    </row>
    <row r="320" spans="1:8" ht="12.75" customHeight="1">
      <c r="C320" s="484" t="s">
        <v>338</v>
      </c>
      <c r="D320" s="482" t="s">
        <v>220</v>
      </c>
      <c r="E320" s="4587" t="s">
        <v>3478</v>
      </c>
      <c r="F320" s="4587"/>
      <c r="G320" s="4587"/>
      <c r="H320" s="4587"/>
    </row>
    <row r="321" spans="1:11" ht="12.75" customHeight="1">
      <c r="C321" s="2619" t="s">
        <v>3479</v>
      </c>
      <c r="E321" s="4587" t="s">
        <v>3480</v>
      </c>
      <c r="F321" s="4587"/>
      <c r="G321" s="4587"/>
      <c r="H321" s="4587"/>
    </row>
    <row r="322" spans="1:11" ht="12.75" customHeight="1">
      <c r="C322" s="1075"/>
      <c r="D322" s="485" t="s">
        <v>2822</v>
      </c>
      <c r="E322" s="4587" t="s">
        <v>3481</v>
      </c>
      <c r="F322" s="4587"/>
      <c r="G322" s="4587"/>
      <c r="H322" s="4587"/>
    </row>
    <row r="323" spans="1:11" ht="3" customHeight="1">
      <c r="D323" s="482"/>
      <c r="E323" s="2624"/>
      <c r="F323" s="2624"/>
      <c r="G323" s="2624"/>
      <c r="H323" s="2624"/>
    </row>
    <row r="324" spans="1:11" ht="12.75" customHeight="1">
      <c r="C324" s="460" t="s">
        <v>3476</v>
      </c>
      <c r="D324" s="482" t="s">
        <v>212</v>
      </c>
      <c r="E324" s="483"/>
      <c r="F324" s="479" t="s">
        <v>3477</v>
      </c>
      <c r="G324" s="479"/>
      <c r="H324" s="479"/>
    </row>
    <row r="325" spans="1:11" ht="12.75" customHeight="1">
      <c r="C325" s="484" t="s">
        <v>338</v>
      </c>
      <c r="D325" s="482" t="s">
        <v>220</v>
      </c>
      <c r="E325" s="4587" t="s">
        <v>3478</v>
      </c>
      <c r="F325" s="4587"/>
      <c r="G325" s="4587"/>
      <c r="H325" s="4587"/>
    </row>
    <row r="326" spans="1:11" ht="12.75" customHeight="1">
      <c r="C326" s="2619" t="s">
        <v>3479</v>
      </c>
      <c r="E326" s="4587" t="s">
        <v>3480</v>
      </c>
      <c r="F326" s="4587"/>
      <c r="G326" s="4587"/>
      <c r="H326" s="4587"/>
    </row>
    <row r="327" spans="1:11" ht="12.75" customHeight="1">
      <c r="C327" s="1075"/>
      <c r="D327" s="1074" t="s">
        <v>2822</v>
      </c>
      <c r="E327" s="4588" t="s">
        <v>3481</v>
      </c>
      <c r="F327" s="4588"/>
      <c r="G327" s="4588"/>
      <c r="H327" s="4588"/>
    </row>
    <row r="328" spans="1:11" ht="3" customHeight="1">
      <c r="D328" s="482"/>
      <c r="E328" s="2624"/>
      <c r="F328" s="2624"/>
      <c r="G328" s="2624"/>
      <c r="H328" s="2624"/>
    </row>
    <row r="329" spans="1:11" ht="12.75" customHeight="1">
      <c r="C329" s="460" t="s">
        <v>3476</v>
      </c>
      <c r="D329" s="482" t="s">
        <v>212</v>
      </c>
      <c r="E329" s="483"/>
      <c r="F329" s="479" t="s">
        <v>3477</v>
      </c>
      <c r="G329" s="479"/>
      <c r="H329" s="479"/>
    </row>
    <row r="330" spans="1:11" ht="12.75" customHeight="1">
      <c r="C330" s="484" t="s">
        <v>338</v>
      </c>
      <c r="D330" s="482" t="s">
        <v>220</v>
      </c>
      <c r="E330" s="4587" t="s">
        <v>3478</v>
      </c>
      <c r="F330" s="4587"/>
      <c r="G330" s="4587"/>
      <c r="H330" s="4587"/>
    </row>
    <row r="331" spans="1:11" ht="12.75" customHeight="1">
      <c r="C331" s="2619" t="s">
        <v>3479</v>
      </c>
      <c r="E331" s="4587" t="s">
        <v>3480</v>
      </c>
      <c r="F331" s="4587"/>
      <c r="G331" s="4587"/>
      <c r="H331" s="4587"/>
    </row>
    <row r="332" spans="1:11" ht="12.75" customHeight="1">
      <c r="C332" s="1075"/>
      <c r="D332" s="1074" t="s">
        <v>2822</v>
      </c>
      <c r="E332" s="4588" t="s">
        <v>3481</v>
      </c>
      <c r="F332" s="4588"/>
      <c r="G332" s="4588"/>
      <c r="H332" s="4588"/>
    </row>
    <row r="333" spans="1:11" ht="6" customHeight="1">
      <c r="D333" s="482"/>
      <c r="E333" s="2624"/>
      <c r="F333" s="2624"/>
      <c r="G333" s="2624"/>
      <c r="H333" s="2624"/>
    </row>
    <row r="334" spans="1:11">
      <c r="A334" s="463" t="s">
        <v>3473</v>
      </c>
      <c r="B334" s="480" t="str">
        <f>IF('Part V-Revenues &amp; Expenses'!$O$59=0,"",'Part V-Revenues &amp; Expenses'!$O$59)</f>
        <v/>
      </c>
      <c r="C334" s="463" t="s">
        <v>3488</v>
      </c>
      <c r="D334" s="481" t="s">
        <v>3489</v>
      </c>
    </row>
    <row r="335" spans="1:11" ht="1.9" customHeight="1"/>
    <row r="336" spans="1:11" ht="12.75" customHeight="1">
      <c r="C336" s="460" t="s">
        <v>3476</v>
      </c>
      <c r="D336" s="482" t="s">
        <v>212</v>
      </c>
      <c r="E336" s="483"/>
      <c r="F336" s="4587" t="s">
        <v>3477</v>
      </c>
      <c r="G336" s="4587"/>
      <c r="H336" s="4587"/>
      <c r="K336" s="314" t="s">
        <v>3017</v>
      </c>
    </row>
    <row r="337" spans="1:8" ht="12.75" customHeight="1">
      <c r="C337" s="484" t="s">
        <v>338</v>
      </c>
      <c r="D337" s="482" t="s">
        <v>220</v>
      </c>
      <c r="E337" s="4587" t="s">
        <v>3490</v>
      </c>
      <c r="F337" s="4587"/>
      <c r="G337" s="4587"/>
      <c r="H337" s="4587"/>
    </row>
    <row r="338" spans="1:8" ht="12.75" customHeight="1">
      <c r="E338" s="4587" t="s">
        <v>3480</v>
      </c>
      <c r="F338" s="4587"/>
      <c r="G338" s="4587"/>
      <c r="H338" s="4587"/>
    </row>
    <row r="339" spans="1:8" ht="12.75" customHeight="1">
      <c r="D339" s="485" t="s">
        <v>2822</v>
      </c>
      <c r="E339" s="4587" t="s">
        <v>3481</v>
      </c>
      <c r="F339" s="4587"/>
      <c r="G339" s="4587"/>
      <c r="H339" s="4587"/>
    </row>
    <row r="340" spans="1:8" ht="9" customHeight="1"/>
    <row r="341" spans="1:8" ht="7.5" customHeight="1" thickBot="1">
      <c r="E341" s="4587"/>
      <c r="F341" s="4587"/>
      <c r="G341" s="4587"/>
      <c r="H341" s="4587"/>
    </row>
    <row r="342" spans="1:8" ht="16.149999999999999" customHeight="1" thickBot="1">
      <c r="A342" s="4594">
        <v>60</v>
      </c>
      <c r="B342" s="4595"/>
      <c r="C342" s="1076" t="s">
        <v>1207</v>
      </c>
    </row>
    <row r="343" spans="1:8" ht="9" customHeight="1">
      <c r="A343" s="456"/>
    </row>
    <row r="344" spans="1:8" ht="28.15" customHeight="1">
      <c r="A344" s="4587" t="s">
        <v>3494</v>
      </c>
      <c r="B344" s="4587"/>
      <c r="C344" s="4587"/>
      <c r="D344" s="4587"/>
      <c r="E344" s="4587"/>
      <c r="F344" s="4587"/>
      <c r="G344" s="4587"/>
      <c r="H344" s="4587"/>
    </row>
    <row r="345" spans="1:8" ht="9" customHeight="1">
      <c r="A345" s="456"/>
    </row>
    <row r="346" spans="1:8">
      <c r="A346" s="463" t="s">
        <v>3473</v>
      </c>
      <c r="B346" s="480" t="str">
        <f>IF('Part V-Revenues &amp; Expenses'!$K$58=0,"",'Part V-Revenues &amp; Expenses'!$K$58)</f>
        <v/>
      </c>
      <c r="C346" s="463" t="s">
        <v>3474</v>
      </c>
      <c r="D346" s="481" t="s">
        <v>3475</v>
      </c>
    </row>
    <row r="347" spans="1:8" ht="1.9" customHeight="1"/>
    <row r="348" spans="1:8" ht="12.75" customHeight="1">
      <c r="C348" s="460" t="s">
        <v>3476</v>
      </c>
      <c r="D348" s="482" t="s">
        <v>212</v>
      </c>
      <c r="E348" s="483"/>
      <c r="F348" s="4587" t="s">
        <v>3477</v>
      </c>
      <c r="G348" s="4587"/>
      <c r="H348" s="4587"/>
    </row>
    <row r="349" spans="1:8" ht="12.75" customHeight="1">
      <c r="C349" s="484" t="s">
        <v>338</v>
      </c>
      <c r="D349" s="482" t="s">
        <v>220</v>
      </c>
      <c r="E349" s="4587" t="s">
        <v>3478</v>
      </c>
      <c r="F349" s="4587"/>
      <c r="G349" s="4587"/>
      <c r="H349" s="4587"/>
    </row>
    <row r="350" spans="1:8" ht="12.75" customHeight="1">
      <c r="C350" s="2619" t="s">
        <v>3479</v>
      </c>
      <c r="E350" s="4587" t="s">
        <v>3480</v>
      </c>
      <c r="F350" s="4587"/>
      <c r="G350" s="4587"/>
      <c r="H350" s="4587"/>
    </row>
    <row r="351" spans="1:8" ht="12.75" customHeight="1">
      <c r="C351" s="1075"/>
      <c r="D351" s="1074" t="s">
        <v>2822</v>
      </c>
      <c r="E351" s="4588" t="s">
        <v>3481</v>
      </c>
      <c r="F351" s="4588"/>
      <c r="G351" s="4588"/>
      <c r="H351" s="4588"/>
    </row>
    <row r="352" spans="1:8" ht="3" customHeight="1">
      <c r="D352" s="482"/>
      <c r="E352" s="2624"/>
      <c r="F352" s="2624"/>
      <c r="G352" s="2624"/>
      <c r="H352" s="2624"/>
    </row>
    <row r="353" spans="1:8" ht="12.75" customHeight="1">
      <c r="C353" s="460" t="s">
        <v>3476</v>
      </c>
      <c r="D353" s="482" t="s">
        <v>212</v>
      </c>
      <c r="E353" s="483"/>
      <c r="F353" s="479" t="s">
        <v>3477</v>
      </c>
      <c r="G353" s="479"/>
      <c r="H353" s="479"/>
    </row>
    <row r="354" spans="1:8" ht="12.75" customHeight="1">
      <c r="C354" s="484" t="s">
        <v>338</v>
      </c>
      <c r="D354" s="482" t="s">
        <v>220</v>
      </c>
      <c r="E354" s="4587" t="s">
        <v>3478</v>
      </c>
      <c r="F354" s="4587"/>
      <c r="G354" s="4587"/>
      <c r="H354" s="4587"/>
    </row>
    <row r="355" spans="1:8" ht="12.75" customHeight="1">
      <c r="C355" s="2619" t="s">
        <v>3479</v>
      </c>
      <c r="E355" s="4587" t="s">
        <v>3480</v>
      </c>
      <c r="F355" s="4587"/>
      <c r="G355" s="4587"/>
      <c r="H355" s="4587"/>
    </row>
    <row r="356" spans="1:8" ht="12.75" customHeight="1">
      <c r="C356" s="1075"/>
      <c r="D356" s="1074" t="s">
        <v>2822</v>
      </c>
      <c r="E356" s="4588" t="s">
        <v>3481</v>
      </c>
      <c r="F356" s="4588"/>
      <c r="G356" s="4588"/>
      <c r="H356" s="4588"/>
    </row>
    <row r="357" spans="1:8" ht="3" customHeight="1">
      <c r="D357" s="482"/>
      <c r="E357" s="2624"/>
      <c r="F357" s="2624"/>
      <c r="G357" s="2624"/>
      <c r="H357" s="2624"/>
    </row>
    <row r="358" spans="1:8" ht="12.75" customHeight="1">
      <c r="C358" s="460" t="s">
        <v>3476</v>
      </c>
      <c r="D358" s="482" t="s">
        <v>212</v>
      </c>
      <c r="E358" s="483"/>
      <c r="F358" s="479" t="s">
        <v>3477</v>
      </c>
      <c r="G358" s="479"/>
      <c r="H358" s="479"/>
    </row>
    <row r="359" spans="1:8" ht="12.75" customHeight="1">
      <c r="C359" s="484" t="s">
        <v>338</v>
      </c>
      <c r="D359" s="482" t="s">
        <v>220</v>
      </c>
      <c r="E359" s="4587" t="s">
        <v>3478</v>
      </c>
      <c r="F359" s="4587"/>
      <c r="G359" s="4587"/>
      <c r="H359" s="4587"/>
    </row>
    <row r="360" spans="1:8" ht="12.75" customHeight="1">
      <c r="C360" s="2619" t="s">
        <v>3479</v>
      </c>
      <c r="E360" s="4587" t="s">
        <v>3480</v>
      </c>
      <c r="F360" s="4587"/>
      <c r="G360" s="4587"/>
      <c r="H360" s="4587"/>
    </row>
    <row r="361" spans="1:8" ht="12.75" customHeight="1">
      <c r="C361" s="1075"/>
      <c r="D361" s="1074" t="s">
        <v>2822</v>
      </c>
      <c r="E361" s="4588" t="s">
        <v>3481</v>
      </c>
      <c r="F361" s="4588"/>
      <c r="G361" s="4588"/>
      <c r="H361" s="4588"/>
    </row>
    <row r="362" spans="1:8" ht="6" customHeight="1">
      <c r="D362" s="482"/>
      <c r="E362" s="2624"/>
      <c r="F362" s="2624"/>
      <c r="G362" s="2624"/>
      <c r="H362" s="2624"/>
    </row>
    <row r="363" spans="1:8">
      <c r="A363" s="463" t="s">
        <v>3473</v>
      </c>
      <c r="B363" s="480">
        <f>IF('Part V-Revenues &amp; Expenses'!$L$58=0,"",'Part V-Revenues &amp; Expenses'!$L$58)</f>
        <v>14</v>
      </c>
      <c r="C363" s="463" t="s">
        <v>3482</v>
      </c>
      <c r="D363" s="481" t="s">
        <v>3483</v>
      </c>
    </row>
    <row r="364" spans="1:8" ht="1.9" customHeight="1"/>
    <row r="365" spans="1:8" ht="12.75" customHeight="1">
      <c r="C365" s="460" t="s">
        <v>3476</v>
      </c>
      <c r="D365" s="482" t="s">
        <v>212</v>
      </c>
      <c r="E365" s="483"/>
      <c r="F365" s="479" t="s">
        <v>3477</v>
      </c>
      <c r="G365" s="479"/>
      <c r="H365" s="479"/>
    </row>
    <row r="366" spans="1:8" ht="12.75" customHeight="1">
      <c r="C366" s="484" t="s">
        <v>338</v>
      </c>
      <c r="D366" s="482" t="s">
        <v>220</v>
      </c>
      <c r="E366" s="4587" t="s">
        <v>3478</v>
      </c>
      <c r="F366" s="4587"/>
      <c r="G366" s="4587"/>
      <c r="H366" s="4587"/>
    </row>
    <row r="367" spans="1:8" ht="12.75" customHeight="1">
      <c r="C367" s="2619" t="s">
        <v>3479</v>
      </c>
      <c r="E367" s="4587" t="s">
        <v>3480</v>
      </c>
      <c r="F367" s="4587"/>
      <c r="G367" s="4587"/>
      <c r="H367" s="4587"/>
    </row>
    <row r="368" spans="1:8" ht="12.75" customHeight="1">
      <c r="C368" s="1075"/>
      <c r="D368" s="485" t="s">
        <v>2822</v>
      </c>
      <c r="E368" s="4587" t="s">
        <v>3481</v>
      </c>
      <c r="F368" s="4587"/>
      <c r="G368" s="4587"/>
      <c r="H368" s="4587"/>
    </row>
    <row r="369" spans="1:8" ht="3" customHeight="1">
      <c r="D369" s="482"/>
      <c r="E369" s="2624"/>
      <c r="F369" s="2624"/>
      <c r="G369" s="2624"/>
      <c r="H369" s="2624"/>
    </row>
    <row r="370" spans="1:8" ht="12.75" customHeight="1">
      <c r="C370" s="460" t="s">
        <v>3476</v>
      </c>
      <c r="D370" s="482" t="s">
        <v>212</v>
      </c>
      <c r="E370" s="483"/>
      <c r="F370" s="479" t="s">
        <v>3477</v>
      </c>
      <c r="G370" s="479"/>
      <c r="H370" s="479"/>
    </row>
    <row r="371" spans="1:8" ht="12.75" customHeight="1">
      <c r="C371" s="484" t="s">
        <v>338</v>
      </c>
      <c r="D371" s="482" t="s">
        <v>220</v>
      </c>
      <c r="E371" s="4587" t="s">
        <v>3478</v>
      </c>
      <c r="F371" s="4587"/>
      <c r="G371" s="4587"/>
      <c r="H371" s="4587"/>
    </row>
    <row r="372" spans="1:8" ht="12.75" customHeight="1">
      <c r="C372" s="2619" t="s">
        <v>3479</v>
      </c>
      <c r="E372" s="4587" t="s">
        <v>3480</v>
      </c>
      <c r="F372" s="4587"/>
      <c r="G372" s="4587"/>
      <c r="H372" s="4587"/>
    </row>
    <row r="373" spans="1:8" ht="12.75" customHeight="1">
      <c r="C373" s="1075"/>
      <c r="D373" s="1074" t="s">
        <v>2822</v>
      </c>
      <c r="E373" s="4588" t="s">
        <v>3481</v>
      </c>
      <c r="F373" s="4588"/>
      <c r="G373" s="4588"/>
      <c r="H373" s="4588"/>
    </row>
    <row r="374" spans="1:8" ht="3" customHeight="1">
      <c r="D374" s="482"/>
      <c r="E374" s="2624"/>
      <c r="F374" s="2624"/>
      <c r="G374" s="2624"/>
      <c r="H374" s="2624"/>
    </row>
    <row r="375" spans="1:8" ht="12.75" customHeight="1">
      <c r="C375" s="460" t="s">
        <v>3476</v>
      </c>
      <c r="D375" s="482" t="s">
        <v>212</v>
      </c>
      <c r="E375" s="483"/>
      <c r="F375" s="479" t="s">
        <v>3477</v>
      </c>
      <c r="G375" s="479"/>
      <c r="H375" s="479"/>
    </row>
    <row r="376" spans="1:8" ht="12.75" customHeight="1">
      <c r="C376" s="484" t="s">
        <v>338</v>
      </c>
      <c r="D376" s="482" t="s">
        <v>220</v>
      </c>
      <c r="E376" s="4587" t="s">
        <v>3478</v>
      </c>
      <c r="F376" s="4587"/>
      <c r="G376" s="4587"/>
      <c r="H376" s="4587"/>
    </row>
    <row r="377" spans="1:8" ht="12.75" customHeight="1">
      <c r="C377" s="2619" t="s">
        <v>3479</v>
      </c>
      <c r="E377" s="4587" t="s">
        <v>3480</v>
      </c>
      <c r="F377" s="4587"/>
      <c r="G377" s="4587"/>
      <c r="H377" s="4587"/>
    </row>
    <row r="378" spans="1:8" ht="12.75" customHeight="1">
      <c r="C378" s="1075"/>
      <c r="D378" s="1074" t="s">
        <v>2822</v>
      </c>
      <c r="E378" s="4588" t="s">
        <v>3481</v>
      </c>
      <c r="F378" s="4588"/>
      <c r="G378" s="4588"/>
      <c r="H378" s="4588"/>
    </row>
    <row r="379" spans="1:8" ht="6" customHeight="1">
      <c r="D379" s="482"/>
      <c r="E379" s="2624"/>
      <c r="F379" s="2624"/>
      <c r="G379" s="2624"/>
      <c r="H379" s="2624"/>
    </row>
    <row r="380" spans="1:8">
      <c r="A380" s="463" t="s">
        <v>3473</v>
      </c>
      <c r="B380" s="480">
        <f>IF('Part V-Revenues &amp; Expenses'!$M$58=0,"",'Part V-Revenues &amp; Expenses'!$M$58)</f>
        <v>15</v>
      </c>
      <c r="C380" s="463" t="s">
        <v>3484</v>
      </c>
      <c r="D380" s="481" t="s">
        <v>3485</v>
      </c>
    </row>
    <row r="381" spans="1:8" ht="1.9" customHeight="1"/>
    <row r="382" spans="1:8" ht="12.75" customHeight="1">
      <c r="C382" s="460" t="s">
        <v>3476</v>
      </c>
      <c r="D382" s="482" t="s">
        <v>212</v>
      </c>
      <c r="E382" s="483"/>
      <c r="F382" s="479" t="s">
        <v>3477</v>
      </c>
      <c r="G382" s="479"/>
      <c r="H382" s="479"/>
    </row>
    <row r="383" spans="1:8" ht="12.75" customHeight="1">
      <c r="C383" s="484" t="s">
        <v>338</v>
      </c>
      <c r="D383" s="482" t="s">
        <v>220</v>
      </c>
      <c r="E383" s="4587" t="s">
        <v>3478</v>
      </c>
      <c r="F383" s="4587"/>
      <c r="G383" s="4587"/>
      <c r="H383" s="4587"/>
    </row>
    <row r="384" spans="1:8" ht="12.75" customHeight="1">
      <c r="C384" s="2619" t="s">
        <v>3479</v>
      </c>
      <c r="E384" s="4587" t="s">
        <v>3480</v>
      </c>
      <c r="F384" s="4587"/>
      <c r="G384" s="4587"/>
      <c r="H384" s="4587"/>
    </row>
    <row r="385" spans="1:8" ht="12.75" customHeight="1">
      <c r="C385" s="1075"/>
      <c r="D385" s="485" t="s">
        <v>2822</v>
      </c>
      <c r="E385" s="4587" t="s">
        <v>3481</v>
      </c>
      <c r="F385" s="4587"/>
      <c r="G385" s="4587"/>
      <c r="H385" s="4587"/>
    </row>
    <row r="386" spans="1:8" ht="3" customHeight="1">
      <c r="D386" s="482"/>
      <c r="E386" s="2624"/>
      <c r="F386" s="2624"/>
      <c r="G386" s="2624"/>
      <c r="H386" s="2624"/>
    </row>
    <row r="387" spans="1:8" ht="12.75" customHeight="1">
      <c r="C387" s="460" t="s">
        <v>3476</v>
      </c>
      <c r="D387" s="482" t="s">
        <v>212</v>
      </c>
      <c r="E387" s="483"/>
      <c r="F387" s="479" t="s">
        <v>3477</v>
      </c>
      <c r="G387" s="479"/>
      <c r="H387" s="479"/>
    </row>
    <row r="388" spans="1:8" ht="12.75" customHeight="1">
      <c r="C388" s="484" t="s">
        <v>338</v>
      </c>
      <c r="D388" s="482" t="s">
        <v>220</v>
      </c>
      <c r="E388" s="4587" t="s">
        <v>3478</v>
      </c>
      <c r="F388" s="4587"/>
      <c r="G388" s="4587"/>
      <c r="H388" s="4587"/>
    </row>
    <row r="389" spans="1:8" ht="12.75" customHeight="1">
      <c r="C389" s="2619" t="s">
        <v>3479</v>
      </c>
      <c r="E389" s="4587" t="s">
        <v>3480</v>
      </c>
      <c r="F389" s="4587"/>
      <c r="G389" s="4587"/>
      <c r="H389" s="4587"/>
    </row>
    <row r="390" spans="1:8" ht="12.75" customHeight="1">
      <c r="C390" s="1075"/>
      <c r="D390" s="1074" t="s">
        <v>2822</v>
      </c>
      <c r="E390" s="4588" t="s">
        <v>3481</v>
      </c>
      <c r="F390" s="4588"/>
      <c r="G390" s="4588"/>
      <c r="H390" s="4588"/>
    </row>
    <row r="391" spans="1:8" ht="3" customHeight="1">
      <c r="D391" s="482"/>
      <c r="E391" s="2624"/>
      <c r="F391" s="2624"/>
      <c r="G391" s="2624"/>
      <c r="H391" s="2624"/>
    </row>
    <row r="392" spans="1:8" ht="12.75" customHeight="1">
      <c r="C392" s="460" t="s">
        <v>3476</v>
      </c>
      <c r="D392" s="482" t="s">
        <v>212</v>
      </c>
      <c r="E392" s="483"/>
      <c r="F392" s="479" t="s">
        <v>3477</v>
      </c>
      <c r="G392" s="479"/>
      <c r="H392" s="479"/>
    </row>
    <row r="393" spans="1:8" ht="12.75" customHeight="1">
      <c r="C393" s="484" t="s">
        <v>338</v>
      </c>
      <c r="D393" s="482" t="s">
        <v>220</v>
      </c>
      <c r="E393" s="4587" t="s">
        <v>3478</v>
      </c>
      <c r="F393" s="4587"/>
      <c r="G393" s="4587"/>
      <c r="H393" s="4587"/>
    </row>
    <row r="394" spans="1:8" ht="12.75" customHeight="1">
      <c r="C394" s="2619" t="s">
        <v>3479</v>
      </c>
      <c r="E394" s="4587" t="s">
        <v>3480</v>
      </c>
      <c r="F394" s="4587"/>
      <c r="G394" s="4587"/>
      <c r="H394" s="4587"/>
    </row>
    <row r="395" spans="1:8" ht="12.75" customHeight="1">
      <c r="C395" s="1075"/>
      <c r="D395" s="1074" t="s">
        <v>2822</v>
      </c>
      <c r="E395" s="4588" t="s">
        <v>3481</v>
      </c>
      <c r="F395" s="4588"/>
      <c r="G395" s="4588"/>
      <c r="H395" s="4588"/>
    </row>
    <row r="396" spans="1:8" ht="6" customHeight="1">
      <c r="D396" s="482"/>
      <c r="E396" s="2624"/>
      <c r="F396" s="2624"/>
      <c r="G396" s="2624"/>
      <c r="H396" s="2624"/>
    </row>
    <row r="397" spans="1:8">
      <c r="A397" s="463" t="s">
        <v>3473</v>
      </c>
      <c r="B397" s="480" t="str">
        <f>IF('Part V-Revenues &amp; Expenses'!$N$58=0,"",'Part V-Revenues &amp; Expenses'!$N$58)</f>
        <v/>
      </c>
      <c r="C397" s="463" t="s">
        <v>3486</v>
      </c>
      <c r="D397" s="481" t="s">
        <v>3487</v>
      </c>
    </row>
    <row r="398" spans="1:8" ht="1.9" customHeight="1"/>
    <row r="399" spans="1:8" ht="12.75" customHeight="1">
      <c r="C399" s="460" t="s">
        <v>3476</v>
      </c>
      <c r="D399" s="482" t="s">
        <v>212</v>
      </c>
      <c r="E399" s="483"/>
      <c r="F399" s="479" t="s">
        <v>3477</v>
      </c>
      <c r="G399" s="479"/>
      <c r="H399" s="479"/>
    </row>
    <row r="400" spans="1:8" ht="12.75" customHeight="1">
      <c r="C400" s="484" t="s">
        <v>338</v>
      </c>
      <c r="D400" s="482" t="s">
        <v>220</v>
      </c>
      <c r="E400" s="4587" t="s">
        <v>3478</v>
      </c>
      <c r="F400" s="4587"/>
      <c r="G400" s="4587"/>
      <c r="H400" s="4587"/>
    </row>
    <row r="401" spans="1:11" ht="12.75" customHeight="1">
      <c r="C401" s="2619" t="s">
        <v>3479</v>
      </c>
      <c r="E401" s="4587" t="s">
        <v>3480</v>
      </c>
      <c r="F401" s="4587"/>
      <c r="G401" s="4587"/>
      <c r="H401" s="4587"/>
    </row>
    <row r="402" spans="1:11" ht="12.75" customHeight="1">
      <c r="C402" s="1075"/>
      <c r="D402" s="485" t="s">
        <v>2822</v>
      </c>
      <c r="E402" s="4587" t="s">
        <v>3481</v>
      </c>
      <c r="F402" s="4587"/>
      <c r="G402" s="4587"/>
      <c r="H402" s="4587"/>
    </row>
    <row r="403" spans="1:11" ht="3" customHeight="1">
      <c r="D403" s="482"/>
      <c r="E403" s="2624"/>
      <c r="F403" s="2624"/>
      <c r="G403" s="2624"/>
      <c r="H403" s="2624"/>
    </row>
    <row r="404" spans="1:11" ht="12.75" customHeight="1">
      <c r="C404" s="460" t="s">
        <v>3476</v>
      </c>
      <c r="D404" s="482" t="s">
        <v>212</v>
      </c>
      <c r="E404" s="483"/>
      <c r="F404" s="479" t="s">
        <v>3477</v>
      </c>
      <c r="G404" s="479"/>
      <c r="H404" s="479"/>
    </row>
    <row r="405" spans="1:11" ht="12.75" customHeight="1">
      <c r="C405" s="484" t="s">
        <v>338</v>
      </c>
      <c r="D405" s="482" t="s">
        <v>220</v>
      </c>
      <c r="E405" s="4587" t="s">
        <v>3478</v>
      </c>
      <c r="F405" s="4587"/>
      <c r="G405" s="4587"/>
      <c r="H405" s="4587"/>
    </row>
    <row r="406" spans="1:11" ht="12.75" customHeight="1">
      <c r="C406" s="2619" t="s">
        <v>3479</v>
      </c>
      <c r="E406" s="4587" t="s">
        <v>3480</v>
      </c>
      <c r="F406" s="4587"/>
      <c r="G406" s="4587"/>
      <c r="H406" s="4587"/>
    </row>
    <row r="407" spans="1:11" ht="12.75" customHeight="1">
      <c r="C407" s="1075"/>
      <c r="D407" s="1074" t="s">
        <v>2822</v>
      </c>
      <c r="E407" s="4588" t="s">
        <v>3481</v>
      </c>
      <c r="F407" s="4588"/>
      <c r="G407" s="4588"/>
      <c r="H407" s="4588"/>
    </row>
    <row r="408" spans="1:11" ht="3" customHeight="1">
      <c r="D408" s="482"/>
      <c r="E408" s="2624"/>
      <c r="F408" s="2624"/>
      <c r="G408" s="2624"/>
      <c r="H408" s="2624"/>
    </row>
    <row r="409" spans="1:11" ht="12.75" customHeight="1">
      <c r="C409" s="460" t="s">
        <v>3476</v>
      </c>
      <c r="D409" s="482" t="s">
        <v>212</v>
      </c>
      <c r="E409" s="483"/>
      <c r="F409" s="479" t="s">
        <v>3477</v>
      </c>
      <c r="G409" s="479"/>
      <c r="H409" s="479"/>
    </row>
    <row r="410" spans="1:11" ht="12.75" customHeight="1">
      <c r="C410" s="484" t="s">
        <v>338</v>
      </c>
      <c r="D410" s="482" t="s">
        <v>220</v>
      </c>
      <c r="E410" s="4587" t="s">
        <v>3478</v>
      </c>
      <c r="F410" s="4587"/>
      <c r="G410" s="4587"/>
      <c r="H410" s="4587"/>
    </row>
    <row r="411" spans="1:11" ht="12.75" customHeight="1">
      <c r="C411" s="2619" t="s">
        <v>3479</v>
      </c>
      <c r="E411" s="4587" t="s">
        <v>3480</v>
      </c>
      <c r="F411" s="4587"/>
      <c r="G411" s="4587"/>
      <c r="H411" s="4587"/>
    </row>
    <row r="412" spans="1:11" ht="12.75" customHeight="1">
      <c r="C412" s="1075"/>
      <c r="D412" s="1074" t="s">
        <v>2822</v>
      </c>
      <c r="E412" s="4588" t="s">
        <v>3481</v>
      </c>
      <c r="F412" s="4588"/>
      <c r="G412" s="4588"/>
      <c r="H412" s="4588"/>
    </row>
    <row r="413" spans="1:11" ht="6" customHeight="1">
      <c r="D413" s="482"/>
      <c r="E413" s="2624"/>
      <c r="F413" s="2624"/>
      <c r="G413" s="2624"/>
      <c r="H413" s="2624"/>
    </row>
    <row r="414" spans="1:11">
      <c r="A414" s="463" t="s">
        <v>3473</v>
      </c>
      <c r="B414" s="480" t="str">
        <f>IF('Part V-Revenues &amp; Expenses'!$O$58=0,"",'Part V-Revenues &amp; Expenses'!$O$58)</f>
        <v/>
      </c>
      <c r="C414" s="463" t="s">
        <v>3488</v>
      </c>
      <c r="D414" s="481" t="s">
        <v>3489</v>
      </c>
    </row>
    <row r="415" spans="1:11" ht="1.9" customHeight="1"/>
    <row r="416" spans="1:11" ht="12.75" customHeight="1">
      <c r="C416" s="460" t="s">
        <v>3476</v>
      </c>
      <c r="D416" s="482" t="s">
        <v>212</v>
      </c>
      <c r="E416" s="483"/>
      <c r="F416" s="4587" t="s">
        <v>3477</v>
      </c>
      <c r="G416" s="4587"/>
      <c r="H416" s="4587"/>
      <c r="K416" s="314" t="s">
        <v>3017</v>
      </c>
    </row>
    <row r="417" spans="1:8" ht="12.75" customHeight="1">
      <c r="C417" s="484" t="s">
        <v>338</v>
      </c>
      <c r="D417" s="482" t="s">
        <v>220</v>
      </c>
      <c r="E417" s="4587" t="s">
        <v>3490</v>
      </c>
      <c r="F417" s="4587"/>
      <c r="G417" s="4587"/>
      <c r="H417" s="4587"/>
    </row>
    <row r="418" spans="1:8" ht="12.75" customHeight="1">
      <c r="E418" s="4587" t="s">
        <v>3480</v>
      </c>
      <c r="F418" s="4587"/>
      <c r="G418" s="4587"/>
      <c r="H418" s="4587"/>
    </row>
    <row r="419" spans="1:8" ht="12.75" customHeight="1">
      <c r="D419" s="485" t="s">
        <v>2822</v>
      </c>
      <c r="E419" s="4587" t="s">
        <v>3481</v>
      </c>
      <c r="F419" s="4587"/>
      <c r="G419" s="4587"/>
      <c r="H419" s="4587"/>
    </row>
    <row r="420" spans="1:8" ht="9" customHeight="1" thickBot="1"/>
    <row r="421" spans="1:8" ht="16.149999999999999" customHeight="1" thickBot="1">
      <c r="A421" s="4594">
        <v>70</v>
      </c>
      <c r="B421" s="4595"/>
      <c r="C421" s="1076" t="s">
        <v>1207</v>
      </c>
    </row>
    <row r="422" spans="1:8" ht="9" customHeight="1">
      <c r="A422" s="456"/>
    </row>
    <row r="423" spans="1:8" ht="28.15" customHeight="1">
      <c r="A423" s="4587" t="s">
        <v>3495</v>
      </c>
      <c r="B423" s="4587"/>
      <c r="C423" s="4587"/>
      <c r="D423" s="4587"/>
      <c r="E423" s="4587"/>
      <c r="F423" s="4587"/>
      <c r="G423" s="4587"/>
      <c r="H423" s="4587"/>
    </row>
    <row r="424" spans="1:8" ht="9" customHeight="1">
      <c r="A424" s="456"/>
    </row>
    <row r="425" spans="1:8">
      <c r="A425" s="463" t="s">
        <v>3473</v>
      </c>
      <c r="B425" s="480" t="str">
        <f>IF('Part V-Revenues &amp; Expenses'!$K$57=0,"",'Part V-Revenues &amp; Expenses'!$K$57)</f>
        <v/>
      </c>
      <c r="C425" s="463" t="s">
        <v>3474</v>
      </c>
      <c r="D425" s="481" t="s">
        <v>3475</v>
      </c>
    </row>
    <row r="426" spans="1:8" ht="1.9" customHeight="1"/>
    <row r="427" spans="1:8" ht="12.75" customHeight="1">
      <c r="C427" s="460" t="s">
        <v>3476</v>
      </c>
      <c r="D427" s="482" t="s">
        <v>212</v>
      </c>
      <c r="E427" s="483"/>
      <c r="F427" s="4587" t="s">
        <v>3477</v>
      </c>
      <c r="G427" s="4587"/>
      <c r="H427" s="4587"/>
    </row>
    <row r="428" spans="1:8" ht="12.75" customHeight="1">
      <c r="C428" s="484" t="s">
        <v>338</v>
      </c>
      <c r="D428" s="482" t="s">
        <v>220</v>
      </c>
      <c r="E428" s="4587" t="s">
        <v>3478</v>
      </c>
      <c r="F428" s="4587"/>
      <c r="G428" s="4587"/>
      <c r="H428" s="4587"/>
    </row>
    <row r="429" spans="1:8" ht="12.75" customHeight="1">
      <c r="C429" s="2619" t="s">
        <v>3479</v>
      </c>
      <c r="E429" s="4587" t="s">
        <v>3480</v>
      </c>
      <c r="F429" s="4587"/>
      <c r="G429" s="4587"/>
      <c r="H429" s="4587"/>
    </row>
    <row r="430" spans="1:8" ht="12.75" customHeight="1">
      <c r="C430" s="1075"/>
      <c r="D430" s="1074" t="s">
        <v>2822</v>
      </c>
      <c r="E430" s="4588" t="s">
        <v>3481</v>
      </c>
      <c r="F430" s="4588"/>
      <c r="G430" s="4588"/>
      <c r="H430" s="4588"/>
    </row>
    <row r="431" spans="1:8" ht="3" customHeight="1">
      <c r="D431" s="482"/>
      <c r="E431" s="2624"/>
      <c r="F431" s="2624"/>
      <c r="G431" s="2624"/>
      <c r="H431" s="2624"/>
    </row>
    <row r="432" spans="1:8" ht="12.75" customHeight="1">
      <c r="C432" s="460" t="s">
        <v>3476</v>
      </c>
      <c r="D432" s="482" t="s">
        <v>212</v>
      </c>
      <c r="E432" s="483"/>
      <c r="F432" s="479" t="s">
        <v>3477</v>
      </c>
      <c r="G432" s="479"/>
      <c r="H432" s="479"/>
    </row>
    <row r="433" spans="1:8" ht="12.75" customHeight="1">
      <c r="C433" s="484" t="s">
        <v>338</v>
      </c>
      <c r="D433" s="482" t="s">
        <v>220</v>
      </c>
      <c r="E433" s="4587" t="s">
        <v>3478</v>
      </c>
      <c r="F433" s="4587"/>
      <c r="G433" s="4587"/>
      <c r="H433" s="4587"/>
    </row>
    <row r="434" spans="1:8" ht="12.75" customHeight="1">
      <c r="C434" s="2619" t="s">
        <v>3479</v>
      </c>
      <c r="E434" s="4587" t="s">
        <v>3480</v>
      </c>
      <c r="F434" s="4587"/>
      <c r="G434" s="4587"/>
      <c r="H434" s="4587"/>
    </row>
    <row r="435" spans="1:8" ht="12.75" customHeight="1">
      <c r="C435" s="1075"/>
      <c r="D435" s="1074" t="s">
        <v>2822</v>
      </c>
      <c r="E435" s="4588" t="s">
        <v>3481</v>
      </c>
      <c r="F435" s="4588"/>
      <c r="G435" s="4588"/>
      <c r="H435" s="4588"/>
    </row>
    <row r="436" spans="1:8" ht="3" customHeight="1">
      <c r="D436" s="482"/>
      <c r="E436" s="2624"/>
      <c r="F436" s="2624"/>
      <c r="G436" s="2624"/>
      <c r="H436" s="2624"/>
    </row>
    <row r="437" spans="1:8" ht="12.75" customHeight="1">
      <c r="C437" s="460" t="s">
        <v>3476</v>
      </c>
      <c r="D437" s="482" t="s">
        <v>212</v>
      </c>
      <c r="E437" s="483"/>
      <c r="F437" s="479" t="s">
        <v>3477</v>
      </c>
      <c r="G437" s="479"/>
      <c r="H437" s="479"/>
    </row>
    <row r="438" spans="1:8" ht="12.75" customHeight="1">
      <c r="C438" s="484" t="s">
        <v>338</v>
      </c>
      <c r="D438" s="482" t="s">
        <v>220</v>
      </c>
      <c r="E438" s="4587" t="s">
        <v>3478</v>
      </c>
      <c r="F438" s="4587"/>
      <c r="G438" s="4587"/>
      <c r="H438" s="4587"/>
    </row>
    <row r="439" spans="1:8" ht="12.75" customHeight="1">
      <c r="C439" s="2619" t="s">
        <v>3479</v>
      </c>
      <c r="E439" s="4587" t="s">
        <v>3480</v>
      </c>
      <c r="F439" s="4587"/>
      <c r="G439" s="4587"/>
      <c r="H439" s="4587"/>
    </row>
    <row r="440" spans="1:8" ht="12.75" customHeight="1">
      <c r="C440" s="1075"/>
      <c r="D440" s="1074" t="s">
        <v>2822</v>
      </c>
      <c r="E440" s="4588" t="s">
        <v>3481</v>
      </c>
      <c r="F440" s="4588"/>
      <c r="G440" s="4588"/>
      <c r="H440" s="4588"/>
    </row>
    <row r="441" spans="1:8" ht="6" customHeight="1">
      <c r="D441" s="482"/>
      <c r="E441" s="2624"/>
      <c r="F441" s="2624"/>
      <c r="G441" s="2624"/>
      <c r="H441" s="2624"/>
    </row>
    <row r="442" spans="1:8">
      <c r="A442" s="463" t="s">
        <v>3473</v>
      </c>
      <c r="B442" s="480" t="str">
        <f>IF('Part V-Revenues &amp; Expenses'!$L$57=0,"",'Part V-Revenues &amp; Expenses'!$L$57)</f>
        <v/>
      </c>
      <c r="C442" s="463" t="s">
        <v>3482</v>
      </c>
      <c r="D442" s="481" t="s">
        <v>3483</v>
      </c>
    </row>
    <row r="443" spans="1:8" ht="1.9" customHeight="1"/>
    <row r="444" spans="1:8" ht="12.75" customHeight="1">
      <c r="C444" s="460" t="s">
        <v>3476</v>
      </c>
      <c r="D444" s="482" t="s">
        <v>212</v>
      </c>
      <c r="E444" s="483"/>
      <c r="F444" s="479" t="s">
        <v>3477</v>
      </c>
      <c r="G444" s="479"/>
      <c r="H444" s="479"/>
    </row>
    <row r="445" spans="1:8" ht="12.75" customHeight="1">
      <c r="C445" s="484" t="s">
        <v>338</v>
      </c>
      <c r="D445" s="482" t="s">
        <v>220</v>
      </c>
      <c r="E445" s="4587" t="s">
        <v>3478</v>
      </c>
      <c r="F445" s="4587"/>
      <c r="G445" s="4587"/>
      <c r="H445" s="4587"/>
    </row>
    <row r="446" spans="1:8" ht="12.75" customHeight="1">
      <c r="C446" s="2619" t="s">
        <v>3479</v>
      </c>
      <c r="E446" s="4587" t="s">
        <v>3480</v>
      </c>
      <c r="F446" s="4587"/>
      <c r="G446" s="4587"/>
      <c r="H446" s="4587"/>
    </row>
    <row r="447" spans="1:8" ht="12.75" customHeight="1">
      <c r="C447" s="1075"/>
      <c r="D447" s="485" t="s">
        <v>2822</v>
      </c>
      <c r="E447" s="4587" t="s">
        <v>3481</v>
      </c>
      <c r="F447" s="4587"/>
      <c r="G447" s="4587"/>
      <c r="H447" s="4587"/>
    </row>
    <row r="448" spans="1:8" ht="3" customHeight="1">
      <c r="D448" s="482"/>
      <c r="E448" s="2624"/>
      <c r="F448" s="2624"/>
      <c r="G448" s="2624"/>
      <c r="H448" s="2624"/>
    </row>
    <row r="449" spans="1:8" ht="12.75" customHeight="1">
      <c r="C449" s="460" t="s">
        <v>3476</v>
      </c>
      <c r="D449" s="482" t="s">
        <v>212</v>
      </c>
      <c r="E449" s="483"/>
      <c r="F449" s="479" t="s">
        <v>3477</v>
      </c>
      <c r="G449" s="479"/>
      <c r="H449" s="479"/>
    </row>
    <row r="450" spans="1:8" ht="12.75" customHeight="1">
      <c r="C450" s="484" t="s">
        <v>338</v>
      </c>
      <c r="D450" s="482" t="s">
        <v>220</v>
      </c>
      <c r="E450" s="4587" t="s">
        <v>3478</v>
      </c>
      <c r="F450" s="4587"/>
      <c r="G450" s="4587"/>
      <c r="H450" s="4587"/>
    </row>
    <row r="451" spans="1:8" ht="12.75" customHeight="1">
      <c r="C451" s="2619" t="s">
        <v>3479</v>
      </c>
      <c r="E451" s="4587" t="s">
        <v>3480</v>
      </c>
      <c r="F451" s="4587"/>
      <c r="G451" s="4587"/>
      <c r="H451" s="4587"/>
    </row>
    <row r="452" spans="1:8" ht="12.75" customHeight="1">
      <c r="C452" s="1075"/>
      <c r="D452" s="1074" t="s">
        <v>2822</v>
      </c>
      <c r="E452" s="4588" t="s">
        <v>3481</v>
      </c>
      <c r="F452" s="4588"/>
      <c r="G452" s="4588"/>
      <c r="H452" s="4588"/>
    </row>
    <row r="453" spans="1:8" ht="3" customHeight="1">
      <c r="D453" s="482"/>
      <c r="E453" s="2624"/>
      <c r="F453" s="2624"/>
      <c r="G453" s="2624"/>
      <c r="H453" s="2624"/>
    </row>
    <row r="454" spans="1:8" ht="12.75" customHeight="1">
      <c r="C454" s="460" t="s">
        <v>3476</v>
      </c>
      <c r="D454" s="482" t="s">
        <v>212</v>
      </c>
      <c r="E454" s="483"/>
      <c r="F454" s="479" t="s">
        <v>3477</v>
      </c>
      <c r="G454" s="479"/>
      <c r="H454" s="479"/>
    </row>
    <row r="455" spans="1:8" ht="12.75" customHeight="1">
      <c r="C455" s="484" t="s">
        <v>338</v>
      </c>
      <c r="D455" s="482" t="s">
        <v>220</v>
      </c>
      <c r="E455" s="4587" t="s">
        <v>3478</v>
      </c>
      <c r="F455" s="4587"/>
      <c r="G455" s="4587"/>
      <c r="H455" s="4587"/>
    </row>
    <row r="456" spans="1:8" ht="12.75" customHeight="1">
      <c r="C456" s="2619" t="s">
        <v>3479</v>
      </c>
      <c r="E456" s="4587" t="s">
        <v>3480</v>
      </c>
      <c r="F456" s="4587"/>
      <c r="G456" s="4587"/>
      <c r="H456" s="4587"/>
    </row>
    <row r="457" spans="1:8" ht="12.75" customHeight="1">
      <c r="C457" s="1075"/>
      <c r="D457" s="1074" t="s">
        <v>2822</v>
      </c>
      <c r="E457" s="4588" t="s">
        <v>3481</v>
      </c>
      <c r="F457" s="4588"/>
      <c r="G457" s="4588"/>
      <c r="H457" s="4588"/>
    </row>
    <row r="458" spans="1:8" ht="6" customHeight="1">
      <c r="D458" s="482"/>
      <c r="E458" s="2624"/>
      <c r="F458" s="2624"/>
      <c r="G458" s="2624"/>
      <c r="H458" s="2624"/>
    </row>
    <row r="459" spans="1:8">
      <c r="A459" s="463" t="s">
        <v>3473</v>
      </c>
      <c r="B459" s="480" t="str">
        <f>IF('Part V-Revenues &amp; Expenses'!$M$57=0,"",'Part V-Revenues &amp; Expenses'!$M$57)</f>
        <v/>
      </c>
      <c r="C459" s="463" t="s">
        <v>3484</v>
      </c>
      <c r="D459" s="481" t="s">
        <v>3485</v>
      </c>
    </row>
    <row r="460" spans="1:8" ht="1.9" customHeight="1"/>
    <row r="461" spans="1:8" ht="12.75" customHeight="1">
      <c r="C461" s="460" t="s">
        <v>3476</v>
      </c>
      <c r="D461" s="482" t="s">
        <v>212</v>
      </c>
      <c r="E461" s="483"/>
      <c r="F461" s="479" t="s">
        <v>3477</v>
      </c>
      <c r="G461" s="479"/>
      <c r="H461" s="479"/>
    </row>
    <row r="462" spans="1:8" ht="12.75" customHeight="1">
      <c r="C462" s="484" t="s">
        <v>338</v>
      </c>
      <c r="D462" s="482" t="s">
        <v>220</v>
      </c>
      <c r="E462" s="4587" t="s">
        <v>3478</v>
      </c>
      <c r="F462" s="4587"/>
      <c r="G462" s="4587"/>
      <c r="H462" s="4587"/>
    </row>
    <row r="463" spans="1:8" ht="12.75" customHeight="1">
      <c r="C463" s="2619" t="s">
        <v>3479</v>
      </c>
      <c r="E463" s="4587" t="s">
        <v>3480</v>
      </c>
      <c r="F463" s="4587"/>
      <c r="G463" s="4587"/>
      <c r="H463" s="4587"/>
    </row>
    <row r="464" spans="1:8" ht="12.75" customHeight="1">
      <c r="C464" s="1075"/>
      <c r="D464" s="485" t="s">
        <v>2822</v>
      </c>
      <c r="E464" s="4587" t="s">
        <v>3481</v>
      </c>
      <c r="F464" s="4587"/>
      <c r="G464" s="4587"/>
      <c r="H464" s="4587"/>
    </row>
    <row r="465" spans="1:8" ht="3" customHeight="1">
      <c r="D465" s="482"/>
      <c r="E465" s="2624"/>
      <c r="F465" s="2624"/>
      <c r="G465" s="2624"/>
      <c r="H465" s="2624"/>
    </row>
    <row r="466" spans="1:8" ht="12.75" customHeight="1">
      <c r="C466" s="460" t="s">
        <v>3476</v>
      </c>
      <c r="D466" s="482" t="s">
        <v>212</v>
      </c>
      <c r="E466" s="483"/>
      <c r="F466" s="479" t="s">
        <v>3477</v>
      </c>
      <c r="G466" s="479"/>
      <c r="H466" s="479"/>
    </row>
    <row r="467" spans="1:8" ht="12.75" customHeight="1">
      <c r="C467" s="484" t="s">
        <v>338</v>
      </c>
      <c r="D467" s="482" t="s">
        <v>220</v>
      </c>
      <c r="E467" s="4587" t="s">
        <v>3478</v>
      </c>
      <c r="F467" s="4587"/>
      <c r="G467" s="4587"/>
      <c r="H467" s="4587"/>
    </row>
    <row r="468" spans="1:8" ht="12.75" customHeight="1">
      <c r="C468" s="2619" t="s">
        <v>3479</v>
      </c>
      <c r="E468" s="4587" t="s">
        <v>3480</v>
      </c>
      <c r="F468" s="4587"/>
      <c r="G468" s="4587"/>
      <c r="H468" s="4587"/>
    </row>
    <row r="469" spans="1:8" ht="12.75" customHeight="1">
      <c r="C469" s="1075"/>
      <c r="D469" s="1074" t="s">
        <v>2822</v>
      </c>
      <c r="E469" s="4588" t="s">
        <v>3481</v>
      </c>
      <c r="F469" s="4588"/>
      <c r="G469" s="4588"/>
      <c r="H469" s="4588"/>
    </row>
    <row r="470" spans="1:8" ht="3" customHeight="1">
      <c r="D470" s="482"/>
      <c r="E470" s="2624"/>
      <c r="F470" s="2624"/>
      <c r="G470" s="2624"/>
      <c r="H470" s="2624"/>
    </row>
    <row r="471" spans="1:8" ht="12.75" customHeight="1">
      <c r="C471" s="460" t="s">
        <v>3476</v>
      </c>
      <c r="D471" s="482" t="s">
        <v>212</v>
      </c>
      <c r="E471" s="483"/>
      <c r="F471" s="479" t="s">
        <v>3477</v>
      </c>
      <c r="G471" s="479"/>
      <c r="H471" s="479"/>
    </row>
    <row r="472" spans="1:8" ht="12.75" customHeight="1">
      <c r="C472" s="484" t="s">
        <v>338</v>
      </c>
      <c r="D472" s="482" t="s">
        <v>220</v>
      </c>
      <c r="E472" s="4587" t="s">
        <v>3478</v>
      </c>
      <c r="F472" s="4587"/>
      <c r="G472" s="4587"/>
      <c r="H472" s="4587"/>
    </row>
    <row r="473" spans="1:8" ht="12.75" customHeight="1">
      <c r="C473" s="2619" t="s">
        <v>3479</v>
      </c>
      <c r="E473" s="4587" t="s">
        <v>3480</v>
      </c>
      <c r="F473" s="4587"/>
      <c r="G473" s="4587"/>
      <c r="H473" s="4587"/>
    </row>
    <row r="474" spans="1:8" ht="12.75" customHeight="1">
      <c r="C474" s="1075"/>
      <c r="D474" s="1074" t="s">
        <v>2822</v>
      </c>
      <c r="E474" s="4588" t="s">
        <v>3481</v>
      </c>
      <c r="F474" s="4588"/>
      <c r="G474" s="4588"/>
      <c r="H474" s="4588"/>
    </row>
    <row r="475" spans="1:8" ht="6" customHeight="1">
      <c r="D475" s="482"/>
      <c r="E475" s="2624"/>
      <c r="F475" s="2624"/>
      <c r="G475" s="2624"/>
      <c r="H475" s="2624"/>
    </row>
    <row r="476" spans="1:8">
      <c r="A476" s="463" t="s">
        <v>3473</v>
      </c>
      <c r="B476" s="480" t="str">
        <f>IF('Part V-Revenues &amp; Expenses'!$N$57=0,"",'Part V-Revenues &amp; Expenses'!$N$57)</f>
        <v/>
      </c>
      <c r="C476" s="463" t="s">
        <v>3486</v>
      </c>
      <c r="D476" s="481" t="s">
        <v>3487</v>
      </c>
    </row>
    <row r="477" spans="1:8" ht="1.9" customHeight="1"/>
    <row r="478" spans="1:8" ht="12.75" customHeight="1">
      <c r="C478" s="460" t="s">
        <v>3476</v>
      </c>
      <c r="D478" s="482" t="s">
        <v>212</v>
      </c>
      <c r="E478" s="483"/>
      <c r="F478" s="479" t="s">
        <v>3477</v>
      </c>
      <c r="G478" s="479"/>
      <c r="H478" s="479"/>
    </row>
    <row r="479" spans="1:8" ht="12.75" customHeight="1">
      <c r="C479" s="484" t="s">
        <v>338</v>
      </c>
      <c r="D479" s="482" t="s">
        <v>220</v>
      </c>
      <c r="E479" s="4587" t="s">
        <v>3478</v>
      </c>
      <c r="F479" s="4587"/>
      <c r="G479" s="4587"/>
      <c r="H479" s="4587"/>
    </row>
    <row r="480" spans="1:8" ht="12.75" customHeight="1">
      <c r="C480" s="2619" t="s">
        <v>3479</v>
      </c>
      <c r="E480" s="4587" t="s">
        <v>3480</v>
      </c>
      <c r="F480" s="4587"/>
      <c r="G480" s="4587"/>
      <c r="H480" s="4587"/>
    </row>
    <row r="481" spans="1:11" ht="12.75" customHeight="1">
      <c r="C481" s="1075"/>
      <c r="D481" s="485" t="s">
        <v>2822</v>
      </c>
      <c r="E481" s="4587" t="s">
        <v>3481</v>
      </c>
      <c r="F481" s="4587"/>
      <c r="G481" s="4587"/>
      <c r="H481" s="4587"/>
    </row>
    <row r="482" spans="1:11" ht="3" customHeight="1">
      <c r="D482" s="482"/>
      <c r="E482" s="2624"/>
      <c r="F482" s="2624"/>
      <c r="G482" s="2624"/>
      <c r="H482" s="2624"/>
    </row>
    <row r="483" spans="1:11" ht="12.75" customHeight="1">
      <c r="C483" s="460" t="s">
        <v>3476</v>
      </c>
      <c r="D483" s="482" t="s">
        <v>212</v>
      </c>
      <c r="E483" s="483"/>
      <c r="F483" s="479" t="s">
        <v>3477</v>
      </c>
      <c r="G483" s="479"/>
      <c r="H483" s="479"/>
    </row>
    <row r="484" spans="1:11" ht="12.75" customHeight="1">
      <c r="C484" s="484" t="s">
        <v>338</v>
      </c>
      <c r="D484" s="482" t="s">
        <v>220</v>
      </c>
      <c r="E484" s="4587" t="s">
        <v>3478</v>
      </c>
      <c r="F484" s="4587"/>
      <c r="G484" s="4587"/>
      <c r="H484" s="4587"/>
    </row>
    <row r="485" spans="1:11" ht="12.75" customHeight="1">
      <c r="C485" s="2619" t="s">
        <v>3479</v>
      </c>
      <c r="E485" s="4587" t="s">
        <v>3480</v>
      </c>
      <c r="F485" s="4587"/>
      <c r="G485" s="4587"/>
      <c r="H485" s="4587"/>
    </row>
    <row r="486" spans="1:11" ht="12.75" customHeight="1">
      <c r="C486" s="1075"/>
      <c r="D486" s="1074" t="s">
        <v>2822</v>
      </c>
      <c r="E486" s="4588" t="s">
        <v>3481</v>
      </c>
      <c r="F486" s="4588"/>
      <c r="G486" s="4588"/>
      <c r="H486" s="4588"/>
    </row>
    <row r="487" spans="1:11" ht="3" customHeight="1">
      <c r="D487" s="482"/>
      <c r="E487" s="2624"/>
      <c r="F487" s="2624"/>
      <c r="G487" s="2624"/>
      <c r="H487" s="2624"/>
    </row>
    <row r="488" spans="1:11" ht="12.75" customHeight="1">
      <c r="C488" s="460" t="s">
        <v>3476</v>
      </c>
      <c r="D488" s="482" t="s">
        <v>212</v>
      </c>
      <c r="E488" s="483"/>
      <c r="F488" s="479" t="s">
        <v>3477</v>
      </c>
      <c r="G488" s="479"/>
      <c r="H488" s="479"/>
    </row>
    <row r="489" spans="1:11" ht="12.75" customHeight="1">
      <c r="C489" s="484" t="s">
        <v>338</v>
      </c>
      <c r="D489" s="482" t="s">
        <v>220</v>
      </c>
      <c r="E489" s="4587" t="s">
        <v>3478</v>
      </c>
      <c r="F489" s="4587"/>
      <c r="G489" s="4587"/>
      <c r="H489" s="4587"/>
    </row>
    <row r="490" spans="1:11" ht="12.75" customHeight="1">
      <c r="C490" s="2619" t="s">
        <v>3479</v>
      </c>
      <c r="E490" s="4587" t="s">
        <v>3480</v>
      </c>
      <c r="F490" s="4587"/>
      <c r="G490" s="4587"/>
      <c r="H490" s="4587"/>
    </row>
    <row r="491" spans="1:11" ht="12.75" customHeight="1">
      <c r="C491" s="1075"/>
      <c r="D491" s="1074" t="s">
        <v>2822</v>
      </c>
      <c r="E491" s="4588" t="s">
        <v>3481</v>
      </c>
      <c r="F491" s="4588"/>
      <c r="G491" s="4588"/>
      <c r="H491" s="4588"/>
    </row>
    <row r="492" spans="1:11" ht="6" customHeight="1">
      <c r="D492" s="482"/>
      <c r="E492" s="2624"/>
      <c r="F492" s="2624"/>
      <c r="G492" s="2624"/>
      <c r="H492" s="2624"/>
    </row>
    <row r="493" spans="1:11">
      <c r="A493" s="463" t="s">
        <v>3473</v>
      </c>
      <c r="B493" s="480" t="str">
        <f>IF('Part V-Revenues &amp; Expenses'!$O$57=0,"",'Part V-Revenues &amp; Expenses'!$O$57)</f>
        <v/>
      </c>
      <c r="C493" s="463" t="s">
        <v>3488</v>
      </c>
      <c r="D493" s="481" t="s">
        <v>3489</v>
      </c>
    </row>
    <row r="494" spans="1:11" ht="1.9" customHeight="1"/>
    <row r="495" spans="1:11" ht="12.75" customHeight="1">
      <c r="C495" s="460" t="s">
        <v>3476</v>
      </c>
      <c r="D495" s="482" t="s">
        <v>212</v>
      </c>
      <c r="E495" s="483"/>
      <c r="F495" s="4587" t="s">
        <v>3477</v>
      </c>
      <c r="G495" s="4587"/>
      <c r="H495" s="4587"/>
      <c r="K495" s="314" t="s">
        <v>3017</v>
      </c>
    </row>
    <row r="496" spans="1:11" ht="12.75" customHeight="1">
      <c r="C496" s="484" t="s">
        <v>338</v>
      </c>
      <c r="D496" s="482" t="s">
        <v>220</v>
      </c>
      <c r="E496" s="4587" t="s">
        <v>3490</v>
      </c>
      <c r="F496" s="4587"/>
      <c r="G496" s="4587"/>
      <c r="H496" s="4587"/>
    </row>
    <row r="497" spans="1:8" ht="12.75" customHeight="1">
      <c r="E497" s="4587" t="s">
        <v>3480</v>
      </c>
      <c r="F497" s="4587"/>
      <c r="G497" s="4587"/>
      <c r="H497" s="4587"/>
    </row>
    <row r="498" spans="1:8" ht="12.75" customHeight="1">
      <c r="D498" s="485" t="s">
        <v>2822</v>
      </c>
      <c r="E498" s="4587" t="s">
        <v>3481</v>
      </c>
      <c r="F498" s="4587"/>
      <c r="G498" s="4587"/>
      <c r="H498" s="4587"/>
    </row>
    <row r="499" spans="1:8" ht="9" customHeight="1" thickBot="1"/>
    <row r="500" spans="1:8" ht="16.149999999999999" customHeight="1" thickBot="1">
      <c r="A500" s="4594">
        <v>80</v>
      </c>
      <c r="B500" s="4595"/>
      <c r="C500" s="1076" t="s">
        <v>1207</v>
      </c>
    </row>
    <row r="501" spans="1:8" ht="9" customHeight="1">
      <c r="A501" s="456"/>
    </row>
    <row r="502" spans="1:8" ht="28.15" customHeight="1">
      <c r="A502" s="4587" t="s">
        <v>3496</v>
      </c>
      <c r="B502" s="4587"/>
      <c r="C502" s="4587"/>
      <c r="D502" s="4587"/>
      <c r="E502" s="4587"/>
      <c r="F502" s="4587"/>
      <c r="G502" s="4587"/>
      <c r="H502" s="4587"/>
    </row>
    <row r="503" spans="1:8" ht="9" customHeight="1">
      <c r="A503" s="456"/>
    </row>
    <row r="504" spans="1:8">
      <c r="A504" s="463" t="s">
        <v>3473</v>
      </c>
      <c r="B504" s="480" t="str">
        <f>IF('Part V-Revenues &amp; Expenses'!$K$56=0,"",'Part V-Revenues &amp; Expenses'!$K$56)</f>
        <v/>
      </c>
      <c r="C504" s="463" t="s">
        <v>3474</v>
      </c>
      <c r="D504" s="481" t="s">
        <v>3475</v>
      </c>
    </row>
    <row r="505" spans="1:8" ht="1.9" customHeight="1"/>
    <row r="506" spans="1:8" ht="12.75" customHeight="1">
      <c r="C506" s="460" t="s">
        <v>3476</v>
      </c>
      <c r="D506" s="482" t="s">
        <v>212</v>
      </c>
      <c r="E506" s="483"/>
      <c r="F506" s="4587" t="s">
        <v>3477</v>
      </c>
      <c r="G506" s="4587"/>
      <c r="H506" s="4587"/>
    </row>
    <row r="507" spans="1:8" ht="12.75" customHeight="1">
      <c r="C507" s="484" t="s">
        <v>338</v>
      </c>
      <c r="D507" s="482" t="s">
        <v>220</v>
      </c>
      <c r="E507" s="4587" t="s">
        <v>3478</v>
      </c>
      <c r="F507" s="4587"/>
      <c r="G507" s="4587"/>
      <c r="H507" s="4587"/>
    </row>
    <row r="508" spans="1:8" ht="12.75" customHeight="1">
      <c r="C508" s="2619" t="s">
        <v>3479</v>
      </c>
      <c r="E508" s="4587" t="s">
        <v>3480</v>
      </c>
      <c r="F508" s="4587"/>
      <c r="G508" s="4587"/>
      <c r="H508" s="4587"/>
    </row>
    <row r="509" spans="1:8" ht="12.75" customHeight="1">
      <c r="C509" s="1075"/>
      <c r="D509" s="1074" t="s">
        <v>2822</v>
      </c>
      <c r="E509" s="4588" t="s">
        <v>3481</v>
      </c>
      <c r="F509" s="4588"/>
      <c r="G509" s="4588"/>
      <c r="H509" s="4588"/>
    </row>
    <row r="510" spans="1:8" ht="3" customHeight="1">
      <c r="D510" s="482"/>
      <c r="E510" s="2624"/>
      <c r="F510" s="2624"/>
      <c r="G510" s="2624"/>
      <c r="H510" s="2624"/>
    </row>
    <row r="511" spans="1:8" ht="12.75" customHeight="1">
      <c r="C511" s="460" t="s">
        <v>3476</v>
      </c>
      <c r="D511" s="482" t="s">
        <v>212</v>
      </c>
      <c r="E511" s="483"/>
      <c r="F511" s="479" t="s">
        <v>3477</v>
      </c>
      <c r="G511" s="479"/>
      <c r="H511" s="479"/>
    </row>
    <row r="512" spans="1:8" ht="12.75" customHeight="1">
      <c r="C512" s="484" t="s">
        <v>338</v>
      </c>
      <c r="D512" s="482" t="s">
        <v>220</v>
      </c>
      <c r="E512" s="4587" t="s">
        <v>3478</v>
      </c>
      <c r="F512" s="4587"/>
      <c r="G512" s="4587"/>
      <c r="H512" s="4587"/>
    </row>
    <row r="513" spans="1:8" ht="12.75" customHeight="1">
      <c r="C513" s="2619" t="s">
        <v>3479</v>
      </c>
      <c r="E513" s="4587" t="s">
        <v>3480</v>
      </c>
      <c r="F513" s="4587"/>
      <c r="G513" s="4587"/>
      <c r="H513" s="4587"/>
    </row>
    <row r="514" spans="1:8" ht="12.75" customHeight="1">
      <c r="C514" s="1075"/>
      <c r="D514" s="1074" t="s">
        <v>2822</v>
      </c>
      <c r="E514" s="4588" t="s">
        <v>3481</v>
      </c>
      <c r="F514" s="4588"/>
      <c r="G514" s="4588"/>
      <c r="H514" s="4588"/>
    </row>
    <row r="515" spans="1:8" ht="3" customHeight="1">
      <c r="D515" s="482"/>
      <c r="E515" s="2624"/>
      <c r="F515" s="2624"/>
      <c r="G515" s="2624"/>
      <c r="H515" s="2624"/>
    </row>
    <row r="516" spans="1:8" ht="12.75" customHeight="1">
      <c r="C516" s="460" t="s">
        <v>3476</v>
      </c>
      <c r="D516" s="482" t="s">
        <v>212</v>
      </c>
      <c r="E516" s="483"/>
      <c r="F516" s="479" t="s">
        <v>3477</v>
      </c>
      <c r="G516" s="479"/>
      <c r="H516" s="479"/>
    </row>
    <row r="517" spans="1:8" ht="12.75" customHeight="1">
      <c r="C517" s="484" t="s">
        <v>338</v>
      </c>
      <c r="D517" s="482" t="s">
        <v>220</v>
      </c>
      <c r="E517" s="4587" t="s">
        <v>3478</v>
      </c>
      <c r="F517" s="4587"/>
      <c r="G517" s="4587"/>
      <c r="H517" s="4587"/>
    </row>
    <row r="518" spans="1:8" ht="12.75" customHeight="1">
      <c r="C518" s="2619" t="s">
        <v>3479</v>
      </c>
      <c r="E518" s="4587" t="s">
        <v>3480</v>
      </c>
      <c r="F518" s="4587"/>
      <c r="G518" s="4587"/>
      <c r="H518" s="4587"/>
    </row>
    <row r="519" spans="1:8" ht="12.75" customHeight="1">
      <c r="C519" s="1075"/>
      <c r="D519" s="1074" t="s">
        <v>2822</v>
      </c>
      <c r="E519" s="4588" t="s">
        <v>3481</v>
      </c>
      <c r="F519" s="4588"/>
      <c r="G519" s="4588"/>
      <c r="H519" s="4588"/>
    </row>
    <row r="520" spans="1:8" ht="6" customHeight="1">
      <c r="D520" s="482"/>
      <c r="E520" s="2624"/>
      <c r="F520" s="2624"/>
      <c r="G520" s="2624"/>
      <c r="H520" s="2624"/>
    </row>
    <row r="521" spans="1:8">
      <c r="A521" s="463" t="s">
        <v>3473</v>
      </c>
      <c r="B521" s="480" t="str">
        <f>IF('Part V-Revenues &amp; Expenses'!$L$56=0,"",'Part V-Revenues &amp; Expenses'!$L$56)</f>
        <v/>
      </c>
      <c r="C521" s="463" t="s">
        <v>3482</v>
      </c>
      <c r="D521" s="481" t="s">
        <v>3483</v>
      </c>
    </row>
    <row r="522" spans="1:8" ht="1.9" customHeight="1"/>
    <row r="523" spans="1:8" ht="12.75" customHeight="1">
      <c r="C523" s="460" t="s">
        <v>3476</v>
      </c>
      <c r="D523" s="482" t="s">
        <v>212</v>
      </c>
      <c r="E523" s="483"/>
      <c r="F523" s="479" t="s">
        <v>3477</v>
      </c>
      <c r="G523" s="479"/>
      <c r="H523" s="479"/>
    </row>
    <row r="524" spans="1:8" ht="12.75" customHeight="1">
      <c r="C524" s="484" t="s">
        <v>338</v>
      </c>
      <c r="D524" s="482" t="s">
        <v>220</v>
      </c>
      <c r="E524" s="4587" t="s">
        <v>3478</v>
      </c>
      <c r="F524" s="4587"/>
      <c r="G524" s="4587"/>
      <c r="H524" s="4587"/>
    </row>
    <row r="525" spans="1:8" ht="12.75" customHeight="1">
      <c r="C525" s="2619" t="s">
        <v>3479</v>
      </c>
      <c r="E525" s="4587" t="s">
        <v>3480</v>
      </c>
      <c r="F525" s="4587"/>
      <c r="G525" s="4587"/>
      <c r="H525" s="4587"/>
    </row>
    <row r="526" spans="1:8" ht="12.75" customHeight="1">
      <c r="C526" s="1075"/>
      <c r="D526" s="485" t="s">
        <v>2822</v>
      </c>
      <c r="E526" s="4587" t="s">
        <v>3481</v>
      </c>
      <c r="F526" s="4587"/>
      <c r="G526" s="4587"/>
      <c r="H526" s="4587"/>
    </row>
    <row r="527" spans="1:8" ht="3" customHeight="1">
      <c r="D527" s="482"/>
      <c r="E527" s="2624"/>
      <c r="F527" s="2624"/>
      <c r="G527" s="2624"/>
      <c r="H527" s="2624"/>
    </row>
    <row r="528" spans="1:8" ht="12.75" customHeight="1">
      <c r="C528" s="460" t="s">
        <v>3476</v>
      </c>
      <c r="D528" s="482" t="s">
        <v>212</v>
      </c>
      <c r="E528" s="483"/>
      <c r="F528" s="479" t="s">
        <v>3477</v>
      </c>
      <c r="G528" s="479"/>
      <c r="H528" s="479"/>
    </row>
    <row r="529" spans="1:8" ht="12.75" customHeight="1">
      <c r="C529" s="484" t="s">
        <v>338</v>
      </c>
      <c r="D529" s="482" t="s">
        <v>220</v>
      </c>
      <c r="E529" s="4587" t="s">
        <v>3478</v>
      </c>
      <c r="F529" s="4587"/>
      <c r="G529" s="4587"/>
      <c r="H529" s="4587"/>
    </row>
    <row r="530" spans="1:8" ht="12.75" customHeight="1">
      <c r="C530" s="2619" t="s">
        <v>3479</v>
      </c>
      <c r="E530" s="4587" t="s">
        <v>3480</v>
      </c>
      <c r="F530" s="4587"/>
      <c r="G530" s="4587"/>
      <c r="H530" s="4587"/>
    </row>
    <row r="531" spans="1:8" ht="12.75" customHeight="1">
      <c r="C531" s="1075"/>
      <c r="D531" s="1074" t="s">
        <v>2822</v>
      </c>
      <c r="E531" s="4588" t="s">
        <v>3481</v>
      </c>
      <c r="F531" s="4588"/>
      <c r="G531" s="4588"/>
      <c r="H531" s="4588"/>
    </row>
    <row r="532" spans="1:8" ht="3" customHeight="1">
      <c r="D532" s="482"/>
      <c r="E532" s="2624"/>
      <c r="F532" s="2624"/>
      <c r="G532" s="2624"/>
      <c r="H532" s="2624"/>
    </row>
    <row r="533" spans="1:8" ht="12.75" customHeight="1">
      <c r="C533" s="460" t="s">
        <v>3476</v>
      </c>
      <c r="D533" s="482" t="s">
        <v>212</v>
      </c>
      <c r="E533" s="483"/>
      <c r="F533" s="479" t="s">
        <v>3477</v>
      </c>
      <c r="G533" s="479"/>
      <c r="H533" s="479"/>
    </row>
    <row r="534" spans="1:8" ht="12.75" customHeight="1">
      <c r="C534" s="484" t="s">
        <v>338</v>
      </c>
      <c r="D534" s="482" t="s">
        <v>220</v>
      </c>
      <c r="E534" s="4587" t="s">
        <v>3478</v>
      </c>
      <c r="F534" s="4587"/>
      <c r="G534" s="4587"/>
      <c r="H534" s="4587"/>
    </row>
    <row r="535" spans="1:8" ht="12.75" customHeight="1">
      <c r="C535" s="2619" t="s">
        <v>3479</v>
      </c>
      <c r="E535" s="4587" t="s">
        <v>3480</v>
      </c>
      <c r="F535" s="4587"/>
      <c r="G535" s="4587"/>
      <c r="H535" s="4587"/>
    </row>
    <row r="536" spans="1:8" ht="12.75" customHeight="1">
      <c r="C536" s="1075"/>
      <c r="D536" s="1074" t="s">
        <v>2822</v>
      </c>
      <c r="E536" s="4588" t="s">
        <v>3481</v>
      </c>
      <c r="F536" s="4588"/>
      <c r="G536" s="4588"/>
      <c r="H536" s="4588"/>
    </row>
    <row r="537" spans="1:8" ht="6" customHeight="1">
      <c r="D537" s="482"/>
      <c r="E537" s="2624"/>
      <c r="F537" s="2624"/>
      <c r="G537" s="2624"/>
      <c r="H537" s="2624"/>
    </row>
    <row r="538" spans="1:8">
      <c r="A538" s="463" t="s">
        <v>3473</v>
      </c>
      <c r="B538" s="480" t="str">
        <f>IF('Part V-Revenues &amp; Expenses'!$M$56=0,"",'Part V-Revenues &amp; Expenses'!$M$56)</f>
        <v/>
      </c>
      <c r="C538" s="463" t="s">
        <v>3484</v>
      </c>
      <c r="D538" s="481" t="s">
        <v>3485</v>
      </c>
    </row>
    <row r="539" spans="1:8" ht="1.9" customHeight="1"/>
    <row r="540" spans="1:8" ht="12.75" customHeight="1">
      <c r="C540" s="460" t="s">
        <v>3476</v>
      </c>
      <c r="D540" s="482" t="s">
        <v>212</v>
      </c>
      <c r="E540" s="483"/>
      <c r="F540" s="479" t="s">
        <v>3477</v>
      </c>
      <c r="G540" s="479"/>
      <c r="H540" s="479"/>
    </row>
    <row r="541" spans="1:8" ht="12.75" customHeight="1">
      <c r="C541" s="484" t="s">
        <v>338</v>
      </c>
      <c r="D541" s="482" t="s">
        <v>220</v>
      </c>
      <c r="E541" s="4587" t="s">
        <v>3478</v>
      </c>
      <c r="F541" s="4587"/>
      <c r="G541" s="4587"/>
      <c r="H541" s="4587"/>
    </row>
    <row r="542" spans="1:8" ht="12.75" customHeight="1">
      <c r="C542" s="2619" t="s">
        <v>3479</v>
      </c>
      <c r="E542" s="4587" t="s">
        <v>3480</v>
      </c>
      <c r="F542" s="4587"/>
      <c r="G542" s="4587"/>
      <c r="H542" s="4587"/>
    </row>
    <row r="543" spans="1:8" ht="12.75" customHeight="1">
      <c r="C543" s="1075"/>
      <c r="D543" s="485" t="s">
        <v>2822</v>
      </c>
      <c r="E543" s="4587" t="s">
        <v>3481</v>
      </c>
      <c r="F543" s="4587"/>
      <c r="G543" s="4587"/>
      <c r="H543" s="4587"/>
    </row>
    <row r="544" spans="1:8" ht="3" customHeight="1">
      <c r="D544" s="482"/>
      <c r="E544" s="2624"/>
      <c r="F544" s="2624"/>
      <c r="G544" s="2624"/>
      <c r="H544" s="2624"/>
    </row>
    <row r="545" spans="1:8" ht="12.75" customHeight="1">
      <c r="C545" s="460" t="s">
        <v>3476</v>
      </c>
      <c r="D545" s="482" t="s">
        <v>212</v>
      </c>
      <c r="E545" s="483"/>
      <c r="F545" s="479" t="s">
        <v>3477</v>
      </c>
      <c r="G545" s="479"/>
      <c r="H545" s="479"/>
    </row>
    <row r="546" spans="1:8" ht="12.75" customHeight="1">
      <c r="C546" s="484" t="s">
        <v>338</v>
      </c>
      <c r="D546" s="482" t="s">
        <v>220</v>
      </c>
      <c r="E546" s="4587" t="s">
        <v>3478</v>
      </c>
      <c r="F546" s="4587"/>
      <c r="G546" s="4587"/>
      <c r="H546" s="4587"/>
    </row>
    <row r="547" spans="1:8" ht="12.75" customHeight="1">
      <c r="C547" s="2619" t="s">
        <v>3479</v>
      </c>
      <c r="E547" s="4587" t="s">
        <v>3480</v>
      </c>
      <c r="F547" s="4587"/>
      <c r="G547" s="4587"/>
      <c r="H547" s="4587"/>
    </row>
    <row r="548" spans="1:8" ht="12.75" customHeight="1">
      <c r="C548" s="1075"/>
      <c r="D548" s="1074" t="s">
        <v>2822</v>
      </c>
      <c r="E548" s="4588" t="s">
        <v>3481</v>
      </c>
      <c r="F548" s="4588"/>
      <c r="G548" s="4588"/>
      <c r="H548" s="4588"/>
    </row>
    <row r="549" spans="1:8" ht="3" customHeight="1">
      <c r="D549" s="482"/>
      <c r="E549" s="2624"/>
      <c r="F549" s="2624"/>
      <c r="G549" s="2624"/>
      <c r="H549" s="2624"/>
    </row>
    <row r="550" spans="1:8" ht="12.75" customHeight="1">
      <c r="C550" s="460" t="s">
        <v>3476</v>
      </c>
      <c r="D550" s="482" t="s">
        <v>212</v>
      </c>
      <c r="E550" s="483"/>
      <c r="F550" s="479" t="s">
        <v>3477</v>
      </c>
      <c r="G550" s="479"/>
      <c r="H550" s="479"/>
    </row>
    <row r="551" spans="1:8" ht="12.75" customHeight="1">
      <c r="C551" s="484" t="s">
        <v>338</v>
      </c>
      <c r="D551" s="482" t="s">
        <v>220</v>
      </c>
      <c r="E551" s="4587" t="s">
        <v>3478</v>
      </c>
      <c r="F551" s="4587"/>
      <c r="G551" s="4587"/>
      <c r="H551" s="4587"/>
    </row>
    <row r="552" spans="1:8" ht="12.75" customHeight="1">
      <c r="C552" s="2619" t="s">
        <v>3479</v>
      </c>
      <c r="E552" s="4587" t="s">
        <v>3480</v>
      </c>
      <c r="F552" s="4587"/>
      <c r="G552" s="4587"/>
      <c r="H552" s="4587"/>
    </row>
    <row r="553" spans="1:8" ht="12.75" customHeight="1">
      <c r="C553" s="1075"/>
      <c r="D553" s="1074" t="s">
        <v>2822</v>
      </c>
      <c r="E553" s="4588" t="s">
        <v>3481</v>
      </c>
      <c r="F553" s="4588"/>
      <c r="G553" s="4588"/>
      <c r="H553" s="4588"/>
    </row>
    <row r="554" spans="1:8" ht="6" customHeight="1">
      <c r="D554" s="482"/>
      <c r="E554" s="2624"/>
      <c r="F554" s="2624"/>
      <c r="G554" s="2624"/>
      <c r="H554" s="2624"/>
    </row>
    <row r="555" spans="1:8">
      <c r="A555" s="463" t="s">
        <v>3473</v>
      </c>
      <c r="B555" s="480" t="str">
        <f>IF('Part V-Revenues &amp; Expenses'!$N$56=0,"",'Part V-Revenues &amp; Expenses'!$N$56)</f>
        <v/>
      </c>
      <c r="C555" s="463" t="s">
        <v>3486</v>
      </c>
      <c r="D555" s="481" t="s">
        <v>3487</v>
      </c>
    </row>
    <row r="556" spans="1:8" ht="1.9" customHeight="1"/>
    <row r="557" spans="1:8" ht="12.75" customHeight="1">
      <c r="C557" s="460" t="s">
        <v>3476</v>
      </c>
      <c r="D557" s="482" t="s">
        <v>212</v>
      </c>
      <c r="E557" s="483"/>
      <c r="F557" s="479" t="s">
        <v>3477</v>
      </c>
      <c r="G557" s="479"/>
      <c r="H557" s="479"/>
    </row>
    <row r="558" spans="1:8" ht="12.75" customHeight="1">
      <c r="C558" s="484" t="s">
        <v>338</v>
      </c>
      <c r="D558" s="482" t="s">
        <v>220</v>
      </c>
      <c r="E558" s="4587" t="s">
        <v>3478</v>
      </c>
      <c r="F558" s="4587"/>
      <c r="G558" s="4587"/>
      <c r="H558" s="4587"/>
    </row>
    <row r="559" spans="1:8" ht="12.75" customHeight="1">
      <c r="C559" s="2619" t="s">
        <v>3479</v>
      </c>
      <c r="E559" s="4587" t="s">
        <v>3480</v>
      </c>
      <c r="F559" s="4587"/>
      <c r="G559" s="4587"/>
      <c r="H559" s="4587"/>
    </row>
    <row r="560" spans="1:8" ht="12.75" customHeight="1">
      <c r="C560" s="1075"/>
      <c r="D560" s="485" t="s">
        <v>2822</v>
      </c>
      <c r="E560" s="4587" t="s">
        <v>3481</v>
      </c>
      <c r="F560" s="4587"/>
      <c r="G560" s="4587"/>
      <c r="H560" s="4587"/>
    </row>
    <row r="561" spans="1:11" ht="3" customHeight="1">
      <c r="D561" s="482"/>
      <c r="E561" s="2624"/>
      <c r="F561" s="2624"/>
      <c r="G561" s="2624"/>
      <c r="H561" s="2624"/>
    </row>
    <row r="562" spans="1:11" ht="12.75" customHeight="1">
      <c r="C562" s="460" t="s">
        <v>3476</v>
      </c>
      <c r="D562" s="482" t="s">
        <v>212</v>
      </c>
      <c r="E562" s="483"/>
      <c r="F562" s="479" t="s">
        <v>3477</v>
      </c>
      <c r="G562" s="479"/>
      <c r="H562" s="479"/>
    </row>
    <row r="563" spans="1:11" ht="12.75" customHeight="1">
      <c r="C563" s="484" t="s">
        <v>338</v>
      </c>
      <c r="D563" s="482" t="s">
        <v>220</v>
      </c>
      <c r="E563" s="4587" t="s">
        <v>3478</v>
      </c>
      <c r="F563" s="4587"/>
      <c r="G563" s="4587"/>
      <c r="H563" s="4587"/>
    </row>
    <row r="564" spans="1:11" ht="12.75" customHeight="1">
      <c r="C564" s="2619" t="s">
        <v>3479</v>
      </c>
      <c r="E564" s="4587" t="s">
        <v>3480</v>
      </c>
      <c r="F564" s="4587"/>
      <c r="G564" s="4587"/>
      <c r="H564" s="4587"/>
    </row>
    <row r="565" spans="1:11" ht="12.75" customHeight="1">
      <c r="C565" s="1075"/>
      <c r="D565" s="1074" t="s">
        <v>2822</v>
      </c>
      <c r="E565" s="4588" t="s">
        <v>3481</v>
      </c>
      <c r="F565" s="4588"/>
      <c r="G565" s="4588"/>
      <c r="H565" s="4588"/>
    </row>
    <row r="566" spans="1:11" ht="3" customHeight="1">
      <c r="D566" s="482"/>
      <c r="E566" s="2624"/>
      <c r="F566" s="2624"/>
      <c r="G566" s="2624"/>
      <c r="H566" s="2624"/>
    </row>
    <row r="567" spans="1:11" ht="12.75" customHeight="1">
      <c r="C567" s="460" t="s">
        <v>3476</v>
      </c>
      <c r="D567" s="482" t="s">
        <v>212</v>
      </c>
      <c r="E567" s="483"/>
      <c r="F567" s="479" t="s">
        <v>3477</v>
      </c>
      <c r="G567" s="479"/>
      <c r="H567" s="479"/>
    </row>
    <row r="568" spans="1:11" ht="12.75" customHeight="1">
      <c r="C568" s="484" t="s">
        <v>338</v>
      </c>
      <c r="D568" s="482" t="s">
        <v>220</v>
      </c>
      <c r="E568" s="4587" t="s">
        <v>3478</v>
      </c>
      <c r="F568" s="4587"/>
      <c r="G568" s="4587"/>
      <c r="H568" s="4587"/>
    </row>
    <row r="569" spans="1:11" ht="12.75" customHeight="1">
      <c r="C569" s="2619" t="s">
        <v>3479</v>
      </c>
      <c r="E569" s="4587" t="s">
        <v>3480</v>
      </c>
      <c r="F569" s="4587"/>
      <c r="G569" s="4587"/>
      <c r="H569" s="4587"/>
    </row>
    <row r="570" spans="1:11" ht="12.75" customHeight="1">
      <c r="C570" s="1075"/>
      <c r="D570" s="1074" t="s">
        <v>2822</v>
      </c>
      <c r="E570" s="4588" t="s">
        <v>3481</v>
      </c>
      <c r="F570" s="4588"/>
      <c r="G570" s="4588"/>
      <c r="H570" s="4588"/>
    </row>
    <row r="571" spans="1:11" ht="6" customHeight="1">
      <c r="D571" s="482"/>
      <c r="E571" s="2624"/>
      <c r="F571" s="2624"/>
      <c r="G571" s="2624"/>
      <c r="H571" s="2624"/>
    </row>
    <row r="572" spans="1:11">
      <c r="A572" s="463" t="s">
        <v>3473</v>
      </c>
      <c r="B572" s="480" t="str">
        <f>IF('Part V-Revenues &amp; Expenses'!$O$56=0,"",'Part V-Revenues &amp; Expenses'!$O$56)</f>
        <v/>
      </c>
      <c r="C572" s="463" t="s">
        <v>3488</v>
      </c>
      <c r="D572" s="481" t="s">
        <v>3489</v>
      </c>
    </row>
    <row r="573" spans="1:11" ht="1.9" customHeight="1"/>
    <row r="574" spans="1:11" ht="12.75" customHeight="1">
      <c r="C574" s="460" t="s">
        <v>3476</v>
      </c>
      <c r="D574" s="482" t="s">
        <v>212</v>
      </c>
      <c r="E574" s="483"/>
      <c r="F574" s="4587" t="s">
        <v>3477</v>
      </c>
      <c r="G574" s="4587"/>
      <c r="H574" s="4587"/>
      <c r="K574" s="314" t="s">
        <v>3017</v>
      </c>
    </row>
    <row r="575" spans="1:11" ht="12.75" customHeight="1">
      <c r="C575" s="484" t="s">
        <v>338</v>
      </c>
      <c r="D575" s="482" t="s">
        <v>220</v>
      </c>
      <c r="E575" s="4587" t="s">
        <v>3490</v>
      </c>
      <c r="F575" s="4587"/>
      <c r="G575" s="4587"/>
      <c r="H575" s="4587"/>
    </row>
    <row r="576" spans="1:11" ht="12.75" customHeight="1">
      <c r="E576" s="4587" t="s">
        <v>3480</v>
      </c>
      <c r="F576" s="4587"/>
      <c r="G576" s="4587"/>
      <c r="H576" s="4587"/>
    </row>
    <row r="577" spans="4:8" ht="12.75" customHeight="1">
      <c r="D577" s="485" t="s">
        <v>2822</v>
      </c>
      <c r="E577" s="4587" t="s">
        <v>3481</v>
      </c>
      <c r="F577" s="4587"/>
      <c r="G577" s="4587"/>
      <c r="H577" s="4587"/>
    </row>
    <row r="578" spans="4:8" ht="9" customHeight="1"/>
    <row r="579" spans="4:8" ht="7.5" customHeight="1">
      <c r="E579" s="4587"/>
      <c r="F579" s="4587"/>
      <c r="G579" s="4587"/>
      <c r="H579" s="4587"/>
    </row>
  </sheetData>
  <sheetProtection algorithmName="SHA-512" hashValue="2imosoWZxLuxlDxIVpS8UnBpEIPvmP6zdQ1Rz+sduD0EvRhlOavI8+8kudLrbT+C6eGgZyimEHVu0q+/qfnkNQ==" saltValue="o4sSkqj0qBDeG+MSXi9PL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96" customWidth="1"/>
    <col min="2" max="4" width="1.7109375" style="96" customWidth="1"/>
    <col min="5" max="5" width="14.7109375" style="96" customWidth="1"/>
    <col min="6" max="6" width="6.28515625" style="96" customWidth="1"/>
    <col min="7" max="7" width="2.7109375" style="96" customWidth="1"/>
    <col min="8" max="8" width="8" style="96" customWidth="1"/>
    <col min="9" max="9" width="6.28515625" style="96" customWidth="1"/>
    <col min="10" max="10" width="8.28515625" style="96" customWidth="1"/>
    <col min="11" max="11" width="9.7109375" style="96" customWidth="1"/>
    <col min="12" max="13" width="8.7109375" style="96" customWidth="1"/>
    <col min="14" max="14" width="9.42578125" style="96" customWidth="1"/>
    <col min="15" max="15" width="9.7109375" style="96" customWidth="1"/>
    <col min="16" max="19" width="6.28515625" style="96" customWidth="1"/>
    <col min="20" max="24" width="11.5703125" style="96" customWidth="1"/>
    <col min="25" max="25" width="9.28515625" style="96"/>
    <col min="26" max="26" width="9.28515625" style="1280"/>
    <col min="27" max="16384" width="9.28515625" style="96"/>
  </cols>
  <sheetData>
    <row r="1" spans="1:26" s="1312" customFormat="1" ht="13.5" hidden="1" customHeight="1">
      <c r="A1" s="1277"/>
      <c r="D1" s="1312" t="s">
        <v>185</v>
      </c>
      <c r="E1" s="1312" t="s">
        <v>3</v>
      </c>
      <c r="F1" s="1312" t="s">
        <v>186</v>
      </c>
      <c r="H1" s="1312" t="s">
        <v>187</v>
      </c>
      <c r="J1" s="1312" t="s">
        <v>188</v>
      </c>
      <c r="K1" s="1312" t="s">
        <v>189</v>
      </c>
      <c r="L1" s="1312" t="s">
        <v>190</v>
      </c>
      <c r="M1" s="1312" t="s">
        <v>191</v>
      </c>
      <c r="O1" s="1312" t="s">
        <v>192</v>
      </c>
      <c r="Q1" s="1312" t="s">
        <v>193</v>
      </c>
      <c r="Z1" s="1279">
        <v>1</v>
      </c>
    </row>
    <row r="2" spans="1:26" s="95" customFormat="1" ht="14.1" customHeight="1">
      <c r="A2" s="2985" t="e">
        <f>CONCATENATE("PART TWO - DEVELOPMENT TEAM INFORMATION","  -  ",#REF!," ",#REF!,", ",#REF!,", ",#REF!," County")</f>
        <v>#REF!</v>
      </c>
      <c r="B2" s="2986"/>
      <c r="C2" s="2986"/>
      <c r="D2" s="2986"/>
      <c r="E2" s="2986"/>
      <c r="F2" s="2986"/>
      <c r="G2" s="2986"/>
      <c r="H2" s="2986"/>
      <c r="I2" s="2986"/>
      <c r="J2" s="2986"/>
      <c r="K2" s="2986"/>
      <c r="L2" s="2986"/>
      <c r="M2" s="2986"/>
      <c r="N2" s="2986"/>
      <c r="O2" s="2986"/>
      <c r="P2" s="2986"/>
      <c r="Q2" s="2986"/>
      <c r="R2" s="2986"/>
      <c r="S2" s="2987"/>
      <c r="T2" s="2512"/>
      <c r="U2" s="2512"/>
      <c r="V2" s="2512"/>
      <c r="W2" s="2512"/>
      <c r="X2" s="2512"/>
      <c r="Y2" s="2512"/>
      <c r="Z2" s="1279">
        <v>2</v>
      </c>
    </row>
    <row r="3" spans="1:26" ht="12" customHeight="1" thickBot="1">
      <c r="A3" s="563" t="s">
        <v>194</v>
      </c>
      <c r="B3" s="564"/>
      <c r="C3" s="564"/>
      <c r="D3" s="564"/>
      <c r="E3" s="564"/>
      <c r="F3" s="564"/>
      <c r="G3" s="564"/>
      <c r="H3" s="564"/>
      <c r="I3" s="564"/>
      <c r="J3" s="564"/>
      <c r="K3" s="564"/>
      <c r="L3" s="564"/>
      <c r="M3" s="564"/>
      <c r="N3" s="564"/>
      <c r="O3" s="564"/>
      <c r="P3" s="564"/>
      <c r="Q3" s="564"/>
      <c r="R3" s="564"/>
      <c r="S3" s="564"/>
      <c r="Z3" s="1279">
        <v>3</v>
      </c>
    </row>
    <row r="4" spans="1:26" s="95" customFormat="1" ht="13.35" customHeight="1" thickBot="1">
      <c r="A4" s="151" t="s">
        <v>21</v>
      </c>
      <c r="B4" s="134" t="s">
        <v>195</v>
      </c>
      <c r="C4" s="134"/>
      <c r="D4" s="2512"/>
      <c r="E4" s="134"/>
      <c r="F4" s="134"/>
      <c r="G4" s="134"/>
      <c r="H4" s="705" t="s">
        <v>196</v>
      </c>
      <c r="I4" s="2512"/>
      <c r="J4" s="2512"/>
      <c r="K4" s="2512"/>
      <c r="L4" s="2512"/>
      <c r="M4" s="2512"/>
      <c r="N4" s="2512"/>
      <c r="O4" s="2989" t="e">
        <f>#REF!</f>
        <v>#REF!</v>
      </c>
      <c r="P4" s="2990"/>
      <c r="Q4" s="2990"/>
      <c r="R4" s="2990"/>
      <c r="S4" s="2991"/>
      <c r="T4" s="2512"/>
      <c r="U4" s="2512"/>
      <c r="V4" s="2512"/>
      <c r="W4" s="2512"/>
      <c r="X4" s="2512"/>
      <c r="Y4" s="2512"/>
      <c r="Z4" s="1279">
        <v>4</v>
      </c>
    </row>
    <row r="5" spans="1:26" s="95" customFormat="1" ht="8.65" customHeight="1">
      <c r="A5" s="151"/>
      <c r="B5" s="151"/>
      <c r="C5" s="151"/>
      <c r="D5" s="134"/>
      <c r="E5" s="134"/>
      <c r="F5" s="134"/>
      <c r="G5" s="134"/>
      <c r="H5" s="134"/>
      <c r="I5" s="134"/>
      <c r="J5" s="134"/>
      <c r="K5" s="2512"/>
      <c r="L5" s="2512"/>
      <c r="M5" s="2512"/>
      <c r="N5" s="2512"/>
      <c r="O5" s="2512"/>
      <c r="P5" s="2512"/>
      <c r="Q5" s="2512"/>
      <c r="R5" s="2512"/>
      <c r="S5" s="2512"/>
      <c r="T5" s="2512"/>
      <c r="U5" s="2512"/>
      <c r="V5" s="2512"/>
      <c r="W5" s="2512"/>
      <c r="X5" s="2512"/>
      <c r="Y5" s="2512"/>
      <c r="Z5" s="1279">
        <v>5</v>
      </c>
    </row>
    <row r="6" spans="1:26" s="95" customFormat="1" ht="11.25" customHeight="1">
      <c r="A6" s="2512"/>
      <c r="B6" s="151" t="s">
        <v>197</v>
      </c>
      <c r="C6" s="134" t="s">
        <v>198</v>
      </c>
      <c r="D6" s="2512"/>
      <c r="E6" s="2512"/>
      <c r="F6" s="2512"/>
      <c r="G6" s="2512"/>
      <c r="H6" s="2863" t="s">
        <v>199</v>
      </c>
      <c r="I6" s="2918"/>
      <c r="J6" s="2918"/>
      <c r="K6" s="2918"/>
      <c r="L6" s="2918"/>
      <c r="M6" s="2918"/>
      <c r="N6" s="2919"/>
      <c r="O6" s="164" t="s">
        <v>200</v>
      </c>
      <c r="P6" s="164"/>
      <c r="Q6" s="2863"/>
      <c r="R6" s="2918"/>
      <c r="S6" s="2919"/>
      <c r="T6" s="2512"/>
      <c r="U6" s="2512"/>
      <c r="V6" s="2512"/>
      <c r="W6" s="2512"/>
      <c r="X6" s="2512"/>
      <c r="Y6" s="625"/>
      <c r="Z6" s="1279">
        <v>6</v>
      </c>
    </row>
    <row r="7" spans="1:26" s="95" customFormat="1" ht="11.25" customHeight="1">
      <c r="A7" s="2512"/>
      <c r="B7" s="2512"/>
      <c r="C7" s="2512"/>
      <c r="D7" s="165"/>
      <c r="E7" s="2519" t="s">
        <v>201</v>
      </c>
      <c r="F7" s="154"/>
      <c r="G7" s="2512"/>
      <c r="H7" s="2879"/>
      <c r="I7" s="2977"/>
      <c r="J7" s="2977"/>
      <c r="K7" s="2978"/>
      <c r="L7" s="2977"/>
      <c r="M7" s="2977"/>
      <c r="N7" s="2979"/>
      <c r="O7" s="164" t="s">
        <v>202</v>
      </c>
      <c r="P7" s="166"/>
      <c r="Q7" s="2980"/>
      <c r="R7" s="2981"/>
      <c r="S7" s="2982"/>
      <c r="T7" s="2512"/>
      <c r="U7" s="2512"/>
      <c r="V7" s="625"/>
      <c r="W7" s="625"/>
      <c r="X7" s="625"/>
      <c r="Y7" s="625"/>
      <c r="Z7" s="1279">
        <v>7</v>
      </c>
    </row>
    <row r="8" spans="1:26" s="95" customFormat="1" ht="11.25" customHeight="1">
      <c r="A8" s="2512"/>
      <c r="B8" s="2512"/>
      <c r="C8" s="2512"/>
      <c r="D8" s="165"/>
      <c r="E8" s="2519" t="s">
        <v>57</v>
      </c>
      <c r="F8" s="2512"/>
      <c r="G8" s="2512"/>
      <c r="H8" s="2879"/>
      <c r="I8" s="2978"/>
      <c r="J8" s="2915"/>
      <c r="K8" s="230" t="s">
        <v>203</v>
      </c>
      <c r="L8" s="2988"/>
      <c r="M8" s="2977"/>
      <c r="N8" s="2979"/>
      <c r="O8" s="164" t="s">
        <v>43</v>
      </c>
      <c r="P8" s="166"/>
      <c r="Q8" s="2874"/>
      <c r="R8" s="2875"/>
      <c r="S8" s="2876"/>
      <c r="T8" s="2512"/>
      <c r="U8" s="2512"/>
      <c r="V8" s="2512"/>
      <c r="W8" s="2512"/>
      <c r="X8" s="2512"/>
      <c r="Y8" s="2512"/>
      <c r="Z8" s="1279">
        <v>8</v>
      </c>
    </row>
    <row r="9" spans="1:26" s="95" customFormat="1" ht="11.25" customHeight="1">
      <c r="A9" s="2512"/>
      <c r="B9" s="2512"/>
      <c r="C9" s="2512"/>
      <c r="D9" s="165"/>
      <c r="E9" s="2519" t="s">
        <v>204</v>
      </c>
      <c r="F9" s="2512"/>
      <c r="G9" s="2512"/>
      <c r="H9" s="752"/>
      <c r="I9" s="511" t="s">
        <v>205</v>
      </c>
      <c r="J9" s="2992"/>
      <c r="K9" s="2993"/>
      <c r="L9" s="166" t="s">
        <v>206</v>
      </c>
      <c r="M9" s="2994"/>
      <c r="N9" s="2995"/>
      <c r="O9" s="164" t="s">
        <v>46</v>
      </c>
      <c r="P9" s="166"/>
      <c r="Q9" s="2874"/>
      <c r="R9" s="2875"/>
      <c r="S9" s="2876"/>
      <c r="T9" s="2512"/>
      <c r="U9" s="2512"/>
      <c r="V9" s="2512"/>
      <c r="W9" s="2512"/>
      <c r="X9" s="2512"/>
      <c r="Y9" s="2512"/>
      <c r="Z9" s="1279">
        <v>9</v>
      </c>
    </row>
    <row r="10" spans="1:26" s="95" customFormat="1" ht="11.25" customHeight="1">
      <c r="A10" s="2512"/>
      <c r="B10" s="2512"/>
      <c r="C10" s="2512"/>
      <c r="D10" s="165"/>
      <c r="E10" s="2519" t="s">
        <v>207</v>
      </c>
      <c r="F10" s="2512"/>
      <c r="G10" s="2512"/>
      <c r="H10" s="2975"/>
      <c r="I10" s="2976"/>
      <c r="J10" s="536"/>
      <c r="K10" s="167" t="s">
        <v>44</v>
      </c>
      <c r="L10" s="2916"/>
      <c r="M10" s="2867"/>
      <c r="N10" s="2867"/>
      <c r="O10" s="2868"/>
      <c r="P10" s="2868"/>
      <c r="Q10" s="2867"/>
      <c r="R10" s="2867"/>
      <c r="S10" s="2917"/>
      <c r="T10" s="2512"/>
      <c r="U10" s="2512"/>
      <c r="V10" s="2512"/>
      <c r="W10" s="2512"/>
      <c r="X10" s="2512"/>
      <c r="Y10" s="2512"/>
      <c r="Z10" s="1279">
        <v>10</v>
      </c>
    </row>
    <row r="11" spans="1:26" s="95" customFormat="1" ht="11.25" customHeight="1">
      <c r="A11" s="2512"/>
      <c r="B11" s="2512"/>
      <c r="C11" s="2512"/>
      <c r="D11" s="165"/>
      <c r="E11" s="705" t="s">
        <v>196</v>
      </c>
      <c r="F11" s="2512"/>
      <c r="G11" s="2512"/>
      <c r="H11" s="168"/>
      <c r="I11" s="166"/>
      <c r="J11" s="166"/>
      <c r="K11" s="206"/>
      <c r="L11" s="166"/>
      <c r="M11" s="166"/>
      <c r="N11" s="231" t="s">
        <v>208</v>
      </c>
      <c r="O11" s="166"/>
      <c r="P11" s="166"/>
      <c r="Q11" s="167"/>
      <c r="R11" s="166"/>
      <c r="S11" s="166"/>
      <c r="T11" s="166"/>
      <c r="U11" s="2512"/>
      <c r="V11" s="2512"/>
      <c r="W11" s="2512"/>
      <c r="X11" s="2512"/>
      <c r="Y11" s="2512"/>
      <c r="Z11" s="1279">
        <v>11</v>
      </c>
    </row>
    <row r="12" spans="1:26" s="95" customFormat="1" ht="4.3499999999999996" customHeight="1">
      <c r="A12" s="2512"/>
      <c r="B12" s="2512"/>
      <c r="C12" s="2512"/>
      <c r="D12" s="170"/>
      <c r="E12" s="2519"/>
      <c r="F12" s="134"/>
      <c r="G12" s="134"/>
      <c r="H12" s="169"/>
      <c r="I12" s="169"/>
      <c r="J12" s="169"/>
      <c r="K12" s="166"/>
      <c r="L12" s="166"/>
      <c r="M12" s="166"/>
      <c r="N12" s="169"/>
      <c r="O12" s="169"/>
      <c r="P12" s="169"/>
      <c r="Q12" s="169"/>
      <c r="R12" s="169"/>
      <c r="S12" s="169"/>
      <c r="T12" s="169"/>
      <c r="U12" s="2512"/>
      <c r="V12" s="2512"/>
      <c r="W12" s="2512"/>
      <c r="X12" s="2512"/>
      <c r="Y12" s="2512"/>
      <c r="Z12" s="1279">
        <v>12</v>
      </c>
    </row>
    <row r="13" spans="1:26" s="95" customFormat="1" ht="11.25" customHeight="1">
      <c r="A13" s="2512"/>
      <c r="B13" s="159" t="s">
        <v>209</v>
      </c>
      <c r="C13" s="134" t="s">
        <v>210</v>
      </c>
      <c r="D13" s="2512"/>
      <c r="E13" s="2512"/>
      <c r="F13" s="134"/>
      <c r="G13" s="134"/>
      <c r="H13" s="169"/>
      <c r="I13" s="169"/>
      <c r="J13" s="166"/>
      <c r="K13" s="166"/>
      <c r="L13" s="166"/>
      <c r="M13" s="166"/>
      <c r="N13" s="278" t="s">
        <v>211</v>
      </c>
      <c r="O13" s="166"/>
      <c r="P13" s="166"/>
      <c r="Q13" s="166"/>
      <c r="R13" s="166"/>
      <c r="S13" s="166"/>
      <c r="T13" s="2512"/>
      <c r="U13" s="2512"/>
      <c r="V13" s="2512"/>
      <c r="W13" s="278"/>
      <c r="X13" s="278"/>
      <c r="Y13" s="278"/>
      <c r="Z13" s="1279">
        <v>13</v>
      </c>
    </row>
    <row r="14" spans="1:26" s="95" customFormat="1" ht="11.25" customHeight="1">
      <c r="A14" s="2512"/>
      <c r="B14" s="2512"/>
      <c r="C14" s="171" t="s">
        <v>212</v>
      </c>
      <c r="D14" s="159" t="s">
        <v>213</v>
      </c>
      <c r="E14" s="2512"/>
      <c r="F14" s="2512"/>
      <c r="G14" s="2512"/>
      <c r="H14" s="166"/>
      <c r="I14" s="166"/>
      <c r="J14" s="166"/>
      <c r="K14" s="166"/>
      <c r="L14" s="166"/>
      <c r="M14" s="166"/>
      <c r="N14" s="206"/>
      <c r="O14" s="166"/>
      <c r="P14" s="166"/>
      <c r="Q14" s="166"/>
      <c r="R14" s="166"/>
      <c r="S14" s="166"/>
      <c r="T14" s="2512"/>
      <c r="U14" s="2512"/>
      <c r="V14" s="2512"/>
      <c r="W14" s="280"/>
      <c r="X14" s="280"/>
      <c r="Y14" s="280"/>
      <c r="Z14" s="1279">
        <v>14</v>
      </c>
    </row>
    <row r="15" spans="1:26" s="95" customFormat="1" ht="11.25" customHeight="1">
      <c r="A15" s="2512"/>
      <c r="B15" s="2512"/>
      <c r="C15" s="2512"/>
      <c r="D15" s="151" t="s">
        <v>214</v>
      </c>
      <c r="E15" s="2512" t="s">
        <v>215</v>
      </c>
      <c r="F15" s="2512"/>
      <c r="G15" s="2512"/>
      <c r="H15" s="2863"/>
      <c r="I15" s="2918"/>
      <c r="J15" s="2918"/>
      <c r="K15" s="2918"/>
      <c r="L15" s="2918"/>
      <c r="M15" s="2918"/>
      <c r="N15" s="2919"/>
      <c r="O15" s="164" t="s">
        <v>200</v>
      </c>
      <c r="P15" s="164"/>
      <c r="Q15" s="2863"/>
      <c r="R15" s="2918"/>
      <c r="S15" s="2919"/>
      <c r="T15" s="2512"/>
      <c r="U15" s="2512"/>
      <c r="V15" s="2512"/>
      <c r="W15" s="2512"/>
      <c r="X15" s="2512"/>
      <c r="Y15" s="2512"/>
      <c r="Z15" s="1279">
        <v>15</v>
      </c>
    </row>
    <row r="16" spans="1:26" s="95" customFormat="1" ht="11.25" customHeight="1">
      <c r="A16" s="2512"/>
      <c r="B16" s="2512"/>
      <c r="C16" s="2512"/>
      <c r="D16" s="165"/>
      <c r="E16" s="2519" t="s">
        <v>201</v>
      </c>
      <c r="F16" s="154"/>
      <c r="G16" s="2512"/>
      <c r="H16" s="2879"/>
      <c r="I16" s="2977"/>
      <c r="J16" s="2977"/>
      <c r="K16" s="2978"/>
      <c r="L16" s="2977"/>
      <c r="M16" s="2977"/>
      <c r="N16" s="2979"/>
      <c r="O16" s="164" t="s">
        <v>202</v>
      </c>
      <c r="P16" s="166"/>
      <c r="Q16" s="2980"/>
      <c r="R16" s="2981"/>
      <c r="S16" s="2982"/>
      <c r="T16" s="2512"/>
      <c r="U16" s="2512"/>
      <c r="V16" s="2512"/>
      <c r="W16" s="2512"/>
      <c r="X16" s="2512"/>
      <c r="Y16" s="2512"/>
      <c r="Z16" s="1279">
        <v>16</v>
      </c>
    </row>
    <row r="17" spans="4:26" s="95" customFormat="1" ht="11.25" customHeight="1">
      <c r="D17" s="165"/>
      <c r="E17" s="2519" t="s">
        <v>57</v>
      </c>
      <c r="F17" s="2512"/>
      <c r="G17" s="2512"/>
      <c r="H17" s="2879"/>
      <c r="I17" s="2978"/>
      <c r="J17" s="2915"/>
      <c r="K17" s="167" t="s">
        <v>216</v>
      </c>
      <c r="L17" s="2879"/>
      <c r="M17" s="2977"/>
      <c r="N17" s="2915"/>
      <c r="O17" s="164" t="s">
        <v>43</v>
      </c>
      <c r="P17" s="166"/>
      <c r="Q17" s="2874"/>
      <c r="R17" s="2875"/>
      <c r="S17" s="2876"/>
      <c r="T17" s="2512"/>
      <c r="U17" s="2512"/>
      <c r="V17" s="2512"/>
      <c r="W17" s="2512"/>
      <c r="X17" s="2512"/>
      <c r="Y17" s="2512"/>
      <c r="Z17" s="1279">
        <v>17</v>
      </c>
    </row>
    <row r="18" spans="4:26" s="95" customFormat="1" ht="11.25" customHeight="1">
      <c r="D18" s="151"/>
      <c r="E18" s="2519" t="s">
        <v>204</v>
      </c>
      <c r="F18" s="2512"/>
      <c r="G18" s="2512"/>
      <c r="H18" s="752"/>
      <c r="I18" s="166"/>
      <c r="J18" s="166"/>
      <c r="K18" s="511" t="s">
        <v>205</v>
      </c>
      <c r="L18" s="2983"/>
      <c r="M18" s="2984"/>
      <c r="N18" s="166"/>
      <c r="O18" s="164" t="s">
        <v>46</v>
      </c>
      <c r="P18" s="166"/>
      <c r="Q18" s="2874"/>
      <c r="R18" s="2875"/>
      <c r="S18" s="2876"/>
      <c r="T18" s="2512"/>
      <c r="U18" s="2512"/>
      <c r="V18" s="2512"/>
      <c r="W18" s="2512"/>
      <c r="X18" s="2512"/>
      <c r="Y18" s="2512"/>
      <c r="Z18" s="1279">
        <v>18</v>
      </c>
    </row>
    <row r="19" spans="4:26" s="95" customFormat="1" ht="11.25" customHeight="1">
      <c r="D19" s="165"/>
      <c r="E19" s="2519" t="s">
        <v>207</v>
      </c>
      <c r="F19" s="2512"/>
      <c r="G19" s="2512"/>
      <c r="H19" s="2975"/>
      <c r="I19" s="2976"/>
      <c r="J19" s="536"/>
      <c r="K19" s="167" t="s">
        <v>44</v>
      </c>
      <c r="L19" s="2866"/>
      <c r="M19" s="2867"/>
      <c r="N19" s="2868"/>
      <c r="O19" s="2868"/>
      <c r="P19" s="2868"/>
      <c r="Q19" s="2867"/>
      <c r="R19" s="2867"/>
      <c r="S19" s="2917"/>
      <c r="T19" s="2512"/>
      <c r="U19" s="2512"/>
      <c r="V19" s="2512"/>
      <c r="W19" s="2512"/>
      <c r="X19" s="2512"/>
      <c r="Y19" s="2512"/>
      <c r="Z19" s="1279">
        <v>19</v>
      </c>
    </row>
    <row r="20" spans="4:26" ht="4.3499999999999996" customHeight="1">
      <c r="D20" s="159"/>
      <c r="H20" s="2636"/>
      <c r="I20" s="2636"/>
      <c r="J20" s="2636"/>
      <c r="K20" s="167"/>
      <c r="L20" s="2636"/>
      <c r="M20" s="2636"/>
      <c r="N20" s="173"/>
      <c r="O20" s="174"/>
      <c r="P20" s="174"/>
      <c r="Q20" s="167"/>
      <c r="R20" s="174"/>
      <c r="S20" s="174"/>
      <c r="Z20" s="1279">
        <v>20</v>
      </c>
    </row>
    <row r="21" spans="4:26" s="95" customFormat="1" ht="11.25" customHeight="1">
      <c r="D21" s="151" t="s">
        <v>217</v>
      </c>
      <c r="E21" s="2512" t="s">
        <v>218</v>
      </c>
      <c r="F21" s="2512"/>
      <c r="G21" s="2512"/>
      <c r="H21" s="2863"/>
      <c r="I21" s="2918"/>
      <c r="J21" s="2918"/>
      <c r="K21" s="2918"/>
      <c r="L21" s="2918"/>
      <c r="M21" s="2918"/>
      <c r="N21" s="2919"/>
      <c r="O21" s="164" t="s">
        <v>200</v>
      </c>
      <c r="P21" s="164"/>
      <c r="Q21" s="2863"/>
      <c r="R21" s="2918"/>
      <c r="S21" s="2919"/>
      <c r="T21" s="2512"/>
      <c r="U21" s="2512"/>
      <c r="V21" s="2512"/>
      <c r="W21" s="2512"/>
      <c r="X21" s="2512"/>
      <c r="Y21" s="2512"/>
      <c r="Z21" s="1279">
        <v>21</v>
      </c>
    </row>
    <row r="22" spans="4:26" s="95" customFormat="1" ht="11.25" customHeight="1">
      <c r="D22" s="165"/>
      <c r="E22" s="2519" t="s">
        <v>201</v>
      </c>
      <c r="F22" s="154"/>
      <c r="G22" s="2512"/>
      <c r="H22" s="2879"/>
      <c r="I22" s="2977"/>
      <c r="J22" s="2977"/>
      <c r="K22" s="2978"/>
      <c r="L22" s="2977"/>
      <c r="M22" s="2977"/>
      <c r="N22" s="2979"/>
      <c r="O22" s="164" t="s">
        <v>202</v>
      </c>
      <c r="P22" s="166"/>
      <c r="Q22" s="2980"/>
      <c r="R22" s="2981"/>
      <c r="S22" s="2982"/>
      <c r="T22" s="2512"/>
      <c r="U22" s="2512"/>
      <c r="V22" s="2512"/>
      <c r="W22" s="2512"/>
      <c r="X22" s="2512"/>
      <c r="Y22" s="2512"/>
      <c r="Z22" s="1279">
        <v>22</v>
      </c>
    </row>
    <row r="23" spans="4:26" s="95" customFormat="1" ht="11.25" customHeight="1">
      <c r="D23" s="165"/>
      <c r="E23" s="2519" t="s">
        <v>57</v>
      </c>
      <c r="F23" s="2512"/>
      <c r="G23" s="2512"/>
      <c r="H23" s="2879"/>
      <c r="I23" s="2978"/>
      <c r="J23" s="2915"/>
      <c r="K23" s="167" t="s">
        <v>216</v>
      </c>
      <c r="L23" s="2879"/>
      <c r="M23" s="2977"/>
      <c r="N23" s="2915"/>
      <c r="O23" s="164" t="s">
        <v>43</v>
      </c>
      <c r="P23" s="166"/>
      <c r="Q23" s="2874"/>
      <c r="R23" s="2875"/>
      <c r="S23" s="2876"/>
      <c r="T23" s="2512"/>
      <c r="U23" s="2512"/>
      <c r="V23" s="2512"/>
      <c r="W23" s="2512"/>
      <c r="X23" s="2512"/>
      <c r="Y23" s="2512"/>
      <c r="Z23" s="1279">
        <v>23</v>
      </c>
    </row>
    <row r="24" spans="4:26" s="95" customFormat="1" ht="11.25" customHeight="1">
      <c r="D24" s="2512"/>
      <c r="E24" s="2519" t="s">
        <v>204</v>
      </c>
      <c r="F24" s="2512"/>
      <c r="G24" s="2512"/>
      <c r="H24" s="752"/>
      <c r="I24" s="166"/>
      <c r="J24" s="166"/>
      <c r="K24" s="511" t="s">
        <v>205</v>
      </c>
      <c r="L24" s="2983"/>
      <c r="M24" s="2984"/>
      <c r="N24" s="166"/>
      <c r="O24" s="164" t="s">
        <v>46</v>
      </c>
      <c r="P24" s="166"/>
      <c r="Q24" s="2874"/>
      <c r="R24" s="2875"/>
      <c r="S24" s="2876"/>
      <c r="T24" s="2512"/>
      <c r="U24" s="2512"/>
      <c r="V24" s="2512"/>
      <c r="W24" s="2512"/>
      <c r="X24" s="2512"/>
      <c r="Y24" s="2512"/>
      <c r="Z24" s="1279">
        <v>24</v>
      </c>
    </row>
    <row r="25" spans="4:26" s="95" customFormat="1" ht="11.25" customHeight="1">
      <c r="D25" s="165"/>
      <c r="E25" s="2519" t="s">
        <v>207</v>
      </c>
      <c r="F25" s="2512"/>
      <c r="G25" s="2512"/>
      <c r="H25" s="2975"/>
      <c r="I25" s="2976"/>
      <c r="J25" s="536"/>
      <c r="K25" s="167" t="s">
        <v>44</v>
      </c>
      <c r="L25" s="2866"/>
      <c r="M25" s="2867"/>
      <c r="N25" s="2868"/>
      <c r="O25" s="2868"/>
      <c r="P25" s="2868"/>
      <c r="Q25" s="2867"/>
      <c r="R25" s="2867"/>
      <c r="S25" s="2917"/>
      <c r="T25" s="2512"/>
      <c r="U25" s="2512"/>
      <c r="V25" s="2512"/>
      <c r="W25" s="2512"/>
      <c r="X25" s="2512"/>
      <c r="Y25" s="2512"/>
      <c r="Z25" s="1279">
        <v>25</v>
      </c>
    </row>
    <row r="26" spans="4:26" s="95" customFormat="1" ht="4.3499999999999996" customHeight="1">
      <c r="D26" s="165"/>
      <c r="E26" s="2512"/>
      <c r="F26" s="2512"/>
      <c r="G26" s="2519"/>
      <c r="H26" s="2636"/>
      <c r="I26" s="2636"/>
      <c r="J26" s="2636"/>
      <c r="K26" s="167"/>
      <c r="L26" s="2636"/>
      <c r="M26" s="2636"/>
      <c r="N26" s="173"/>
      <c r="O26" s="174"/>
      <c r="P26" s="174"/>
      <c r="Q26" s="167"/>
      <c r="R26" s="174"/>
      <c r="S26" s="174"/>
      <c r="T26" s="2512"/>
      <c r="U26" s="2512"/>
      <c r="V26" s="2512"/>
      <c r="W26" s="2512"/>
      <c r="X26" s="2512"/>
      <c r="Y26" s="2512"/>
      <c r="Z26" s="1279">
        <v>26</v>
      </c>
    </row>
    <row r="27" spans="4:26" s="95" customFormat="1" ht="11.25" customHeight="1">
      <c r="D27" s="151" t="s">
        <v>219</v>
      </c>
      <c r="E27" s="2512" t="s">
        <v>218</v>
      </c>
      <c r="F27" s="2512"/>
      <c r="G27" s="2512"/>
      <c r="H27" s="2863"/>
      <c r="I27" s="2918"/>
      <c r="J27" s="2918"/>
      <c r="K27" s="2918"/>
      <c r="L27" s="2918"/>
      <c r="M27" s="2918"/>
      <c r="N27" s="2919"/>
      <c r="O27" s="164" t="s">
        <v>200</v>
      </c>
      <c r="P27" s="164"/>
      <c r="Q27" s="2863"/>
      <c r="R27" s="2918"/>
      <c r="S27" s="2919"/>
      <c r="T27" s="2512"/>
      <c r="U27" s="2512"/>
      <c r="V27" s="2512"/>
      <c r="W27" s="2512"/>
      <c r="X27" s="2512"/>
      <c r="Y27" s="2512"/>
      <c r="Z27" s="1279">
        <v>27</v>
      </c>
    </row>
    <row r="28" spans="4:26" s="95" customFormat="1" ht="11.25" customHeight="1">
      <c r="D28" s="165"/>
      <c r="E28" s="2519" t="s">
        <v>201</v>
      </c>
      <c r="F28" s="154"/>
      <c r="G28" s="2512"/>
      <c r="H28" s="2879"/>
      <c r="I28" s="2977"/>
      <c r="J28" s="2977"/>
      <c r="K28" s="2978"/>
      <c r="L28" s="2977"/>
      <c r="M28" s="2977"/>
      <c r="N28" s="2979"/>
      <c r="O28" s="164" t="s">
        <v>202</v>
      </c>
      <c r="P28" s="166"/>
      <c r="Q28" s="2980"/>
      <c r="R28" s="2981"/>
      <c r="S28" s="2982"/>
      <c r="T28" s="2512"/>
      <c r="U28" s="2512"/>
      <c r="V28" s="2512"/>
      <c r="W28" s="2512"/>
      <c r="X28" s="2512"/>
      <c r="Y28" s="2512"/>
      <c r="Z28" s="1279">
        <v>28</v>
      </c>
    </row>
    <row r="29" spans="4:26" s="95" customFormat="1" ht="11.25" customHeight="1">
      <c r="D29" s="165"/>
      <c r="E29" s="2519" t="s">
        <v>57</v>
      </c>
      <c r="F29" s="2512"/>
      <c r="G29" s="2512"/>
      <c r="H29" s="2879"/>
      <c r="I29" s="2978"/>
      <c r="J29" s="2915"/>
      <c r="K29" s="167" t="s">
        <v>216</v>
      </c>
      <c r="L29" s="2879"/>
      <c r="M29" s="2977"/>
      <c r="N29" s="2915"/>
      <c r="O29" s="164" t="s">
        <v>43</v>
      </c>
      <c r="P29" s="166"/>
      <c r="Q29" s="2874"/>
      <c r="R29" s="2875"/>
      <c r="S29" s="2876"/>
      <c r="T29" s="2512"/>
      <c r="U29" s="2512"/>
      <c r="V29" s="2512"/>
      <c r="W29" s="2512"/>
      <c r="X29" s="2512"/>
      <c r="Y29" s="2512"/>
      <c r="Z29" s="1279">
        <v>29</v>
      </c>
    </row>
    <row r="30" spans="4:26" s="95" customFormat="1" ht="11.25" customHeight="1">
      <c r="D30" s="2512"/>
      <c r="E30" s="2519" t="s">
        <v>204</v>
      </c>
      <c r="F30" s="2512"/>
      <c r="G30" s="2512"/>
      <c r="H30" s="752"/>
      <c r="I30" s="166"/>
      <c r="J30" s="166"/>
      <c r="K30" s="511" t="s">
        <v>205</v>
      </c>
      <c r="L30" s="2983"/>
      <c r="M30" s="2984"/>
      <c r="N30" s="166"/>
      <c r="O30" s="164" t="s">
        <v>46</v>
      </c>
      <c r="P30" s="166"/>
      <c r="Q30" s="2874"/>
      <c r="R30" s="2875"/>
      <c r="S30" s="2876"/>
      <c r="T30" s="2512"/>
      <c r="U30" s="2512"/>
      <c r="V30" s="2512"/>
      <c r="W30" s="2512"/>
      <c r="X30" s="2512"/>
      <c r="Y30" s="2512"/>
      <c r="Z30" s="1279">
        <v>30</v>
      </c>
    </row>
    <row r="31" spans="4:26" s="95" customFormat="1" ht="11.25" customHeight="1">
      <c r="D31" s="165"/>
      <c r="E31" s="2519" t="s">
        <v>207</v>
      </c>
      <c r="F31" s="2512"/>
      <c r="G31" s="2512"/>
      <c r="H31" s="2975"/>
      <c r="I31" s="2976"/>
      <c r="J31" s="536"/>
      <c r="K31" s="167" t="s">
        <v>44</v>
      </c>
      <c r="L31" s="2866"/>
      <c r="M31" s="2867"/>
      <c r="N31" s="2868"/>
      <c r="O31" s="2868"/>
      <c r="P31" s="2868"/>
      <c r="Q31" s="2867"/>
      <c r="R31" s="2867"/>
      <c r="S31" s="2917"/>
      <c r="T31" s="2512"/>
      <c r="U31" s="2512"/>
      <c r="V31" s="2512"/>
      <c r="W31" s="2512"/>
      <c r="X31" s="2512"/>
      <c r="Y31" s="2512"/>
      <c r="Z31" s="1279">
        <v>31</v>
      </c>
    </row>
    <row r="32" spans="4:26" ht="4.3499999999999996" customHeight="1">
      <c r="H32" s="2505"/>
      <c r="I32" s="2505"/>
      <c r="J32" s="2505"/>
      <c r="K32" s="2505"/>
      <c r="L32" s="2505"/>
      <c r="M32" s="2505"/>
      <c r="N32" s="2505"/>
      <c r="O32" s="2505"/>
      <c r="P32" s="2505"/>
      <c r="Q32" s="2505"/>
      <c r="R32" s="2505"/>
      <c r="S32" s="2505"/>
      <c r="Z32" s="1279">
        <v>32</v>
      </c>
    </row>
    <row r="33" spans="3:26" s="95" customFormat="1" ht="11.25" customHeight="1">
      <c r="C33" s="171" t="s">
        <v>220</v>
      </c>
      <c r="D33" s="159" t="s">
        <v>221</v>
      </c>
      <c r="E33" s="2512"/>
      <c r="F33" s="2512"/>
      <c r="G33" s="2512"/>
      <c r="H33" s="166"/>
      <c r="I33" s="166"/>
      <c r="J33" s="166"/>
      <c r="K33" s="937" t="s">
        <v>196</v>
      </c>
      <c r="L33" s="166"/>
      <c r="M33" s="166"/>
      <c r="N33" s="166"/>
      <c r="O33" s="166"/>
      <c r="P33" s="166"/>
      <c r="Q33" s="166"/>
      <c r="R33" s="166"/>
      <c r="S33" s="166"/>
      <c r="T33" s="2512"/>
      <c r="U33" s="2512"/>
      <c r="V33" s="2512"/>
      <c r="W33" s="2512"/>
      <c r="X33" s="2512"/>
      <c r="Y33" s="2512"/>
      <c r="Z33" s="1279">
        <v>33</v>
      </c>
    </row>
    <row r="34" spans="3:26" s="95" customFormat="1" ht="11.25" customHeight="1">
      <c r="C34" s="2512"/>
      <c r="D34" s="151" t="s">
        <v>214</v>
      </c>
      <c r="E34" s="2512" t="s">
        <v>222</v>
      </c>
      <c r="F34" s="2512"/>
      <c r="G34" s="2512"/>
      <c r="H34" s="2863"/>
      <c r="I34" s="2918"/>
      <c r="J34" s="2918"/>
      <c r="K34" s="2918"/>
      <c r="L34" s="2918"/>
      <c r="M34" s="2918"/>
      <c r="N34" s="2919"/>
      <c r="O34" s="164" t="s">
        <v>200</v>
      </c>
      <c r="P34" s="164"/>
      <c r="Q34" s="2863"/>
      <c r="R34" s="2918"/>
      <c r="S34" s="2919"/>
      <c r="T34" s="2512"/>
      <c r="U34" s="2512"/>
      <c r="V34" s="2512"/>
      <c r="W34" s="2512"/>
      <c r="X34" s="2512"/>
      <c r="Y34" s="2512"/>
      <c r="Z34" s="1279">
        <v>34</v>
      </c>
    </row>
    <row r="35" spans="3:26" s="95" customFormat="1" ht="11.25" customHeight="1">
      <c r="C35" s="2512"/>
      <c r="D35" s="165"/>
      <c r="E35" s="2519" t="s">
        <v>201</v>
      </c>
      <c r="F35" s="154"/>
      <c r="G35" s="2512"/>
      <c r="H35" s="2879"/>
      <c r="I35" s="2977"/>
      <c r="J35" s="2977"/>
      <c r="K35" s="2978"/>
      <c r="L35" s="2977"/>
      <c r="M35" s="2977"/>
      <c r="N35" s="2979"/>
      <c r="O35" s="164" t="s">
        <v>202</v>
      </c>
      <c r="P35" s="166"/>
      <c r="Q35" s="2980"/>
      <c r="R35" s="2981"/>
      <c r="S35" s="2982"/>
      <c r="T35" s="2512"/>
      <c r="U35" s="2512"/>
      <c r="V35" s="2512"/>
      <c r="W35" s="2512"/>
      <c r="X35" s="2512"/>
      <c r="Y35" s="2512"/>
      <c r="Z35" s="1279">
        <v>35</v>
      </c>
    </row>
    <row r="36" spans="3:26" s="95" customFormat="1" ht="11.25" customHeight="1">
      <c r="C36" s="2512"/>
      <c r="D36" s="165"/>
      <c r="E36" s="2519" t="s">
        <v>57</v>
      </c>
      <c r="F36" s="2512"/>
      <c r="G36" s="2512"/>
      <c r="H36" s="2879"/>
      <c r="I36" s="2978"/>
      <c r="J36" s="2915"/>
      <c r="K36" s="167" t="s">
        <v>216</v>
      </c>
      <c r="L36" s="2879"/>
      <c r="M36" s="2977"/>
      <c r="N36" s="2915"/>
      <c r="O36" s="164" t="s">
        <v>43</v>
      </c>
      <c r="P36" s="166"/>
      <c r="Q36" s="2874"/>
      <c r="R36" s="2875"/>
      <c r="S36" s="2876"/>
      <c r="T36" s="2512"/>
      <c r="U36" s="2512"/>
      <c r="V36" s="2512"/>
      <c r="W36" s="2512"/>
      <c r="X36" s="2512"/>
      <c r="Y36" s="2512"/>
      <c r="Z36" s="1279">
        <v>36</v>
      </c>
    </row>
    <row r="37" spans="3:26" s="95" customFormat="1" ht="11.25" customHeight="1">
      <c r="C37" s="2512"/>
      <c r="D37" s="2512"/>
      <c r="E37" s="2519" t="s">
        <v>204</v>
      </c>
      <c r="F37" s="2512"/>
      <c r="G37" s="2512"/>
      <c r="H37" s="752"/>
      <c r="I37" s="166"/>
      <c r="J37" s="166"/>
      <c r="K37" s="511" t="s">
        <v>205</v>
      </c>
      <c r="L37" s="2983"/>
      <c r="M37" s="2984"/>
      <c r="N37" s="166"/>
      <c r="O37" s="164" t="s">
        <v>46</v>
      </c>
      <c r="P37" s="166"/>
      <c r="Q37" s="2874"/>
      <c r="R37" s="2875"/>
      <c r="S37" s="2876"/>
      <c r="T37" s="2512"/>
      <c r="U37" s="2512"/>
      <c r="V37" s="2512"/>
      <c r="W37" s="2512"/>
      <c r="X37" s="2512"/>
      <c r="Y37" s="2512"/>
      <c r="Z37" s="1279">
        <v>37</v>
      </c>
    </row>
    <row r="38" spans="3:26" s="95" customFormat="1" ht="11.25" customHeight="1">
      <c r="C38" s="2512"/>
      <c r="D38" s="165"/>
      <c r="E38" s="2519" t="s">
        <v>207</v>
      </c>
      <c r="F38" s="2512"/>
      <c r="G38" s="2512"/>
      <c r="H38" s="2975"/>
      <c r="I38" s="2976"/>
      <c r="J38" s="536"/>
      <c r="K38" s="167" t="s">
        <v>44</v>
      </c>
      <c r="L38" s="2866"/>
      <c r="M38" s="2867"/>
      <c r="N38" s="2868"/>
      <c r="O38" s="2868"/>
      <c r="P38" s="2868"/>
      <c r="Q38" s="2867"/>
      <c r="R38" s="2867"/>
      <c r="S38" s="2917"/>
      <c r="T38" s="2512"/>
      <c r="U38" s="2512"/>
      <c r="V38" s="2512"/>
      <c r="W38" s="2512"/>
      <c r="X38" s="2512"/>
      <c r="Y38" s="2512"/>
      <c r="Z38" s="1279">
        <v>38</v>
      </c>
    </row>
    <row r="39" spans="3:26" ht="4.3499999999999996" customHeight="1">
      <c r="H39" s="2636"/>
      <c r="I39" s="2636"/>
      <c r="J39" s="2636"/>
      <c r="K39" s="167"/>
      <c r="L39" s="2636"/>
      <c r="M39" s="2636"/>
      <c r="N39" s="173"/>
      <c r="O39" s="174"/>
      <c r="P39" s="174"/>
      <c r="Q39" s="167"/>
      <c r="R39" s="174"/>
      <c r="S39" s="174"/>
      <c r="Z39" s="1279">
        <v>39</v>
      </c>
    </row>
    <row r="40" spans="3:26" s="95" customFormat="1" ht="11.25" customHeight="1">
      <c r="C40" s="2512"/>
      <c r="D40" s="151" t="s">
        <v>217</v>
      </c>
      <c r="E40" s="2512" t="s">
        <v>223</v>
      </c>
      <c r="F40" s="151"/>
      <c r="G40" s="2512"/>
      <c r="H40" s="2863"/>
      <c r="I40" s="2918"/>
      <c r="J40" s="2918"/>
      <c r="K40" s="2918"/>
      <c r="L40" s="2918"/>
      <c r="M40" s="2918"/>
      <c r="N40" s="2919"/>
      <c r="O40" s="164" t="s">
        <v>200</v>
      </c>
      <c r="P40" s="164"/>
      <c r="Q40" s="2863"/>
      <c r="R40" s="2918"/>
      <c r="S40" s="2919"/>
      <c r="T40" s="2512"/>
      <c r="U40" s="2512"/>
      <c r="V40" s="2512"/>
      <c r="W40" s="2512"/>
      <c r="X40" s="2512"/>
      <c r="Y40" s="2512"/>
      <c r="Z40" s="1279">
        <v>40</v>
      </c>
    </row>
    <row r="41" spans="3:26" s="95" customFormat="1" ht="11.25" customHeight="1">
      <c r="C41" s="2512"/>
      <c r="D41" s="165"/>
      <c r="E41" s="2519" t="s">
        <v>201</v>
      </c>
      <c r="F41" s="154"/>
      <c r="G41" s="2512"/>
      <c r="H41" s="2879"/>
      <c r="I41" s="2977"/>
      <c r="J41" s="2977"/>
      <c r="K41" s="2978"/>
      <c r="L41" s="2977"/>
      <c r="M41" s="2977"/>
      <c r="N41" s="2979"/>
      <c r="O41" s="164" t="s">
        <v>202</v>
      </c>
      <c r="P41" s="166"/>
      <c r="Q41" s="2980"/>
      <c r="R41" s="2981"/>
      <c r="S41" s="2982"/>
      <c r="T41" s="2512"/>
      <c r="U41" s="2512"/>
      <c r="V41" s="2512"/>
      <c r="W41" s="2512"/>
      <c r="X41" s="2512"/>
      <c r="Y41" s="2512"/>
      <c r="Z41" s="1279">
        <v>41</v>
      </c>
    </row>
    <row r="42" spans="3:26" s="95" customFormat="1" ht="11.25" customHeight="1">
      <c r="C42" s="2512"/>
      <c r="D42" s="165"/>
      <c r="E42" s="2519" t="s">
        <v>57</v>
      </c>
      <c r="F42" s="2512"/>
      <c r="G42" s="2512"/>
      <c r="H42" s="2879"/>
      <c r="I42" s="2978"/>
      <c r="J42" s="2915"/>
      <c r="K42" s="167" t="s">
        <v>216</v>
      </c>
      <c r="L42" s="2879"/>
      <c r="M42" s="2977"/>
      <c r="N42" s="2915"/>
      <c r="O42" s="164" t="s">
        <v>43</v>
      </c>
      <c r="P42" s="166"/>
      <c r="Q42" s="2874"/>
      <c r="R42" s="2875"/>
      <c r="S42" s="2876"/>
      <c r="T42" s="2512"/>
      <c r="U42" s="2512"/>
      <c r="V42" s="2512"/>
      <c r="W42" s="2512"/>
      <c r="X42" s="2512"/>
      <c r="Y42" s="2512"/>
      <c r="Z42" s="1279">
        <v>42</v>
      </c>
    </row>
    <row r="43" spans="3:26" s="95" customFormat="1" ht="11.25" customHeight="1">
      <c r="C43" s="2512"/>
      <c r="D43" s="151"/>
      <c r="E43" s="2519" t="s">
        <v>204</v>
      </c>
      <c r="F43" s="2512"/>
      <c r="G43" s="2512"/>
      <c r="H43" s="752"/>
      <c r="I43" s="166"/>
      <c r="J43" s="166"/>
      <c r="K43" s="511" t="s">
        <v>205</v>
      </c>
      <c r="L43" s="2983"/>
      <c r="M43" s="2984"/>
      <c r="N43" s="166"/>
      <c r="O43" s="164" t="s">
        <v>46</v>
      </c>
      <c r="P43" s="166"/>
      <c r="Q43" s="2874"/>
      <c r="R43" s="2875"/>
      <c r="S43" s="2876"/>
      <c r="T43" s="2512"/>
      <c r="U43" s="2512"/>
      <c r="V43" s="2512"/>
      <c r="W43" s="2512"/>
      <c r="X43" s="2512"/>
      <c r="Y43" s="2512"/>
      <c r="Z43" s="1279">
        <v>43</v>
      </c>
    </row>
    <row r="44" spans="3:26" s="95" customFormat="1" ht="11.25" customHeight="1">
      <c r="C44" s="2512"/>
      <c r="D44" s="165"/>
      <c r="E44" s="2519" t="s">
        <v>207</v>
      </c>
      <c r="F44" s="2512"/>
      <c r="G44" s="2512"/>
      <c r="H44" s="2975"/>
      <c r="I44" s="2976"/>
      <c r="J44" s="536"/>
      <c r="K44" s="167" t="s">
        <v>44</v>
      </c>
      <c r="L44" s="2866"/>
      <c r="M44" s="2867"/>
      <c r="N44" s="2868"/>
      <c r="O44" s="2868"/>
      <c r="P44" s="2868"/>
      <c r="Q44" s="2867"/>
      <c r="R44" s="2867"/>
      <c r="S44" s="2917"/>
      <c r="T44" s="2512"/>
      <c r="U44" s="2512"/>
      <c r="V44" s="2512"/>
      <c r="W44" s="2512"/>
      <c r="X44" s="2512"/>
      <c r="Y44" s="2512"/>
      <c r="Z44" s="1279">
        <v>44</v>
      </c>
    </row>
    <row r="45" spans="3:26" s="95" customFormat="1" ht="4.3499999999999996" customHeight="1">
      <c r="C45" s="2512"/>
      <c r="D45" s="165"/>
      <c r="E45" s="2519"/>
      <c r="F45" s="151"/>
      <c r="G45" s="2512"/>
      <c r="H45" s="168"/>
      <c r="I45" s="168"/>
      <c r="J45" s="176"/>
      <c r="K45" s="167"/>
      <c r="L45" s="168"/>
      <c r="M45" s="168"/>
      <c r="N45" s="167"/>
      <c r="O45" s="168"/>
      <c r="P45" s="168"/>
      <c r="Q45" s="167"/>
      <c r="R45" s="168"/>
      <c r="S45" s="168"/>
      <c r="T45" s="2512"/>
      <c r="U45" s="2512"/>
      <c r="V45" s="2512"/>
      <c r="W45" s="2512"/>
      <c r="X45" s="2512"/>
      <c r="Y45" s="2512"/>
      <c r="Z45" s="1279">
        <v>45</v>
      </c>
    </row>
    <row r="46" spans="3:26" s="95" customFormat="1" ht="11.25" customHeight="1">
      <c r="C46" s="175" t="s">
        <v>224</v>
      </c>
      <c r="D46" s="159" t="s">
        <v>225</v>
      </c>
      <c r="E46" s="2512"/>
      <c r="F46" s="2512"/>
      <c r="G46" s="2512"/>
      <c r="H46" s="166"/>
      <c r="I46" s="166"/>
      <c r="J46" s="166"/>
      <c r="K46" s="937" t="s">
        <v>196</v>
      </c>
      <c r="L46" s="166"/>
      <c r="M46" s="166"/>
      <c r="N46" s="166"/>
      <c r="O46" s="166"/>
      <c r="P46" s="166"/>
      <c r="Q46" s="166"/>
      <c r="R46" s="166"/>
      <c r="S46" s="166"/>
      <c r="T46" s="2512"/>
      <c r="U46" s="2512"/>
      <c r="V46" s="2512"/>
      <c r="W46" s="2512"/>
      <c r="X46" s="2512"/>
      <c r="Y46" s="2512"/>
      <c r="Z46" s="1279">
        <v>46</v>
      </c>
    </row>
    <row r="47" spans="3:26" s="95" customFormat="1" ht="11.25" customHeight="1">
      <c r="C47" s="2512"/>
      <c r="D47" s="2512"/>
      <c r="E47" s="2512" t="s">
        <v>226</v>
      </c>
      <c r="F47" s="2512"/>
      <c r="G47" s="2512"/>
      <c r="H47" s="2863"/>
      <c r="I47" s="2918"/>
      <c r="J47" s="2918"/>
      <c r="K47" s="2918"/>
      <c r="L47" s="2918"/>
      <c r="M47" s="2918"/>
      <c r="N47" s="2919"/>
      <c r="O47" s="164" t="s">
        <v>200</v>
      </c>
      <c r="P47" s="164"/>
      <c r="Q47" s="2863"/>
      <c r="R47" s="2918"/>
      <c r="S47" s="2919"/>
      <c r="T47" s="2512"/>
      <c r="U47" s="2512"/>
      <c r="V47" s="2512"/>
      <c r="W47" s="2512"/>
      <c r="X47" s="2512"/>
      <c r="Y47" s="2512"/>
      <c r="Z47" s="1279">
        <v>47</v>
      </c>
    </row>
    <row r="48" spans="3:26" s="95" customFormat="1" ht="11.25" customHeight="1">
      <c r="C48" s="2512"/>
      <c r="D48" s="165"/>
      <c r="E48" s="2519" t="s">
        <v>201</v>
      </c>
      <c r="F48" s="154"/>
      <c r="G48" s="2512"/>
      <c r="H48" s="2879"/>
      <c r="I48" s="2977"/>
      <c r="J48" s="2977"/>
      <c r="K48" s="2978"/>
      <c r="L48" s="2977"/>
      <c r="M48" s="2977"/>
      <c r="N48" s="2979"/>
      <c r="O48" s="164" t="s">
        <v>202</v>
      </c>
      <c r="P48" s="166"/>
      <c r="Q48" s="2980"/>
      <c r="R48" s="2981"/>
      <c r="S48" s="2982"/>
      <c r="T48" s="2512"/>
      <c r="U48" s="2512"/>
      <c r="V48" s="2512"/>
      <c r="W48" s="2512"/>
      <c r="X48" s="2512"/>
      <c r="Y48" s="2512"/>
      <c r="Z48" s="1279">
        <v>48</v>
      </c>
    </row>
    <row r="49" spans="1:26" s="95" customFormat="1" ht="11.25" customHeight="1">
      <c r="A49" s="2512"/>
      <c r="B49" s="2512"/>
      <c r="C49" s="2512"/>
      <c r="D49" s="165"/>
      <c r="E49" s="2519" t="s">
        <v>57</v>
      </c>
      <c r="F49" s="2512"/>
      <c r="G49" s="2512"/>
      <c r="H49" s="2879"/>
      <c r="I49" s="2978"/>
      <c r="J49" s="2915"/>
      <c r="K49" s="167" t="s">
        <v>216</v>
      </c>
      <c r="L49" s="2879"/>
      <c r="M49" s="2977"/>
      <c r="N49" s="2915"/>
      <c r="O49" s="164" t="s">
        <v>43</v>
      </c>
      <c r="P49" s="166"/>
      <c r="Q49" s="2874"/>
      <c r="R49" s="2875"/>
      <c r="S49" s="2876"/>
      <c r="T49" s="2512"/>
      <c r="U49" s="2512"/>
      <c r="V49" s="2512"/>
      <c r="W49" s="2512"/>
      <c r="X49" s="2512"/>
      <c r="Y49" s="2512"/>
      <c r="Z49" s="1279">
        <v>49</v>
      </c>
    </row>
    <row r="50" spans="1:26" s="95" customFormat="1" ht="11.25" customHeight="1">
      <c r="A50" s="2512"/>
      <c r="B50" s="2512"/>
      <c r="C50" s="2512"/>
      <c r="D50" s="2512"/>
      <c r="E50" s="2519" t="s">
        <v>204</v>
      </c>
      <c r="F50" s="2512"/>
      <c r="G50" s="2512"/>
      <c r="H50" s="752"/>
      <c r="I50" s="166"/>
      <c r="J50" s="166"/>
      <c r="K50" s="511" t="s">
        <v>205</v>
      </c>
      <c r="L50" s="2983"/>
      <c r="M50" s="2984"/>
      <c r="N50" s="166"/>
      <c r="O50" s="164" t="s">
        <v>46</v>
      </c>
      <c r="P50" s="166"/>
      <c r="Q50" s="2874"/>
      <c r="R50" s="2875"/>
      <c r="S50" s="2876"/>
      <c r="T50" s="2512"/>
      <c r="U50" s="2512"/>
      <c r="V50" s="2512"/>
      <c r="W50" s="2512"/>
      <c r="X50" s="2512"/>
      <c r="Y50" s="2512"/>
      <c r="Z50" s="1279">
        <v>50</v>
      </c>
    </row>
    <row r="51" spans="1:26" s="95" customFormat="1" ht="11.25" customHeight="1">
      <c r="A51" s="2512"/>
      <c r="B51" s="2512"/>
      <c r="C51" s="2512"/>
      <c r="D51" s="165"/>
      <c r="E51" s="2519" t="s">
        <v>207</v>
      </c>
      <c r="F51" s="2512"/>
      <c r="G51" s="2512"/>
      <c r="H51" s="2975"/>
      <c r="I51" s="2976"/>
      <c r="J51" s="536"/>
      <c r="K51" s="167" t="s">
        <v>44</v>
      </c>
      <c r="L51" s="2866"/>
      <c r="M51" s="2867"/>
      <c r="N51" s="2868"/>
      <c r="O51" s="2868"/>
      <c r="P51" s="2868"/>
      <c r="Q51" s="2867"/>
      <c r="R51" s="2867"/>
      <c r="S51" s="2917"/>
      <c r="T51" s="2512"/>
      <c r="U51" s="2512"/>
      <c r="V51" s="2512"/>
      <c r="W51" s="2512"/>
      <c r="X51" s="2512"/>
      <c r="Y51" s="2512"/>
      <c r="Z51" s="1279">
        <v>51</v>
      </c>
    </row>
    <row r="52" spans="1:26" ht="6.75" customHeight="1">
      <c r="H52" s="2505"/>
      <c r="I52" s="2505"/>
      <c r="J52" s="2505"/>
      <c r="K52" s="2505"/>
      <c r="L52" s="2505"/>
      <c r="M52" s="2505"/>
      <c r="N52" s="2505"/>
      <c r="O52" s="2505"/>
      <c r="P52" s="2505"/>
      <c r="Q52" s="2505"/>
      <c r="R52" s="2505"/>
      <c r="S52" s="2505"/>
      <c r="Z52" s="1279">
        <v>52</v>
      </c>
    </row>
    <row r="53" spans="1:26" s="95" customFormat="1" ht="13.35" customHeight="1">
      <c r="A53" s="151" t="s">
        <v>25</v>
      </c>
      <c r="B53" s="151" t="s">
        <v>227</v>
      </c>
      <c r="C53" s="2512"/>
      <c r="D53" s="2512"/>
      <c r="E53" s="2512"/>
      <c r="F53" s="151"/>
      <c r="G53" s="2518"/>
      <c r="H53" s="167"/>
      <c r="I53" s="167"/>
      <c r="J53" s="166"/>
      <c r="K53" s="937" t="s">
        <v>196</v>
      </c>
      <c r="L53" s="166"/>
      <c r="M53" s="166"/>
      <c r="N53" s="166"/>
      <c r="O53" s="166"/>
      <c r="P53" s="166"/>
      <c r="Q53" s="166"/>
      <c r="R53" s="166"/>
      <c r="S53" s="166"/>
      <c r="T53" s="2512"/>
      <c r="U53" s="2512"/>
      <c r="V53" s="2512"/>
      <c r="W53" s="2512"/>
      <c r="X53" s="2512"/>
      <c r="Y53" s="2512"/>
      <c r="Z53" s="1279">
        <v>53</v>
      </c>
    </row>
    <row r="54" spans="1:26" s="95" customFormat="1" ht="3" customHeight="1">
      <c r="A54" s="151"/>
      <c r="B54" s="151"/>
      <c r="C54" s="2512"/>
      <c r="D54" s="2512"/>
      <c r="E54" s="2512"/>
      <c r="F54" s="151"/>
      <c r="G54" s="2518"/>
      <c r="H54" s="172"/>
      <c r="I54" s="172"/>
      <c r="J54" s="172"/>
      <c r="K54" s="173"/>
      <c r="L54" s="172"/>
      <c r="M54" s="172"/>
      <c r="N54" s="173"/>
      <c r="O54" s="174"/>
      <c r="P54" s="174"/>
      <c r="Q54" s="167"/>
      <c r="R54" s="174"/>
      <c r="S54" s="174"/>
      <c r="T54" s="2512"/>
      <c r="U54" s="2512"/>
      <c r="V54" s="2512"/>
      <c r="W54" s="2512"/>
      <c r="X54" s="2512"/>
      <c r="Y54" s="2512"/>
      <c r="Z54" s="1279">
        <v>54</v>
      </c>
    </row>
    <row r="55" spans="1:26" s="95" customFormat="1" ht="11.25" customHeight="1">
      <c r="A55" s="2512"/>
      <c r="B55" s="151" t="s">
        <v>197</v>
      </c>
      <c r="C55" s="151" t="s">
        <v>228</v>
      </c>
      <c r="D55" s="2512"/>
      <c r="E55" s="2512"/>
      <c r="F55" s="2512"/>
      <c r="G55" s="2512"/>
      <c r="H55" s="2863"/>
      <c r="I55" s="2918"/>
      <c r="J55" s="2918"/>
      <c r="K55" s="2918"/>
      <c r="L55" s="2918"/>
      <c r="M55" s="2918"/>
      <c r="N55" s="2919"/>
      <c r="O55" s="164" t="s">
        <v>200</v>
      </c>
      <c r="P55" s="164"/>
      <c r="Q55" s="2863"/>
      <c r="R55" s="2918"/>
      <c r="S55" s="2919"/>
      <c r="T55" s="2512"/>
      <c r="U55" s="2512"/>
      <c r="V55" s="2512"/>
      <c r="W55" s="2512"/>
      <c r="X55" s="2512"/>
      <c r="Y55" s="2512"/>
      <c r="Z55" s="1279">
        <v>55</v>
      </c>
    </row>
    <row r="56" spans="1:26" s="95" customFormat="1" ht="11.25" customHeight="1">
      <c r="A56" s="2512"/>
      <c r="B56" s="2512"/>
      <c r="C56" s="2512"/>
      <c r="D56" s="165"/>
      <c r="E56" s="2519" t="s">
        <v>201</v>
      </c>
      <c r="F56" s="154"/>
      <c r="G56" s="2512"/>
      <c r="H56" s="2879"/>
      <c r="I56" s="2977"/>
      <c r="J56" s="2977"/>
      <c r="K56" s="2978"/>
      <c r="L56" s="2977"/>
      <c r="M56" s="2977"/>
      <c r="N56" s="2979"/>
      <c r="O56" s="164" t="s">
        <v>202</v>
      </c>
      <c r="P56" s="166"/>
      <c r="Q56" s="2980"/>
      <c r="R56" s="2981"/>
      <c r="S56" s="2982"/>
      <c r="T56" s="2512"/>
      <c r="U56" s="2512"/>
      <c r="V56" s="2512"/>
      <c r="W56" s="2512"/>
      <c r="X56" s="2512"/>
      <c r="Y56" s="2512"/>
      <c r="Z56" s="1279">
        <v>56</v>
      </c>
    </row>
    <row r="57" spans="1:26" s="95" customFormat="1" ht="11.25" customHeight="1">
      <c r="A57" s="2512"/>
      <c r="B57" s="2512"/>
      <c r="C57" s="2512"/>
      <c r="D57" s="165"/>
      <c r="E57" s="2519" t="s">
        <v>57</v>
      </c>
      <c r="F57" s="2512"/>
      <c r="G57" s="2512"/>
      <c r="H57" s="2879"/>
      <c r="I57" s="2978"/>
      <c r="J57" s="2915"/>
      <c r="K57" s="167" t="s">
        <v>216</v>
      </c>
      <c r="L57" s="2879"/>
      <c r="M57" s="2977"/>
      <c r="N57" s="2915"/>
      <c r="O57" s="164" t="s">
        <v>43</v>
      </c>
      <c r="P57" s="166"/>
      <c r="Q57" s="2874"/>
      <c r="R57" s="2875"/>
      <c r="S57" s="2876"/>
      <c r="T57" s="2512"/>
      <c r="U57" s="2512"/>
      <c r="V57" s="2512"/>
      <c r="W57" s="2512"/>
      <c r="X57" s="2512"/>
      <c r="Y57" s="2512"/>
      <c r="Z57" s="1279">
        <v>57</v>
      </c>
    </row>
    <row r="58" spans="1:26" s="95" customFormat="1" ht="11.25" customHeight="1">
      <c r="A58" s="2512"/>
      <c r="B58" s="2512"/>
      <c r="C58" s="2512"/>
      <c r="D58" s="2512"/>
      <c r="E58" s="2519" t="s">
        <v>204</v>
      </c>
      <c r="F58" s="2512"/>
      <c r="G58" s="2512"/>
      <c r="H58" s="752"/>
      <c r="I58" s="166"/>
      <c r="J58" s="166"/>
      <c r="K58" s="511" t="s">
        <v>205</v>
      </c>
      <c r="L58" s="2983"/>
      <c r="M58" s="2984"/>
      <c r="N58" s="166"/>
      <c r="O58" s="164" t="s">
        <v>46</v>
      </c>
      <c r="P58" s="166"/>
      <c r="Q58" s="2874"/>
      <c r="R58" s="2875"/>
      <c r="S58" s="2876"/>
      <c r="T58" s="2512"/>
      <c r="U58" s="2512"/>
      <c r="V58" s="2512"/>
      <c r="W58" s="2512"/>
      <c r="X58" s="2512"/>
      <c r="Y58" s="2512"/>
      <c r="Z58" s="1279">
        <v>58</v>
      </c>
    </row>
    <row r="59" spans="1:26" s="95" customFormat="1" ht="11.25" customHeight="1">
      <c r="A59" s="2512"/>
      <c r="B59" s="2512"/>
      <c r="C59" s="2512"/>
      <c r="D59" s="165"/>
      <c r="E59" s="2519" t="s">
        <v>207</v>
      </c>
      <c r="F59" s="2512"/>
      <c r="G59" s="2512"/>
      <c r="H59" s="2975"/>
      <c r="I59" s="2976"/>
      <c r="J59" s="536"/>
      <c r="K59" s="167" t="s">
        <v>44</v>
      </c>
      <c r="L59" s="2866"/>
      <c r="M59" s="2867"/>
      <c r="N59" s="2868"/>
      <c r="O59" s="2868"/>
      <c r="P59" s="2868"/>
      <c r="Q59" s="2867"/>
      <c r="R59" s="2867"/>
      <c r="S59" s="2917"/>
      <c r="T59" s="2512"/>
      <c r="U59" s="2512"/>
      <c r="V59" s="2512"/>
      <c r="W59" s="2512"/>
      <c r="X59" s="2512"/>
      <c r="Y59" s="2512"/>
      <c r="Z59" s="1279">
        <v>59</v>
      </c>
    </row>
    <row r="60" spans="1:26" s="95" customFormat="1" ht="6.6" customHeight="1">
      <c r="A60" s="2512"/>
      <c r="B60" s="2512"/>
      <c r="C60" s="2512"/>
      <c r="D60" s="165"/>
      <c r="E60" s="2512"/>
      <c r="F60" s="2512"/>
      <c r="G60" s="2519"/>
      <c r="H60" s="2636"/>
      <c r="I60" s="2636"/>
      <c r="J60" s="2636"/>
      <c r="K60" s="167"/>
      <c r="L60" s="2636"/>
      <c r="M60" s="2636"/>
      <c r="N60" s="173"/>
      <c r="O60" s="174"/>
      <c r="P60" s="174"/>
      <c r="Q60" s="167"/>
      <c r="R60" s="174"/>
      <c r="S60" s="174"/>
      <c r="T60" s="2512"/>
      <c r="U60" s="2512"/>
      <c r="V60" s="2512"/>
      <c r="W60" s="2512"/>
      <c r="X60" s="2512"/>
      <c r="Y60" s="2512"/>
      <c r="Z60" s="1279">
        <v>60</v>
      </c>
    </row>
    <row r="61" spans="1:26" s="95" customFormat="1" ht="11.25" customHeight="1">
      <c r="A61" s="2512"/>
      <c r="B61" s="151" t="s">
        <v>209</v>
      </c>
      <c r="C61" s="151" t="s">
        <v>229</v>
      </c>
      <c r="D61" s="2512"/>
      <c r="E61" s="2512"/>
      <c r="F61" s="2512"/>
      <c r="G61" s="2512"/>
      <c r="H61" s="2863"/>
      <c r="I61" s="2918"/>
      <c r="J61" s="2918"/>
      <c r="K61" s="2918"/>
      <c r="L61" s="2918"/>
      <c r="M61" s="2918"/>
      <c r="N61" s="2919"/>
      <c r="O61" s="164" t="s">
        <v>200</v>
      </c>
      <c r="P61" s="164"/>
      <c r="Q61" s="2863"/>
      <c r="R61" s="2918"/>
      <c r="S61" s="2919"/>
      <c r="T61" s="2512"/>
      <c r="U61" s="2512"/>
      <c r="V61" s="2512"/>
      <c r="W61" s="2512"/>
      <c r="X61" s="2512"/>
      <c r="Y61" s="2512"/>
      <c r="Z61" s="1279">
        <v>61</v>
      </c>
    </row>
    <row r="62" spans="1:26" s="95" customFormat="1" ht="11.25" customHeight="1">
      <c r="A62" s="2512"/>
      <c r="B62" s="2512"/>
      <c r="C62" s="2512"/>
      <c r="D62" s="165"/>
      <c r="E62" s="2519" t="s">
        <v>201</v>
      </c>
      <c r="F62" s="154"/>
      <c r="G62" s="2512"/>
      <c r="H62" s="2879"/>
      <c r="I62" s="2977"/>
      <c r="J62" s="2977"/>
      <c r="K62" s="2978"/>
      <c r="L62" s="2977"/>
      <c r="M62" s="2977"/>
      <c r="N62" s="2979"/>
      <c r="O62" s="164" t="s">
        <v>202</v>
      </c>
      <c r="P62" s="166"/>
      <c r="Q62" s="2980"/>
      <c r="R62" s="2981"/>
      <c r="S62" s="2982"/>
      <c r="T62" s="2512"/>
      <c r="U62" s="2512"/>
      <c r="V62" s="2512"/>
      <c r="W62" s="2512"/>
      <c r="X62" s="2512"/>
      <c r="Y62" s="2512"/>
      <c r="Z62" s="1279">
        <v>62</v>
      </c>
    </row>
    <row r="63" spans="1:26" s="95" customFormat="1" ht="11.25" customHeight="1">
      <c r="A63" s="2512"/>
      <c r="B63" s="2512"/>
      <c r="C63" s="2512"/>
      <c r="D63" s="165"/>
      <c r="E63" s="2519" t="s">
        <v>57</v>
      </c>
      <c r="F63" s="2512"/>
      <c r="G63" s="2512"/>
      <c r="H63" s="2879"/>
      <c r="I63" s="2978"/>
      <c r="J63" s="2915"/>
      <c r="K63" s="167" t="s">
        <v>216</v>
      </c>
      <c r="L63" s="2879"/>
      <c r="M63" s="2977"/>
      <c r="N63" s="2915"/>
      <c r="O63" s="164" t="s">
        <v>43</v>
      </c>
      <c r="P63" s="166"/>
      <c r="Q63" s="2874"/>
      <c r="R63" s="2875"/>
      <c r="S63" s="2876"/>
      <c r="T63" s="2512"/>
      <c r="U63" s="2512"/>
      <c r="V63" s="2512"/>
      <c r="W63" s="2512"/>
      <c r="X63" s="2512"/>
      <c r="Y63" s="2512"/>
      <c r="Z63" s="1279">
        <v>63</v>
      </c>
    </row>
    <row r="64" spans="1:26" s="95" customFormat="1" ht="11.25" customHeight="1">
      <c r="A64" s="2512"/>
      <c r="B64" s="2512"/>
      <c r="C64" s="2512"/>
      <c r="D64" s="2512"/>
      <c r="E64" s="2519" t="s">
        <v>204</v>
      </c>
      <c r="F64" s="2512"/>
      <c r="G64" s="2512"/>
      <c r="H64" s="752"/>
      <c r="I64" s="166"/>
      <c r="J64" s="166"/>
      <c r="K64" s="511" t="s">
        <v>205</v>
      </c>
      <c r="L64" s="2983"/>
      <c r="M64" s="2984"/>
      <c r="N64" s="166"/>
      <c r="O64" s="164" t="s">
        <v>46</v>
      </c>
      <c r="P64" s="166"/>
      <c r="Q64" s="2874"/>
      <c r="R64" s="2875"/>
      <c r="S64" s="2876"/>
      <c r="T64" s="2512"/>
      <c r="U64" s="2512"/>
      <c r="V64" s="2512"/>
      <c r="W64" s="2512"/>
      <c r="X64" s="2512"/>
      <c r="Y64" s="2512"/>
      <c r="Z64" s="1279">
        <v>64</v>
      </c>
    </row>
    <row r="65" spans="1:26" s="95" customFormat="1" ht="11.25" customHeight="1">
      <c r="A65" s="2512"/>
      <c r="B65" s="2512"/>
      <c r="C65" s="2512"/>
      <c r="D65" s="165"/>
      <c r="E65" s="2519" t="s">
        <v>207</v>
      </c>
      <c r="F65" s="2512"/>
      <c r="G65" s="2512"/>
      <c r="H65" s="2975"/>
      <c r="I65" s="2976"/>
      <c r="J65" s="536"/>
      <c r="K65" s="167" t="s">
        <v>44</v>
      </c>
      <c r="L65" s="2866"/>
      <c r="M65" s="2867"/>
      <c r="N65" s="2868"/>
      <c r="O65" s="2868"/>
      <c r="P65" s="2868"/>
      <c r="Q65" s="2867"/>
      <c r="R65" s="2867"/>
      <c r="S65" s="2917"/>
      <c r="T65" s="2512"/>
      <c r="U65" s="2512"/>
      <c r="V65" s="2512"/>
      <c r="W65" s="2512"/>
      <c r="X65" s="2512"/>
      <c r="Y65" s="2512"/>
      <c r="Z65" s="1279">
        <v>65</v>
      </c>
    </row>
    <row r="66" spans="1:26" s="95" customFormat="1" ht="6.6" customHeight="1">
      <c r="A66" s="2512"/>
      <c r="B66" s="2512"/>
      <c r="C66" s="2512"/>
      <c r="D66" s="165"/>
      <c r="E66" s="2512"/>
      <c r="F66" s="2512"/>
      <c r="G66" s="2519"/>
      <c r="H66" s="2636"/>
      <c r="I66" s="2636"/>
      <c r="J66" s="2636"/>
      <c r="K66" s="167"/>
      <c r="L66" s="2636"/>
      <c r="M66" s="2636"/>
      <c r="N66" s="173"/>
      <c r="O66" s="174"/>
      <c r="P66" s="174"/>
      <c r="Q66" s="167"/>
      <c r="R66" s="174"/>
      <c r="S66" s="174"/>
      <c r="T66" s="2512"/>
      <c r="U66" s="2512"/>
      <c r="V66" s="2512"/>
      <c r="W66" s="2512"/>
      <c r="X66" s="2512"/>
      <c r="Y66" s="2512"/>
      <c r="Z66" s="1279">
        <v>66</v>
      </c>
    </row>
    <row r="67" spans="1:26" s="95" customFormat="1" ht="11.25" customHeight="1">
      <c r="A67" s="2512"/>
      <c r="B67" s="151" t="s">
        <v>230</v>
      </c>
      <c r="C67" s="151" t="s">
        <v>231</v>
      </c>
      <c r="D67" s="2512"/>
      <c r="E67" s="2512"/>
      <c r="F67" s="2512"/>
      <c r="G67" s="2512"/>
      <c r="H67" s="2863"/>
      <c r="I67" s="2918"/>
      <c r="J67" s="2918"/>
      <c r="K67" s="2918"/>
      <c r="L67" s="2918"/>
      <c r="M67" s="2918"/>
      <c r="N67" s="2919"/>
      <c r="O67" s="164" t="s">
        <v>200</v>
      </c>
      <c r="P67" s="164"/>
      <c r="Q67" s="2863"/>
      <c r="R67" s="2918"/>
      <c r="S67" s="2919"/>
      <c r="T67" s="2512"/>
      <c r="U67" s="2512"/>
      <c r="V67" s="2512"/>
      <c r="W67" s="2512"/>
      <c r="X67" s="2512"/>
      <c r="Y67" s="2512"/>
      <c r="Z67" s="1279">
        <v>67</v>
      </c>
    </row>
    <row r="68" spans="1:26" s="95" customFormat="1" ht="11.25" customHeight="1">
      <c r="A68" s="2512"/>
      <c r="B68" s="2512"/>
      <c r="C68" s="2512"/>
      <c r="D68" s="165"/>
      <c r="E68" s="2519" t="s">
        <v>201</v>
      </c>
      <c r="F68" s="154"/>
      <c r="G68" s="2512"/>
      <c r="H68" s="2879"/>
      <c r="I68" s="2977"/>
      <c r="J68" s="2977"/>
      <c r="K68" s="2978"/>
      <c r="L68" s="2977"/>
      <c r="M68" s="2977"/>
      <c r="N68" s="2979"/>
      <c r="O68" s="164" t="s">
        <v>202</v>
      </c>
      <c r="P68" s="166"/>
      <c r="Q68" s="2980"/>
      <c r="R68" s="2981"/>
      <c r="S68" s="2982"/>
      <c r="T68" s="2512"/>
      <c r="U68" s="2512"/>
      <c r="V68" s="2512"/>
      <c r="W68" s="2512"/>
      <c r="X68" s="2512"/>
      <c r="Y68" s="2512"/>
      <c r="Z68" s="1279">
        <v>68</v>
      </c>
    </row>
    <row r="69" spans="1:26" s="95" customFormat="1" ht="11.25" customHeight="1">
      <c r="A69" s="2512"/>
      <c r="B69" s="2512"/>
      <c r="C69" s="2512"/>
      <c r="D69" s="165"/>
      <c r="E69" s="2519" t="s">
        <v>57</v>
      </c>
      <c r="F69" s="2512"/>
      <c r="G69" s="2512"/>
      <c r="H69" s="2879"/>
      <c r="I69" s="2978"/>
      <c r="J69" s="2915"/>
      <c r="K69" s="167" t="s">
        <v>216</v>
      </c>
      <c r="L69" s="2879"/>
      <c r="M69" s="2977"/>
      <c r="N69" s="2915"/>
      <c r="O69" s="164" t="s">
        <v>43</v>
      </c>
      <c r="P69" s="166"/>
      <c r="Q69" s="2874"/>
      <c r="R69" s="2875"/>
      <c r="S69" s="2876"/>
      <c r="T69" s="2512"/>
      <c r="U69" s="2512"/>
      <c r="V69" s="2512"/>
      <c r="W69" s="2512"/>
      <c r="X69" s="2512"/>
      <c r="Y69" s="2512"/>
      <c r="Z69" s="1279">
        <v>69</v>
      </c>
    </row>
    <row r="70" spans="1:26" s="95" customFormat="1" ht="11.25" customHeight="1">
      <c r="A70" s="2512"/>
      <c r="B70" s="2512"/>
      <c r="C70" s="2512"/>
      <c r="D70" s="2512"/>
      <c r="E70" s="2519" t="s">
        <v>204</v>
      </c>
      <c r="F70" s="2512"/>
      <c r="G70" s="2512"/>
      <c r="H70" s="752"/>
      <c r="I70" s="166"/>
      <c r="J70" s="166"/>
      <c r="K70" s="511" t="s">
        <v>205</v>
      </c>
      <c r="L70" s="2983"/>
      <c r="M70" s="2984"/>
      <c r="N70" s="166"/>
      <c r="O70" s="164" t="s">
        <v>46</v>
      </c>
      <c r="P70" s="166"/>
      <c r="Q70" s="2874"/>
      <c r="R70" s="2875"/>
      <c r="S70" s="2876"/>
      <c r="T70" s="2512"/>
      <c r="U70" s="2512"/>
      <c r="V70" s="2512"/>
      <c r="W70" s="2512"/>
      <c r="X70" s="2512"/>
      <c r="Y70" s="2512"/>
      <c r="Z70" s="1279">
        <v>70</v>
      </c>
    </row>
    <row r="71" spans="1:26" s="95" customFormat="1" ht="11.25" customHeight="1">
      <c r="A71" s="2512"/>
      <c r="B71" s="2512"/>
      <c r="C71" s="2512"/>
      <c r="D71" s="165"/>
      <c r="E71" s="2519" t="s">
        <v>207</v>
      </c>
      <c r="F71" s="2512"/>
      <c r="G71" s="2512"/>
      <c r="H71" s="2975"/>
      <c r="I71" s="2976"/>
      <c r="J71" s="536"/>
      <c r="K71" s="167" t="s">
        <v>44</v>
      </c>
      <c r="L71" s="2866"/>
      <c r="M71" s="2867"/>
      <c r="N71" s="2868"/>
      <c r="O71" s="2868"/>
      <c r="P71" s="2868"/>
      <c r="Q71" s="2867"/>
      <c r="R71" s="2867"/>
      <c r="S71" s="2917"/>
      <c r="T71" s="2512"/>
      <c r="U71" s="2512"/>
      <c r="V71" s="2512"/>
      <c r="W71" s="2512"/>
      <c r="X71" s="2512"/>
      <c r="Y71" s="2512"/>
      <c r="Z71" s="1279">
        <v>71</v>
      </c>
    </row>
    <row r="72" spans="1:26" ht="6.6" customHeight="1">
      <c r="H72" s="2636"/>
      <c r="I72" s="2636"/>
      <c r="J72" s="2636"/>
      <c r="K72" s="167"/>
      <c r="L72" s="2636"/>
      <c r="M72" s="2636"/>
      <c r="N72" s="173"/>
      <c r="O72" s="174"/>
      <c r="P72" s="174"/>
      <c r="Q72" s="167"/>
      <c r="R72" s="174"/>
      <c r="S72" s="174"/>
      <c r="Z72" s="1279">
        <v>72</v>
      </c>
    </row>
    <row r="73" spans="1:26" s="95" customFormat="1" ht="11.25" customHeight="1">
      <c r="A73" s="2512"/>
      <c r="B73" s="151" t="s">
        <v>232</v>
      </c>
      <c r="C73" s="151" t="s">
        <v>233</v>
      </c>
      <c r="D73" s="2512"/>
      <c r="E73" s="2512"/>
      <c r="F73" s="2512"/>
      <c r="G73" s="2512"/>
      <c r="H73" s="2863"/>
      <c r="I73" s="2918"/>
      <c r="J73" s="2918"/>
      <c r="K73" s="2918"/>
      <c r="L73" s="2918"/>
      <c r="M73" s="2918"/>
      <c r="N73" s="2919"/>
      <c r="O73" s="164" t="s">
        <v>200</v>
      </c>
      <c r="P73" s="164"/>
      <c r="Q73" s="2863"/>
      <c r="R73" s="2918"/>
      <c r="S73" s="2919"/>
      <c r="T73" s="2512"/>
      <c r="U73" s="2512"/>
      <c r="V73" s="2512"/>
      <c r="W73" s="2512"/>
      <c r="X73" s="2512"/>
      <c r="Y73" s="2512"/>
      <c r="Z73" s="1279">
        <v>73</v>
      </c>
    </row>
    <row r="74" spans="1:26" s="95" customFormat="1" ht="11.25" customHeight="1">
      <c r="A74" s="2512"/>
      <c r="B74" s="2512"/>
      <c r="C74" s="2512"/>
      <c r="D74" s="165"/>
      <c r="E74" s="2519" t="s">
        <v>201</v>
      </c>
      <c r="F74" s="154"/>
      <c r="G74" s="2512"/>
      <c r="H74" s="2879"/>
      <c r="I74" s="2977"/>
      <c r="J74" s="2977"/>
      <c r="K74" s="2978"/>
      <c r="L74" s="2977"/>
      <c r="M74" s="2977"/>
      <c r="N74" s="2979"/>
      <c r="O74" s="164" t="s">
        <v>202</v>
      </c>
      <c r="P74" s="166"/>
      <c r="Q74" s="2980"/>
      <c r="R74" s="2981"/>
      <c r="S74" s="2982"/>
      <c r="T74" s="2512"/>
      <c r="U74" s="2512"/>
      <c r="V74" s="2512"/>
      <c r="W74" s="2512"/>
      <c r="X74" s="2512"/>
      <c r="Y74" s="2512"/>
      <c r="Z74" s="1279">
        <v>74</v>
      </c>
    </row>
    <row r="75" spans="1:26" s="95" customFormat="1" ht="11.25" customHeight="1">
      <c r="A75" s="2512"/>
      <c r="B75" s="2512"/>
      <c r="C75" s="2512"/>
      <c r="D75" s="165"/>
      <c r="E75" s="2519" t="s">
        <v>57</v>
      </c>
      <c r="F75" s="2512"/>
      <c r="G75" s="2512"/>
      <c r="H75" s="2879"/>
      <c r="I75" s="2978"/>
      <c r="J75" s="2915"/>
      <c r="K75" s="167" t="s">
        <v>216</v>
      </c>
      <c r="L75" s="2879"/>
      <c r="M75" s="2977"/>
      <c r="N75" s="2915"/>
      <c r="O75" s="164" t="s">
        <v>43</v>
      </c>
      <c r="P75" s="166"/>
      <c r="Q75" s="2874"/>
      <c r="R75" s="2875"/>
      <c r="S75" s="2876"/>
      <c r="T75" s="2512"/>
      <c r="U75" s="2512"/>
      <c r="V75" s="2512"/>
      <c r="W75" s="2512"/>
      <c r="X75" s="2512"/>
      <c r="Y75" s="2512"/>
      <c r="Z75" s="1279">
        <v>75</v>
      </c>
    </row>
    <row r="76" spans="1:26" s="95" customFormat="1" ht="11.25" customHeight="1">
      <c r="A76" s="2512"/>
      <c r="B76" s="2512"/>
      <c r="C76" s="2512"/>
      <c r="D76" s="2512"/>
      <c r="E76" s="2519" t="s">
        <v>204</v>
      </c>
      <c r="F76" s="2512"/>
      <c r="G76" s="2512"/>
      <c r="H76" s="752"/>
      <c r="I76" s="166"/>
      <c r="J76" s="166"/>
      <c r="K76" s="511" t="s">
        <v>205</v>
      </c>
      <c r="L76" s="2983"/>
      <c r="M76" s="2984"/>
      <c r="N76" s="166"/>
      <c r="O76" s="164" t="s">
        <v>46</v>
      </c>
      <c r="P76" s="166"/>
      <c r="Q76" s="2874"/>
      <c r="R76" s="2875"/>
      <c r="S76" s="2876"/>
      <c r="T76" s="2512"/>
      <c r="U76" s="2512"/>
      <c r="V76" s="2512"/>
      <c r="W76" s="2512"/>
      <c r="X76" s="2512"/>
      <c r="Y76" s="2512"/>
      <c r="Z76" s="1279">
        <v>76</v>
      </c>
    </row>
    <row r="77" spans="1:26" s="95" customFormat="1" ht="11.25" customHeight="1">
      <c r="A77" s="2512"/>
      <c r="B77" s="2512"/>
      <c r="C77" s="2512"/>
      <c r="D77" s="165"/>
      <c r="E77" s="2519" t="s">
        <v>207</v>
      </c>
      <c r="F77" s="2512"/>
      <c r="G77" s="2512"/>
      <c r="H77" s="2975"/>
      <c r="I77" s="2976"/>
      <c r="J77" s="536"/>
      <c r="K77" s="167" t="s">
        <v>44</v>
      </c>
      <c r="L77" s="2866"/>
      <c r="M77" s="2867"/>
      <c r="N77" s="2868"/>
      <c r="O77" s="2868"/>
      <c r="P77" s="2868"/>
      <c r="Q77" s="2867"/>
      <c r="R77" s="2867"/>
      <c r="S77" s="2917"/>
      <c r="T77" s="2512"/>
      <c r="U77" s="2512"/>
      <c r="V77" s="2512"/>
      <c r="W77" s="2512"/>
      <c r="X77" s="2512"/>
      <c r="Y77" s="2512"/>
      <c r="Z77" s="1279">
        <v>77</v>
      </c>
    </row>
    <row r="78" spans="1:26" ht="6.75" customHeight="1">
      <c r="H78" s="2505"/>
      <c r="I78" s="2505"/>
      <c r="J78" s="2505"/>
      <c r="K78" s="2505"/>
      <c r="L78" s="2505"/>
      <c r="M78" s="2505"/>
      <c r="N78" s="2505"/>
      <c r="O78" s="2505"/>
      <c r="P78" s="2505"/>
      <c r="Q78" s="2505"/>
      <c r="R78" s="2505"/>
      <c r="S78" s="2505"/>
      <c r="Z78" s="1279">
        <v>78</v>
      </c>
    </row>
    <row r="79" spans="1:26" s="153" customFormat="1" ht="13.35" customHeight="1">
      <c r="A79" s="134" t="s">
        <v>32</v>
      </c>
      <c r="B79" s="134" t="s">
        <v>234</v>
      </c>
      <c r="C79" s="2519"/>
      <c r="D79" s="134"/>
      <c r="E79" s="2519"/>
      <c r="F79" s="134"/>
      <c r="G79" s="134"/>
      <c r="H79" s="169"/>
      <c r="I79" s="169"/>
      <c r="J79" s="169"/>
      <c r="K79" s="937" t="s">
        <v>196</v>
      </c>
      <c r="L79" s="169"/>
      <c r="M79" s="169"/>
      <c r="N79" s="164"/>
      <c r="O79" s="164"/>
      <c r="P79" s="164"/>
      <c r="Q79" s="164"/>
      <c r="R79" s="164"/>
      <c r="S79" s="164"/>
      <c r="T79" s="2519"/>
      <c r="U79" s="2519"/>
      <c r="V79" s="2519"/>
      <c r="W79" s="2519"/>
      <c r="X79" s="2519"/>
      <c r="Y79" s="2519"/>
      <c r="Z79" s="1279">
        <v>79</v>
      </c>
    </row>
    <row r="80" spans="1:26" s="153" customFormat="1" ht="3" customHeight="1">
      <c r="A80" s="134"/>
      <c r="B80" s="134"/>
      <c r="C80" s="2519"/>
      <c r="D80" s="134"/>
      <c r="E80" s="2519"/>
      <c r="F80" s="134"/>
      <c r="G80" s="134"/>
      <c r="H80" s="172"/>
      <c r="I80" s="172"/>
      <c r="J80" s="172"/>
      <c r="K80" s="173"/>
      <c r="L80" s="172"/>
      <c r="M80" s="172"/>
      <c r="N80" s="173"/>
      <c r="O80" s="174"/>
      <c r="P80" s="174"/>
      <c r="Q80" s="167"/>
      <c r="R80" s="174"/>
      <c r="S80" s="174"/>
      <c r="T80" s="2519"/>
      <c r="U80" s="2519"/>
      <c r="V80" s="2519"/>
      <c r="W80" s="2519"/>
      <c r="X80" s="2519"/>
      <c r="Y80" s="2519"/>
      <c r="Z80" s="1279">
        <v>80</v>
      </c>
    </row>
    <row r="81" spans="2:26" s="95" customFormat="1" ht="11.25" customHeight="1">
      <c r="B81" s="151" t="s">
        <v>197</v>
      </c>
      <c r="C81" s="151" t="s">
        <v>235</v>
      </c>
      <c r="D81" s="2512"/>
      <c r="E81" s="2512"/>
      <c r="F81" s="2512"/>
      <c r="G81" s="2512"/>
      <c r="H81" s="2863"/>
      <c r="I81" s="2918"/>
      <c r="J81" s="2918"/>
      <c r="K81" s="2918"/>
      <c r="L81" s="2918"/>
      <c r="M81" s="2918"/>
      <c r="N81" s="2919"/>
      <c r="O81" s="164" t="s">
        <v>200</v>
      </c>
      <c r="P81" s="164"/>
      <c r="Q81" s="2863"/>
      <c r="R81" s="2918"/>
      <c r="S81" s="2919"/>
      <c r="T81" s="2512"/>
      <c r="U81" s="2512"/>
      <c r="V81" s="2512"/>
      <c r="W81" s="2512"/>
      <c r="X81" s="2512"/>
      <c r="Y81" s="2512"/>
      <c r="Z81" s="1279">
        <v>81</v>
      </c>
    </row>
    <row r="82" spans="2:26" s="95" customFormat="1" ht="11.25" customHeight="1">
      <c r="B82" s="2512"/>
      <c r="C82" s="2512"/>
      <c r="D82" s="165"/>
      <c r="E82" s="2519" t="s">
        <v>201</v>
      </c>
      <c r="F82" s="154"/>
      <c r="G82" s="2512"/>
      <c r="H82" s="2879"/>
      <c r="I82" s="2977"/>
      <c r="J82" s="2977"/>
      <c r="K82" s="2978"/>
      <c r="L82" s="2977"/>
      <c r="M82" s="2977"/>
      <c r="N82" s="2979"/>
      <c r="O82" s="164" t="s">
        <v>202</v>
      </c>
      <c r="P82" s="166"/>
      <c r="Q82" s="2980"/>
      <c r="R82" s="2981"/>
      <c r="S82" s="2982"/>
      <c r="T82" s="2512"/>
      <c r="U82" s="2512"/>
      <c r="V82" s="2512"/>
      <c r="W82" s="2512"/>
      <c r="X82" s="2512"/>
      <c r="Y82" s="2512"/>
      <c r="Z82" s="1279">
        <v>82</v>
      </c>
    </row>
    <row r="83" spans="2:26" s="95" customFormat="1" ht="11.25" customHeight="1">
      <c r="B83" s="2512"/>
      <c r="C83" s="2512"/>
      <c r="D83" s="165"/>
      <c r="E83" s="2519" t="s">
        <v>57</v>
      </c>
      <c r="F83" s="2512"/>
      <c r="G83" s="2512"/>
      <c r="H83" s="2879"/>
      <c r="I83" s="2978"/>
      <c r="J83" s="2915"/>
      <c r="K83" s="167" t="s">
        <v>216</v>
      </c>
      <c r="L83" s="2879"/>
      <c r="M83" s="2977"/>
      <c r="N83" s="2915"/>
      <c r="O83" s="164" t="s">
        <v>43</v>
      </c>
      <c r="P83" s="166"/>
      <c r="Q83" s="2874"/>
      <c r="R83" s="2875"/>
      <c r="S83" s="2876"/>
      <c r="T83" s="2512"/>
      <c r="U83" s="2512"/>
      <c r="V83" s="2512"/>
      <c r="W83" s="2512"/>
      <c r="X83" s="2512"/>
      <c r="Y83" s="2512"/>
      <c r="Z83" s="1279">
        <v>83</v>
      </c>
    </row>
    <row r="84" spans="2:26" s="95" customFormat="1" ht="11.25" customHeight="1">
      <c r="B84" s="2512"/>
      <c r="C84" s="2512"/>
      <c r="D84" s="2512"/>
      <c r="E84" s="2519" t="s">
        <v>204</v>
      </c>
      <c r="F84" s="2512"/>
      <c r="G84" s="2512"/>
      <c r="H84" s="752"/>
      <c r="I84" s="166"/>
      <c r="J84" s="166"/>
      <c r="K84" s="511" t="s">
        <v>205</v>
      </c>
      <c r="L84" s="2983"/>
      <c r="M84" s="2984"/>
      <c r="N84" s="166"/>
      <c r="O84" s="164" t="s">
        <v>46</v>
      </c>
      <c r="P84" s="166"/>
      <c r="Q84" s="2874"/>
      <c r="R84" s="2875"/>
      <c r="S84" s="2876"/>
      <c r="T84" s="2512"/>
      <c r="U84" s="2512"/>
      <c r="V84" s="2512"/>
      <c r="W84" s="2512"/>
      <c r="X84" s="2512"/>
      <c r="Y84" s="2512"/>
      <c r="Z84" s="1279">
        <v>84</v>
      </c>
    </row>
    <row r="85" spans="2:26" s="95" customFormat="1" ht="11.25" customHeight="1">
      <c r="B85" s="2512"/>
      <c r="C85" s="2512"/>
      <c r="D85" s="165"/>
      <c r="E85" s="2519" t="s">
        <v>207</v>
      </c>
      <c r="F85" s="2512"/>
      <c r="G85" s="2512"/>
      <c r="H85" s="2975"/>
      <c r="I85" s="2976"/>
      <c r="J85" s="536"/>
      <c r="K85" s="167" t="s">
        <v>44</v>
      </c>
      <c r="L85" s="2866"/>
      <c r="M85" s="2867"/>
      <c r="N85" s="2868"/>
      <c r="O85" s="2868"/>
      <c r="P85" s="2868"/>
      <c r="Q85" s="2867"/>
      <c r="R85" s="2867"/>
      <c r="S85" s="2917"/>
      <c r="T85" s="2512"/>
      <c r="U85" s="2512"/>
      <c r="V85" s="2512"/>
      <c r="W85" s="2512"/>
      <c r="X85" s="2512"/>
      <c r="Y85" s="2512"/>
      <c r="Z85" s="1279">
        <v>85</v>
      </c>
    </row>
    <row r="86" spans="2:26" ht="6.6" customHeight="1">
      <c r="H86" s="2636"/>
      <c r="I86" s="2636"/>
      <c r="J86" s="2636"/>
      <c r="K86" s="167"/>
      <c r="L86" s="2636"/>
      <c r="M86" s="2636"/>
      <c r="N86" s="173"/>
      <c r="O86" s="174"/>
      <c r="P86" s="174"/>
      <c r="Q86" s="167"/>
      <c r="R86" s="174"/>
      <c r="S86" s="174"/>
      <c r="Z86" s="1279">
        <v>86</v>
      </c>
    </row>
    <row r="87" spans="2:26" s="95" customFormat="1" ht="11.25" customHeight="1">
      <c r="B87" s="151" t="s">
        <v>209</v>
      </c>
      <c r="C87" s="151" t="s">
        <v>236</v>
      </c>
      <c r="D87" s="2512"/>
      <c r="E87" s="2512"/>
      <c r="F87" s="2512"/>
      <c r="G87" s="2512"/>
      <c r="H87" s="2863"/>
      <c r="I87" s="2918"/>
      <c r="J87" s="2918"/>
      <c r="K87" s="2918"/>
      <c r="L87" s="2918"/>
      <c r="M87" s="2918"/>
      <c r="N87" s="2919"/>
      <c r="O87" s="164" t="s">
        <v>200</v>
      </c>
      <c r="P87" s="164"/>
      <c r="Q87" s="2863"/>
      <c r="R87" s="2918"/>
      <c r="S87" s="2919"/>
      <c r="T87" s="2512"/>
      <c r="U87" s="2512"/>
      <c r="V87" s="2512"/>
      <c r="W87" s="2512"/>
      <c r="X87" s="2512"/>
      <c r="Y87" s="2512"/>
      <c r="Z87" s="1279">
        <v>87</v>
      </c>
    </row>
    <row r="88" spans="2:26" s="95" customFormat="1" ht="11.25" customHeight="1">
      <c r="B88" s="2512"/>
      <c r="C88" s="2512"/>
      <c r="D88" s="165"/>
      <c r="E88" s="2519" t="s">
        <v>201</v>
      </c>
      <c r="F88" s="154"/>
      <c r="G88" s="2512"/>
      <c r="H88" s="2879"/>
      <c r="I88" s="2977"/>
      <c r="J88" s="2977"/>
      <c r="K88" s="2978"/>
      <c r="L88" s="2977"/>
      <c r="M88" s="2977"/>
      <c r="N88" s="2979"/>
      <c r="O88" s="164" t="s">
        <v>202</v>
      </c>
      <c r="P88" s="166"/>
      <c r="Q88" s="2980"/>
      <c r="R88" s="2981"/>
      <c r="S88" s="2982"/>
      <c r="T88" s="2512"/>
      <c r="U88" s="2512"/>
      <c r="V88" s="2512"/>
      <c r="W88" s="2512"/>
      <c r="X88" s="2512"/>
      <c r="Y88" s="2512"/>
      <c r="Z88" s="1279">
        <v>88</v>
      </c>
    </row>
    <row r="89" spans="2:26" s="95" customFormat="1" ht="11.25" customHeight="1">
      <c r="B89" s="2512"/>
      <c r="C89" s="2512"/>
      <c r="D89" s="165"/>
      <c r="E89" s="2519" t="s">
        <v>57</v>
      </c>
      <c r="F89" s="2512"/>
      <c r="G89" s="2512"/>
      <c r="H89" s="2879"/>
      <c r="I89" s="2978"/>
      <c r="J89" s="2915"/>
      <c r="K89" s="167" t="s">
        <v>216</v>
      </c>
      <c r="L89" s="2879"/>
      <c r="M89" s="2977"/>
      <c r="N89" s="2915"/>
      <c r="O89" s="164" t="s">
        <v>43</v>
      </c>
      <c r="P89" s="166"/>
      <c r="Q89" s="2874"/>
      <c r="R89" s="2875"/>
      <c r="S89" s="2876"/>
      <c r="T89" s="2512"/>
      <c r="U89" s="2512"/>
      <c r="V89" s="2512"/>
      <c r="W89" s="2512"/>
      <c r="X89" s="2512"/>
      <c r="Y89" s="2512"/>
      <c r="Z89" s="1279">
        <v>89</v>
      </c>
    </row>
    <row r="90" spans="2:26" s="95" customFormat="1" ht="11.25" customHeight="1">
      <c r="B90" s="2512"/>
      <c r="C90" s="2512"/>
      <c r="D90" s="2512"/>
      <c r="E90" s="2519" t="s">
        <v>204</v>
      </c>
      <c r="F90" s="2512"/>
      <c r="G90" s="2512"/>
      <c r="H90" s="752"/>
      <c r="I90" s="166"/>
      <c r="J90" s="166"/>
      <c r="K90" s="511" t="s">
        <v>205</v>
      </c>
      <c r="L90" s="2983"/>
      <c r="M90" s="2984"/>
      <c r="N90" s="166"/>
      <c r="O90" s="164" t="s">
        <v>46</v>
      </c>
      <c r="P90" s="166"/>
      <c r="Q90" s="2874"/>
      <c r="R90" s="2875"/>
      <c r="S90" s="2876"/>
      <c r="T90" s="2512"/>
      <c r="U90" s="2512"/>
      <c r="V90" s="2512"/>
      <c r="W90" s="2512"/>
      <c r="X90" s="2512"/>
      <c r="Y90" s="2512"/>
      <c r="Z90" s="1279">
        <v>90</v>
      </c>
    </row>
    <row r="91" spans="2:26" s="95" customFormat="1" ht="11.25" customHeight="1">
      <c r="B91" s="2512"/>
      <c r="C91" s="2512"/>
      <c r="D91" s="165"/>
      <c r="E91" s="2519" t="s">
        <v>207</v>
      </c>
      <c r="F91" s="2512"/>
      <c r="G91" s="2512"/>
      <c r="H91" s="2975"/>
      <c r="I91" s="2976"/>
      <c r="J91" s="536"/>
      <c r="K91" s="167" t="s">
        <v>44</v>
      </c>
      <c r="L91" s="2866"/>
      <c r="M91" s="2867"/>
      <c r="N91" s="2868"/>
      <c r="O91" s="2868"/>
      <c r="P91" s="2868"/>
      <c r="Q91" s="2867"/>
      <c r="R91" s="2867"/>
      <c r="S91" s="2917"/>
      <c r="T91" s="2512"/>
      <c r="U91" s="2512"/>
      <c r="V91" s="2512"/>
      <c r="W91" s="2512"/>
      <c r="X91" s="2512"/>
      <c r="Y91" s="2512"/>
      <c r="Z91" s="1279">
        <v>91</v>
      </c>
    </row>
    <row r="92" spans="2:26" ht="6.6" customHeight="1">
      <c r="H92" s="2636"/>
      <c r="I92" s="2636"/>
      <c r="J92" s="2636"/>
      <c r="K92" s="167"/>
      <c r="L92" s="2636"/>
      <c r="M92" s="2636"/>
      <c r="N92" s="173"/>
      <c r="O92" s="174"/>
      <c r="P92" s="174"/>
      <c r="Q92" s="167"/>
      <c r="R92" s="174"/>
      <c r="S92" s="174"/>
      <c r="Z92" s="1279">
        <v>92</v>
      </c>
    </row>
    <row r="93" spans="2:26" s="95" customFormat="1" ht="11.25" customHeight="1">
      <c r="B93" s="151" t="s">
        <v>230</v>
      </c>
      <c r="C93" s="151" t="s">
        <v>237</v>
      </c>
      <c r="D93" s="2512"/>
      <c r="E93" s="2512"/>
      <c r="F93" s="96"/>
      <c r="G93" s="2512"/>
      <c r="H93" s="2863"/>
      <c r="I93" s="2918"/>
      <c r="J93" s="2918"/>
      <c r="K93" s="2918"/>
      <c r="L93" s="2918"/>
      <c r="M93" s="2918"/>
      <c r="N93" s="2919"/>
      <c r="O93" s="164" t="s">
        <v>200</v>
      </c>
      <c r="P93" s="164"/>
      <c r="Q93" s="2863"/>
      <c r="R93" s="2918"/>
      <c r="S93" s="2919"/>
      <c r="T93" s="2512"/>
      <c r="U93" s="2512"/>
      <c r="V93" s="2512"/>
      <c r="W93" s="2512"/>
      <c r="X93" s="2512"/>
      <c r="Y93" s="2512"/>
      <c r="Z93" s="1279">
        <v>93</v>
      </c>
    </row>
    <row r="94" spans="2:26" s="95" customFormat="1" ht="11.25" customHeight="1">
      <c r="B94" s="2512"/>
      <c r="C94" s="2512"/>
      <c r="D94" s="165"/>
      <c r="E94" s="2519" t="s">
        <v>201</v>
      </c>
      <c r="F94" s="154"/>
      <c r="G94" s="2512"/>
      <c r="H94" s="2879"/>
      <c r="I94" s="2977"/>
      <c r="J94" s="2977"/>
      <c r="K94" s="2978"/>
      <c r="L94" s="2977"/>
      <c r="M94" s="2977"/>
      <c r="N94" s="2979"/>
      <c r="O94" s="164" t="s">
        <v>202</v>
      </c>
      <c r="P94" s="166"/>
      <c r="Q94" s="2980"/>
      <c r="R94" s="2981"/>
      <c r="S94" s="2982"/>
      <c r="T94" s="2512"/>
      <c r="U94" s="2512"/>
      <c r="V94" s="2512"/>
      <c r="W94" s="2512"/>
      <c r="X94" s="2512"/>
      <c r="Y94" s="2512"/>
      <c r="Z94" s="1279">
        <v>94</v>
      </c>
    </row>
    <row r="95" spans="2:26" s="95" customFormat="1" ht="11.25" customHeight="1">
      <c r="B95" s="2512"/>
      <c r="C95" s="2512"/>
      <c r="D95" s="165"/>
      <c r="E95" s="2519" t="s">
        <v>57</v>
      </c>
      <c r="F95" s="2512"/>
      <c r="G95" s="2512"/>
      <c r="H95" s="2879"/>
      <c r="I95" s="2978"/>
      <c r="J95" s="2915"/>
      <c r="K95" s="167" t="s">
        <v>216</v>
      </c>
      <c r="L95" s="2879"/>
      <c r="M95" s="2977"/>
      <c r="N95" s="2915"/>
      <c r="O95" s="164" t="s">
        <v>43</v>
      </c>
      <c r="P95" s="166"/>
      <c r="Q95" s="2874"/>
      <c r="R95" s="2875"/>
      <c r="S95" s="2876"/>
      <c r="T95" s="2512"/>
      <c r="U95" s="2512"/>
      <c r="V95" s="2512"/>
      <c r="W95" s="2512"/>
      <c r="X95" s="2512"/>
      <c r="Y95" s="2512"/>
      <c r="Z95" s="1279">
        <v>95</v>
      </c>
    </row>
    <row r="96" spans="2:26" s="95" customFormat="1" ht="11.25" customHeight="1">
      <c r="B96" s="2512"/>
      <c r="C96" s="2512"/>
      <c r="D96" s="165"/>
      <c r="E96" s="2519" t="s">
        <v>204</v>
      </c>
      <c r="F96" s="2512"/>
      <c r="G96" s="2512"/>
      <c r="H96" s="752"/>
      <c r="I96" s="166"/>
      <c r="J96" s="166"/>
      <c r="K96" s="511" t="s">
        <v>205</v>
      </c>
      <c r="L96" s="2983"/>
      <c r="M96" s="2984"/>
      <c r="N96" s="166"/>
      <c r="O96" s="164" t="s">
        <v>46</v>
      </c>
      <c r="P96" s="166"/>
      <c r="Q96" s="2874"/>
      <c r="R96" s="2875"/>
      <c r="S96" s="2876"/>
      <c r="T96" s="2512"/>
      <c r="U96" s="2512"/>
      <c r="V96" s="2512"/>
      <c r="W96" s="2512"/>
      <c r="X96" s="2512"/>
      <c r="Y96" s="2512"/>
      <c r="Z96" s="1279">
        <v>96</v>
      </c>
    </row>
    <row r="97" spans="2:26" s="95" customFormat="1" ht="11.25" customHeight="1">
      <c r="B97" s="2512"/>
      <c r="C97" s="2512"/>
      <c r="D97" s="165"/>
      <c r="E97" s="2519" t="s">
        <v>207</v>
      </c>
      <c r="F97" s="2512"/>
      <c r="G97" s="2512"/>
      <c r="H97" s="2975"/>
      <c r="I97" s="2976"/>
      <c r="J97" s="536"/>
      <c r="K97" s="167" t="s">
        <v>44</v>
      </c>
      <c r="L97" s="2866"/>
      <c r="M97" s="2867"/>
      <c r="N97" s="2868"/>
      <c r="O97" s="2868"/>
      <c r="P97" s="2868"/>
      <c r="Q97" s="2867"/>
      <c r="R97" s="2867"/>
      <c r="S97" s="2917"/>
      <c r="T97" s="2512"/>
      <c r="U97" s="2512"/>
      <c r="V97" s="2512"/>
      <c r="W97" s="2512"/>
      <c r="X97" s="2512"/>
      <c r="Y97" s="2512"/>
      <c r="Z97" s="1279">
        <v>97</v>
      </c>
    </row>
    <row r="98" spans="2:26" ht="6.6" customHeight="1">
      <c r="H98" s="2636"/>
      <c r="I98" s="2636"/>
      <c r="J98" s="2636"/>
      <c r="K98" s="167"/>
      <c r="L98" s="2636"/>
      <c r="M98" s="2636"/>
      <c r="N98" s="173"/>
      <c r="O98" s="174"/>
      <c r="P98" s="174"/>
      <c r="Q98" s="167"/>
      <c r="R98" s="174"/>
      <c r="S98" s="174"/>
      <c r="Z98" s="1279">
        <v>98</v>
      </c>
    </row>
    <row r="99" spans="2:26" s="95" customFormat="1" ht="11.25" customHeight="1">
      <c r="B99" s="151" t="s">
        <v>232</v>
      </c>
      <c r="C99" s="151" t="s">
        <v>238</v>
      </c>
      <c r="D99" s="2512"/>
      <c r="E99" s="2512"/>
      <c r="F99" s="2512"/>
      <c r="G99" s="2512"/>
      <c r="H99" s="2863"/>
      <c r="I99" s="2918"/>
      <c r="J99" s="2918"/>
      <c r="K99" s="2918"/>
      <c r="L99" s="2918"/>
      <c r="M99" s="2918"/>
      <c r="N99" s="2919"/>
      <c r="O99" s="164" t="s">
        <v>200</v>
      </c>
      <c r="P99" s="164"/>
      <c r="Q99" s="2863"/>
      <c r="R99" s="2918"/>
      <c r="S99" s="2919"/>
      <c r="T99" s="2512"/>
      <c r="U99" s="2512"/>
      <c r="V99" s="2512"/>
      <c r="W99" s="2512"/>
      <c r="X99" s="2512"/>
      <c r="Y99" s="2512"/>
      <c r="Z99" s="1279">
        <v>99</v>
      </c>
    </row>
    <row r="100" spans="2:26" s="95" customFormat="1" ht="11.25" customHeight="1">
      <c r="B100" s="2512"/>
      <c r="C100" s="2512"/>
      <c r="D100" s="165"/>
      <c r="E100" s="2519" t="s">
        <v>201</v>
      </c>
      <c r="F100" s="154"/>
      <c r="G100" s="2512"/>
      <c r="H100" s="2879"/>
      <c r="I100" s="2977"/>
      <c r="J100" s="2977"/>
      <c r="K100" s="2978"/>
      <c r="L100" s="2977"/>
      <c r="M100" s="2977"/>
      <c r="N100" s="2979"/>
      <c r="O100" s="164" t="s">
        <v>202</v>
      </c>
      <c r="P100" s="166"/>
      <c r="Q100" s="2980"/>
      <c r="R100" s="2981"/>
      <c r="S100" s="2982"/>
      <c r="T100" s="2512"/>
      <c r="U100" s="2512"/>
      <c r="V100" s="2512"/>
      <c r="W100" s="2512"/>
      <c r="X100" s="2512"/>
      <c r="Y100" s="2512"/>
      <c r="Z100" s="1279">
        <v>100</v>
      </c>
    </row>
    <row r="101" spans="2:26" s="95" customFormat="1" ht="11.25" customHeight="1">
      <c r="B101" s="2512"/>
      <c r="C101" s="2512"/>
      <c r="D101" s="165"/>
      <c r="E101" s="2519" t="s">
        <v>57</v>
      </c>
      <c r="F101" s="2512"/>
      <c r="G101" s="2512"/>
      <c r="H101" s="2879"/>
      <c r="I101" s="2978"/>
      <c r="J101" s="2915"/>
      <c r="K101" s="167" t="s">
        <v>216</v>
      </c>
      <c r="L101" s="2879"/>
      <c r="M101" s="2977"/>
      <c r="N101" s="2915"/>
      <c r="O101" s="164" t="s">
        <v>43</v>
      </c>
      <c r="P101" s="166"/>
      <c r="Q101" s="2874"/>
      <c r="R101" s="2875"/>
      <c r="S101" s="2876"/>
      <c r="T101" s="2512"/>
      <c r="U101" s="2512"/>
      <c r="V101" s="2512"/>
      <c r="W101" s="2512"/>
      <c r="X101" s="2512"/>
      <c r="Y101" s="2512"/>
      <c r="Z101" s="1279">
        <v>101</v>
      </c>
    </row>
    <row r="102" spans="2:26" s="95" customFormat="1" ht="11.25" customHeight="1">
      <c r="B102" s="2512"/>
      <c r="C102" s="2512"/>
      <c r="D102" s="165"/>
      <c r="E102" s="2519" t="s">
        <v>204</v>
      </c>
      <c r="F102" s="2512"/>
      <c r="G102" s="2512"/>
      <c r="H102" s="752"/>
      <c r="I102" s="166"/>
      <c r="J102" s="166"/>
      <c r="K102" s="511" t="s">
        <v>205</v>
      </c>
      <c r="L102" s="2983"/>
      <c r="M102" s="2984"/>
      <c r="N102" s="166"/>
      <c r="O102" s="164" t="s">
        <v>46</v>
      </c>
      <c r="P102" s="166"/>
      <c r="Q102" s="2874"/>
      <c r="R102" s="2875"/>
      <c r="S102" s="2876"/>
      <c r="T102" s="2512"/>
      <c r="U102" s="2512"/>
      <c r="V102" s="2512"/>
      <c r="W102" s="2512"/>
      <c r="X102" s="2512"/>
      <c r="Y102" s="2512"/>
      <c r="Z102" s="1279">
        <v>102</v>
      </c>
    </row>
    <row r="103" spans="2:26" ht="11.25" customHeight="1">
      <c r="E103" s="2519" t="s">
        <v>207</v>
      </c>
      <c r="F103" s="2512"/>
      <c r="G103" s="2512"/>
      <c r="H103" s="2975"/>
      <c r="I103" s="2976"/>
      <c r="J103" s="536"/>
      <c r="K103" s="167" t="s">
        <v>44</v>
      </c>
      <c r="L103" s="2866"/>
      <c r="M103" s="2867"/>
      <c r="N103" s="2868"/>
      <c r="O103" s="2868"/>
      <c r="P103" s="2868"/>
      <c r="Q103" s="2867"/>
      <c r="R103" s="2867"/>
      <c r="S103" s="2917"/>
      <c r="Z103" s="1279">
        <v>103</v>
      </c>
    </row>
    <row r="104" spans="2:26" ht="6" customHeight="1">
      <c r="E104" s="2519"/>
      <c r="F104" s="2512"/>
      <c r="G104" s="2512"/>
      <c r="H104" s="2636"/>
      <c r="I104" s="2636"/>
      <c r="J104" s="2636"/>
      <c r="K104" s="167"/>
      <c r="L104" s="2636"/>
      <c r="M104" s="2636"/>
      <c r="N104" s="173"/>
      <c r="O104" s="174"/>
      <c r="P104" s="174"/>
      <c r="Q104" s="167"/>
      <c r="R104" s="174"/>
      <c r="S104" s="174"/>
      <c r="Z104" s="1279">
        <v>104</v>
      </c>
    </row>
    <row r="105" spans="2:26" s="95" customFormat="1" ht="11.25" customHeight="1">
      <c r="B105" s="151" t="s">
        <v>239</v>
      </c>
      <c r="C105" s="151" t="s">
        <v>240</v>
      </c>
      <c r="D105" s="2512"/>
      <c r="E105" s="2512"/>
      <c r="F105" s="2512"/>
      <c r="G105" s="2512"/>
      <c r="H105" s="2863"/>
      <c r="I105" s="2918"/>
      <c r="J105" s="2918"/>
      <c r="K105" s="2918"/>
      <c r="L105" s="2918"/>
      <c r="M105" s="2918"/>
      <c r="N105" s="2919"/>
      <c r="O105" s="164" t="s">
        <v>200</v>
      </c>
      <c r="P105" s="164"/>
      <c r="Q105" s="2863"/>
      <c r="R105" s="2918"/>
      <c r="S105" s="2919"/>
      <c r="T105" s="2512"/>
      <c r="U105" s="2512"/>
      <c r="V105" s="2512"/>
      <c r="W105" s="2512"/>
      <c r="X105" s="2512"/>
      <c r="Y105" s="2512"/>
      <c r="Z105" s="1279">
        <v>105</v>
      </c>
    </row>
    <row r="106" spans="2:26" s="95" customFormat="1" ht="11.25" customHeight="1">
      <c r="B106" s="2512"/>
      <c r="C106" s="2512"/>
      <c r="D106" s="165"/>
      <c r="E106" s="2519" t="s">
        <v>201</v>
      </c>
      <c r="F106" s="154"/>
      <c r="G106" s="2512"/>
      <c r="H106" s="2879"/>
      <c r="I106" s="2977"/>
      <c r="J106" s="2977"/>
      <c r="K106" s="2978"/>
      <c r="L106" s="2977"/>
      <c r="M106" s="2977"/>
      <c r="N106" s="2979"/>
      <c r="O106" s="164" t="s">
        <v>202</v>
      </c>
      <c r="P106" s="166"/>
      <c r="Q106" s="2980"/>
      <c r="R106" s="2981"/>
      <c r="S106" s="2982"/>
      <c r="T106" s="2512"/>
      <c r="U106" s="2512"/>
      <c r="V106" s="2512"/>
      <c r="W106" s="2512"/>
      <c r="X106" s="2512"/>
      <c r="Y106" s="2512"/>
      <c r="Z106" s="1279">
        <v>106</v>
      </c>
    </row>
    <row r="107" spans="2:26" s="95" customFormat="1" ht="11.25" customHeight="1">
      <c r="B107" s="2512"/>
      <c r="C107" s="2512"/>
      <c r="D107" s="165"/>
      <c r="E107" s="2519" t="s">
        <v>57</v>
      </c>
      <c r="F107" s="2512"/>
      <c r="G107" s="2512"/>
      <c r="H107" s="2879"/>
      <c r="I107" s="2978"/>
      <c r="J107" s="2915"/>
      <c r="K107" s="167" t="s">
        <v>216</v>
      </c>
      <c r="L107" s="2879"/>
      <c r="M107" s="2977"/>
      <c r="N107" s="2915"/>
      <c r="O107" s="164" t="s">
        <v>43</v>
      </c>
      <c r="P107" s="166"/>
      <c r="Q107" s="2874"/>
      <c r="R107" s="2875"/>
      <c r="S107" s="2876"/>
      <c r="T107" s="2512"/>
      <c r="U107" s="2512"/>
      <c r="V107" s="2512"/>
      <c r="W107" s="2512"/>
      <c r="X107" s="2512"/>
      <c r="Y107" s="2512"/>
      <c r="Z107" s="1279">
        <v>107</v>
      </c>
    </row>
    <row r="108" spans="2:26" s="95" customFormat="1" ht="11.25" customHeight="1">
      <c r="B108" s="2512"/>
      <c r="C108" s="2512"/>
      <c r="D108" s="165"/>
      <c r="E108" s="2519" t="s">
        <v>204</v>
      </c>
      <c r="F108" s="2512"/>
      <c r="G108" s="2512"/>
      <c r="H108" s="752"/>
      <c r="I108" s="166"/>
      <c r="J108" s="166"/>
      <c r="K108" s="511" t="s">
        <v>205</v>
      </c>
      <c r="L108" s="2983"/>
      <c r="M108" s="2984"/>
      <c r="N108" s="166"/>
      <c r="O108" s="164" t="s">
        <v>46</v>
      </c>
      <c r="P108" s="166"/>
      <c r="Q108" s="2874"/>
      <c r="R108" s="2875"/>
      <c r="S108" s="2876"/>
      <c r="T108" s="2512"/>
      <c r="U108" s="2512"/>
      <c r="V108" s="2512"/>
      <c r="W108" s="2512"/>
      <c r="X108" s="2512"/>
      <c r="Y108" s="2512"/>
      <c r="Z108" s="1279">
        <v>108</v>
      </c>
    </row>
    <row r="109" spans="2:26" ht="11.25" customHeight="1">
      <c r="E109" s="2519" t="s">
        <v>207</v>
      </c>
      <c r="F109" s="2512"/>
      <c r="G109" s="2512"/>
      <c r="H109" s="2975"/>
      <c r="I109" s="2976"/>
      <c r="J109" s="536"/>
      <c r="K109" s="167" t="s">
        <v>44</v>
      </c>
      <c r="L109" s="2866"/>
      <c r="M109" s="2867"/>
      <c r="N109" s="2868"/>
      <c r="O109" s="2868"/>
      <c r="P109" s="2868"/>
      <c r="Q109" s="2867"/>
      <c r="R109" s="2867"/>
      <c r="S109" s="2917"/>
      <c r="Z109" s="1279">
        <v>109</v>
      </c>
    </row>
    <row r="110" spans="2:26" ht="6.6" customHeight="1">
      <c r="E110" s="2519"/>
      <c r="F110" s="2512"/>
      <c r="G110" s="2512"/>
      <c r="H110" s="2636"/>
      <c r="I110" s="2636"/>
      <c r="J110" s="2636"/>
      <c r="K110" s="167"/>
      <c r="L110" s="2636"/>
      <c r="M110" s="2636"/>
      <c r="N110" s="173"/>
      <c r="O110" s="174"/>
      <c r="P110" s="174"/>
      <c r="Q110" s="167"/>
      <c r="R110" s="174"/>
      <c r="S110" s="174"/>
      <c r="Z110" s="1279">
        <v>110</v>
      </c>
    </row>
    <row r="111" spans="2:26" s="95" customFormat="1" ht="11.25" customHeight="1">
      <c r="B111" s="151" t="s">
        <v>241</v>
      </c>
      <c r="C111" s="151" t="s">
        <v>242</v>
      </c>
      <c r="D111" s="2512"/>
      <c r="E111" s="2512"/>
      <c r="F111" s="2512"/>
      <c r="G111" s="2512"/>
      <c r="H111" s="2863"/>
      <c r="I111" s="2918"/>
      <c r="J111" s="2918"/>
      <c r="K111" s="2918"/>
      <c r="L111" s="2918"/>
      <c r="M111" s="2918"/>
      <c r="N111" s="2919"/>
      <c r="O111" s="164" t="s">
        <v>200</v>
      </c>
      <c r="P111" s="164"/>
      <c r="Q111" s="2863"/>
      <c r="R111" s="2918"/>
      <c r="S111" s="2919"/>
      <c r="T111" s="2512"/>
      <c r="U111" s="2512"/>
      <c r="V111" s="2512"/>
      <c r="W111" s="2512"/>
      <c r="X111" s="2512"/>
      <c r="Y111" s="2512"/>
      <c r="Z111" s="1279">
        <v>111</v>
      </c>
    </row>
    <row r="112" spans="2:26" s="95" customFormat="1" ht="11.25" customHeight="1">
      <c r="B112" s="2512"/>
      <c r="C112" s="2512"/>
      <c r="D112" s="165"/>
      <c r="E112" s="2519" t="s">
        <v>201</v>
      </c>
      <c r="F112" s="154"/>
      <c r="G112" s="2512"/>
      <c r="H112" s="2879"/>
      <c r="I112" s="2977"/>
      <c r="J112" s="2977"/>
      <c r="K112" s="2978"/>
      <c r="L112" s="2977"/>
      <c r="M112" s="2977"/>
      <c r="N112" s="2979"/>
      <c r="O112" s="164" t="s">
        <v>202</v>
      </c>
      <c r="P112" s="166"/>
      <c r="Q112" s="2980"/>
      <c r="R112" s="2981"/>
      <c r="S112" s="2982"/>
      <c r="T112" s="2512"/>
      <c r="U112" s="2512"/>
      <c r="V112" s="2512"/>
      <c r="W112" s="2512"/>
      <c r="X112" s="2512"/>
      <c r="Y112" s="2512"/>
      <c r="Z112" s="1279">
        <v>112</v>
      </c>
    </row>
    <row r="113" spans="1:26" s="95" customFormat="1" ht="11.25" customHeight="1">
      <c r="A113" s="2512"/>
      <c r="B113" s="2512"/>
      <c r="C113" s="2512"/>
      <c r="D113" s="165"/>
      <c r="E113" s="2519" t="s">
        <v>57</v>
      </c>
      <c r="F113" s="2512"/>
      <c r="G113" s="2512"/>
      <c r="H113" s="2879"/>
      <c r="I113" s="2978"/>
      <c r="J113" s="2915"/>
      <c r="K113" s="167" t="s">
        <v>216</v>
      </c>
      <c r="L113" s="2879"/>
      <c r="M113" s="2977"/>
      <c r="N113" s="2915"/>
      <c r="O113" s="164" t="s">
        <v>43</v>
      </c>
      <c r="P113" s="166"/>
      <c r="Q113" s="2874"/>
      <c r="R113" s="2875"/>
      <c r="S113" s="2876"/>
      <c r="T113" s="2512"/>
      <c r="U113" s="2512"/>
      <c r="V113" s="2512"/>
      <c r="W113" s="2512"/>
      <c r="X113" s="2512"/>
      <c r="Y113" s="2512"/>
      <c r="Z113" s="1279">
        <v>113</v>
      </c>
    </row>
    <row r="114" spans="1:26" s="95" customFormat="1" ht="11.25" customHeight="1">
      <c r="A114" s="2512"/>
      <c r="B114" s="2512"/>
      <c r="C114" s="2512"/>
      <c r="D114" s="165"/>
      <c r="E114" s="2519" t="s">
        <v>204</v>
      </c>
      <c r="F114" s="2512"/>
      <c r="G114" s="2512"/>
      <c r="H114" s="752"/>
      <c r="I114" s="166"/>
      <c r="J114" s="166"/>
      <c r="K114" s="511" t="s">
        <v>205</v>
      </c>
      <c r="L114" s="2983"/>
      <c r="M114" s="2984"/>
      <c r="N114" s="166"/>
      <c r="O114" s="164" t="s">
        <v>46</v>
      </c>
      <c r="P114" s="166"/>
      <c r="Q114" s="2874"/>
      <c r="R114" s="2875"/>
      <c r="S114" s="2876"/>
      <c r="T114" s="2512"/>
      <c r="U114" s="2512"/>
      <c r="V114" s="2512"/>
      <c r="W114" s="2512"/>
      <c r="X114" s="2512"/>
      <c r="Y114" s="2512"/>
      <c r="Z114" s="1279">
        <v>114</v>
      </c>
    </row>
    <row r="115" spans="1:26" s="95" customFormat="1" ht="11.25" customHeight="1">
      <c r="A115" s="2512"/>
      <c r="B115" s="2512"/>
      <c r="C115" s="2512"/>
      <c r="D115" s="165"/>
      <c r="E115" s="2519" t="s">
        <v>207</v>
      </c>
      <c r="F115" s="2512"/>
      <c r="G115" s="2512"/>
      <c r="H115" s="2975"/>
      <c r="I115" s="2976"/>
      <c r="J115" s="536"/>
      <c r="K115" s="167" t="s">
        <v>44</v>
      </c>
      <c r="L115" s="2866"/>
      <c r="M115" s="2867"/>
      <c r="N115" s="2868"/>
      <c r="O115" s="2868"/>
      <c r="P115" s="2868"/>
      <c r="Q115" s="2867"/>
      <c r="R115" s="2867"/>
      <c r="S115" s="2917"/>
      <c r="T115" s="2512"/>
      <c r="U115" s="2512"/>
      <c r="V115" s="2512"/>
      <c r="W115" s="2512"/>
      <c r="X115" s="2512"/>
      <c r="Y115" s="2512"/>
      <c r="Z115" s="1279">
        <v>115</v>
      </c>
    </row>
    <row r="116" spans="1:26" ht="3" customHeight="1">
      <c r="H116" s="2505"/>
      <c r="I116" s="2505"/>
      <c r="J116" s="2505"/>
      <c r="K116" s="2505"/>
      <c r="L116" s="2505"/>
      <c r="M116" s="2505"/>
      <c r="N116" s="2505"/>
      <c r="O116" s="2505"/>
      <c r="P116" s="2505"/>
      <c r="Q116" s="2505"/>
      <c r="R116" s="2505"/>
      <c r="S116" s="2505"/>
      <c r="Z116" s="1279">
        <v>116</v>
      </c>
    </row>
    <row r="117" spans="1:26" s="95" customFormat="1" ht="12" customHeight="1">
      <c r="A117" s="151" t="s">
        <v>51</v>
      </c>
      <c r="B117" s="151" t="s">
        <v>243</v>
      </c>
      <c r="C117" s="2512"/>
      <c r="D117" s="2512"/>
      <c r="E117" s="2512"/>
      <c r="F117" s="151"/>
      <c r="G117" s="2518"/>
      <c r="H117" s="167"/>
      <c r="I117" s="167"/>
      <c r="J117" s="167"/>
      <c r="K117" s="167"/>
      <c r="L117" s="167"/>
      <c r="M117" s="167"/>
      <c r="N117" s="167"/>
      <c r="O117" s="167"/>
      <c r="P117" s="167"/>
      <c r="Q117" s="167"/>
      <c r="R117" s="166"/>
      <c r="S117" s="166"/>
      <c r="T117" s="2512"/>
      <c r="U117" s="2512"/>
      <c r="V117" s="2512"/>
      <c r="W117" s="2512"/>
      <c r="X117" s="2512"/>
      <c r="Y117" s="2512"/>
      <c r="Z117" s="1279">
        <v>117</v>
      </c>
    </row>
    <row r="118" spans="1:26" s="95" customFormat="1" ht="12" customHeight="1">
      <c r="A118" s="151"/>
      <c r="B118" s="151" t="s">
        <v>197</v>
      </c>
      <c r="C118" s="151" t="s">
        <v>244</v>
      </c>
      <c r="D118" s="2512"/>
      <c r="E118" s="2512"/>
      <c r="F118" s="151"/>
      <c r="G118" s="2518"/>
      <c r="H118" s="167"/>
      <c r="I118" s="167"/>
      <c r="J118" s="167"/>
      <c r="K118" s="167"/>
      <c r="L118" s="167"/>
      <c r="M118" s="167"/>
      <c r="N118" s="167"/>
      <c r="O118" s="167"/>
      <c r="P118" s="167"/>
      <c r="Q118" s="167"/>
      <c r="R118" s="166"/>
      <c r="S118" s="166"/>
      <c r="T118" s="2512"/>
      <c r="U118" s="2512"/>
      <c r="V118" s="2512"/>
      <c r="W118" s="2512"/>
      <c r="X118" s="2512"/>
      <c r="Y118" s="2512"/>
      <c r="Z118" s="1279">
        <v>118</v>
      </c>
    </row>
    <row r="119" spans="1:26" ht="2.25" customHeight="1">
      <c r="H119" s="2505"/>
      <c r="I119" s="2505"/>
      <c r="J119" s="2505"/>
      <c r="K119" s="2505"/>
      <c r="L119" s="2505"/>
      <c r="M119" s="2505"/>
      <c r="N119" s="2505"/>
      <c r="O119" s="2505"/>
      <c r="P119" s="2505"/>
      <c r="Q119" s="2505"/>
      <c r="R119" s="2505"/>
      <c r="S119" s="2505"/>
      <c r="Z119" s="1279">
        <v>119</v>
      </c>
    </row>
    <row r="120" spans="1:26" s="95" customFormat="1" ht="11.25" customHeight="1">
      <c r="A120" s="2512"/>
      <c r="B120" s="2512"/>
      <c r="C120" s="1253" t="s">
        <v>212</v>
      </c>
      <c r="D120" s="151" t="s">
        <v>245</v>
      </c>
      <c r="E120" s="2512"/>
      <c r="F120" s="2512"/>
      <c r="G120" s="2512"/>
      <c r="H120" s="2863"/>
      <c r="I120" s="2864"/>
      <c r="J120" s="2865"/>
      <c r="K120" s="167" t="s">
        <v>37</v>
      </c>
      <c r="L120" s="2863"/>
      <c r="M120" s="2918"/>
      <c r="N120" s="2919"/>
      <c r="O120" s="164" t="s">
        <v>246</v>
      </c>
      <c r="P120" s="166"/>
      <c r="Q120" s="2920"/>
      <c r="R120" s="2921"/>
      <c r="S120" s="2922"/>
      <c r="T120" s="2512"/>
      <c r="U120" s="2512"/>
      <c r="V120" s="2512"/>
      <c r="W120" s="2512"/>
      <c r="X120" s="2512"/>
      <c r="Y120" s="2512"/>
      <c r="Z120" s="1279">
        <v>120</v>
      </c>
    </row>
    <row r="121" spans="1:26" s="95" customFormat="1" ht="11.25" customHeight="1">
      <c r="A121" s="2512"/>
      <c r="B121" s="2512"/>
      <c r="C121" s="151"/>
      <c r="D121" s="165"/>
      <c r="E121" s="2519" t="s">
        <v>247</v>
      </c>
      <c r="F121" s="154"/>
      <c r="G121" s="2512"/>
      <c r="H121" s="2906"/>
      <c r="I121" s="2907"/>
      <c r="J121" s="2908"/>
      <c r="K121" s="2909"/>
      <c r="L121" s="2907"/>
      <c r="M121" s="2907"/>
      <c r="N121" s="2910"/>
      <c r="O121" s="164" t="s">
        <v>57</v>
      </c>
      <c r="P121" s="166"/>
      <c r="Q121" s="2911"/>
      <c r="R121" s="2912"/>
      <c r="S121" s="2913"/>
      <c r="T121" s="2512"/>
      <c r="U121" s="2512"/>
      <c r="V121" s="2512"/>
      <c r="W121" s="2512"/>
      <c r="X121" s="2512"/>
      <c r="Y121" s="2512"/>
      <c r="Z121" s="1279">
        <v>121</v>
      </c>
    </row>
    <row r="122" spans="1:26" s="95" customFormat="1" ht="11.25" customHeight="1">
      <c r="A122" s="2512"/>
      <c r="B122" s="2512"/>
      <c r="C122" s="151"/>
      <c r="D122" s="165"/>
      <c r="E122" s="2519" t="s">
        <v>204</v>
      </c>
      <c r="F122" s="2512"/>
      <c r="G122" s="2512"/>
      <c r="H122" s="920"/>
      <c r="I122" s="511" t="s">
        <v>205</v>
      </c>
      <c r="J122" s="2914"/>
      <c r="K122" s="2915"/>
      <c r="L122" s="167" t="s">
        <v>44</v>
      </c>
      <c r="M122" s="2916"/>
      <c r="N122" s="2868"/>
      <c r="O122" s="2868"/>
      <c r="P122" s="2868"/>
      <c r="Q122" s="2867"/>
      <c r="R122" s="2867"/>
      <c r="S122" s="2917"/>
      <c r="T122" s="2512"/>
      <c r="U122" s="2512"/>
      <c r="V122" s="2512"/>
      <c r="W122" s="2512"/>
      <c r="X122" s="2512"/>
      <c r="Y122" s="2512"/>
      <c r="Z122" s="1279">
        <v>122</v>
      </c>
    </row>
    <row r="123" spans="1:26" ht="2.25" customHeight="1">
      <c r="C123" s="159"/>
      <c r="H123" s="2505"/>
      <c r="I123" s="2505"/>
      <c r="J123" s="2505"/>
      <c r="K123" s="2505"/>
      <c r="L123" s="2505"/>
      <c r="M123" s="2505"/>
      <c r="N123" s="2505"/>
      <c r="O123" s="2505"/>
      <c r="P123" s="2505"/>
      <c r="Q123" s="2505"/>
      <c r="R123" s="2505"/>
      <c r="S123" s="2505"/>
      <c r="Z123" s="1279">
        <v>123</v>
      </c>
    </row>
    <row r="124" spans="1:26" s="95" customFormat="1" ht="11.25" hidden="1" customHeight="1">
      <c r="A124" s="2512"/>
      <c r="B124" s="2512"/>
      <c r="C124" s="1253"/>
      <c r="D124" s="2512" t="s">
        <v>248</v>
      </c>
      <c r="E124" s="2512"/>
      <c r="F124" s="2512"/>
      <c r="G124" s="2512"/>
      <c r="H124" s="2863"/>
      <c r="I124" s="2864"/>
      <c r="J124" s="2865"/>
      <c r="K124" s="167" t="s">
        <v>37</v>
      </c>
      <c r="L124" s="2863"/>
      <c r="M124" s="2918"/>
      <c r="N124" s="2919"/>
      <c r="O124" s="164" t="s">
        <v>246</v>
      </c>
      <c r="P124" s="166"/>
      <c r="Q124" s="2920"/>
      <c r="R124" s="2921"/>
      <c r="S124" s="2922"/>
      <c r="T124" s="2512"/>
      <c r="U124" s="2512"/>
      <c r="V124" s="2512"/>
      <c r="W124" s="2512"/>
      <c r="X124" s="2512"/>
      <c r="Y124" s="2512"/>
      <c r="Z124" s="1279">
        <v>124</v>
      </c>
    </row>
    <row r="125" spans="1:26" s="95" customFormat="1" ht="11.25" hidden="1" customHeight="1">
      <c r="A125" s="2512"/>
      <c r="B125" s="2512"/>
      <c r="C125" s="151"/>
      <c r="D125" s="165"/>
      <c r="E125" s="2519" t="s">
        <v>247</v>
      </c>
      <c r="F125" s="154"/>
      <c r="G125" s="2512"/>
      <c r="H125" s="2906"/>
      <c r="I125" s="2907"/>
      <c r="J125" s="2908"/>
      <c r="K125" s="2909"/>
      <c r="L125" s="2907"/>
      <c r="M125" s="2907"/>
      <c r="N125" s="2910"/>
      <c r="O125" s="164" t="s">
        <v>57</v>
      </c>
      <c r="P125" s="166"/>
      <c r="Q125" s="2911"/>
      <c r="R125" s="2912"/>
      <c r="S125" s="2913"/>
      <c r="T125" s="2512"/>
      <c r="U125" s="2512"/>
      <c r="V125" s="2512"/>
      <c r="W125" s="2512"/>
      <c r="X125" s="2512"/>
      <c r="Y125" s="2512"/>
      <c r="Z125" s="1279">
        <v>125</v>
      </c>
    </row>
    <row r="126" spans="1:26" s="95" customFormat="1" ht="11.25" hidden="1" customHeight="1">
      <c r="A126" s="2512"/>
      <c r="B126" s="2512"/>
      <c r="C126" s="151"/>
      <c r="D126" s="165"/>
      <c r="E126" s="2519" t="s">
        <v>204</v>
      </c>
      <c r="F126" s="2512"/>
      <c r="G126" s="2512"/>
      <c r="H126" s="920"/>
      <c r="I126" s="511" t="s">
        <v>205</v>
      </c>
      <c r="J126" s="2914"/>
      <c r="K126" s="2915"/>
      <c r="L126" s="167" t="s">
        <v>44</v>
      </c>
      <c r="M126" s="2916"/>
      <c r="N126" s="2868"/>
      <c r="O126" s="2868"/>
      <c r="P126" s="2868"/>
      <c r="Q126" s="2867"/>
      <c r="R126" s="2867"/>
      <c r="S126" s="2917"/>
      <c r="T126" s="2512"/>
      <c r="U126" s="2512"/>
      <c r="V126" s="2512"/>
      <c r="W126" s="2512"/>
      <c r="X126" s="2512"/>
      <c r="Y126" s="2512"/>
      <c r="Z126" s="1279">
        <v>126</v>
      </c>
    </row>
    <row r="127" spans="1:26" ht="2.25" hidden="1" customHeight="1">
      <c r="C127" s="159"/>
      <c r="H127" s="2505"/>
      <c r="I127" s="2505"/>
      <c r="J127" s="2505"/>
      <c r="K127" s="2505"/>
      <c r="L127" s="2505"/>
      <c r="M127" s="2505"/>
      <c r="N127" s="2505"/>
      <c r="O127" s="2505"/>
      <c r="P127" s="2505"/>
      <c r="Q127" s="2505"/>
      <c r="R127" s="2505"/>
      <c r="S127" s="2505"/>
      <c r="Z127" s="1279">
        <v>127</v>
      </c>
    </row>
    <row r="128" spans="1:26" s="95" customFormat="1" ht="11.25" hidden="1" customHeight="1">
      <c r="A128" s="2512"/>
      <c r="B128" s="2512"/>
      <c r="C128" s="1253"/>
      <c r="D128" s="2512" t="s">
        <v>249</v>
      </c>
      <c r="E128" s="2512"/>
      <c r="F128" s="2512"/>
      <c r="G128" s="2512"/>
      <c r="H128" s="2863"/>
      <c r="I128" s="2864"/>
      <c r="J128" s="2865"/>
      <c r="K128" s="167" t="s">
        <v>37</v>
      </c>
      <c r="L128" s="2863"/>
      <c r="M128" s="2918"/>
      <c r="N128" s="2919"/>
      <c r="O128" s="164" t="s">
        <v>246</v>
      </c>
      <c r="P128" s="166"/>
      <c r="Q128" s="2920"/>
      <c r="R128" s="2921"/>
      <c r="S128" s="2922"/>
      <c r="T128" s="2512"/>
      <c r="U128" s="2512"/>
      <c r="V128" s="2512"/>
      <c r="W128" s="2512"/>
      <c r="X128" s="2512"/>
      <c r="Y128" s="2512"/>
      <c r="Z128" s="1279">
        <v>128</v>
      </c>
    </row>
    <row r="129" spans="3:26" s="95" customFormat="1" ht="11.25" hidden="1" customHeight="1">
      <c r="C129" s="151"/>
      <c r="D129" s="165"/>
      <c r="E129" s="2519" t="s">
        <v>247</v>
      </c>
      <c r="F129" s="154"/>
      <c r="G129" s="2512"/>
      <c r="H129" s="2906"/>
      <c r="I129" s="2907"/>
      <c r="J129" s="2908"/>
      <c r="K129" s="2909"/>
      <c r="L129" s="2907"/>
      <c r="M129" s="2907"/>
      <c r="N129" s="2910"/>
      <c r="O129" s="164" t="s">
        <v>57</v>
      </c>
      <c r="P129" s="166"/>
      <c r="Q129" s="2911"/>
      <c r="R129" s="2912"/>
      <c r="S129" s="2913"/>
      <c r="T129" s="2512"/>
      <c r="U129" s="2512"/>
      <c r="V129" s="2512"/>
      <c r="W129" s="2512"/>
      <c r="X129" s="2512"/>
      <c r="Y129" s="2512"/>
      <c r="Z129" s="1279">
        <v>129</v>
      </c>
    </row>
    <row r="130" spans="3:26" s="95" customFormat="1" ht="11.25" hidden="1" customHeight="1">
      <c r="C130" s="151"/>
      <c r="D130" s="165"/>
      <c r="E130" s="2519" t="s">
        <v>204</v>
      </c>
      <c r="F130" s="2512"/>
      <c r="G130" s="2512"/>
      <c r="H130" s="920"/>
      <c r="I130" s="511" t="s">
        <v>205</v>
      </c>
      <c r="J130" s="2914"/>
      <c r="K130" s="2915"/>
      <c r="L130" s="167" t="s">
        <v>44</v>
      </c>
      <c r="M130" s="2916"/>
      <c r="N130" s="2868"/>
      <c r="O130" s="2868"/>
      <c r="P130" s="2868"/>
      <c r="Q130" s="2867"/>
      <c r="R130" s="2867"/>
      <c r="S130" s="2917"/>
      <c r="T130" s="2512"/>
      <c r="U130" s="2512"/>
      <c r="V130" s="2512"/>
      <c r="W130" s="2512"/>
      <c r="X130" s="2512"/>
      <c r="Y130" s="2512"/>
      <c r="Z130" s="1279">
        <v>130</v>
      </c>
    </row>
    <row r="131" spans="3:26" ht="2.25" hidden="1" customHeight="1">
      <c r="C131" s="159"/>
      <c r="H131" s="2505"/>
      <c r="I131" s="2505"/>
      <c r="J131" s="2505"/>
      <c r="K131" s="2505"/>
      <c r="L131" s="2505"/>
      <c r="M131" s="2505"/>
      <c r="N131" s="2505"/>
      <c r="O131" s="2505"/>
      <c r="P131" s="2505"/>
      <c r="Q131" s="2505"/>
      <c r="R131" s="2505"/>
      <c r="S131" s="2505"/>
      <c r="Z131" s="1279">
        <v>131</v>
      </c>
    </row>
    <row r="132" spans="3:26" s="95" customFormat="1" ht="11.25" hidden="1" customHeight="1">
      <c r="C132" s="1253"/>
      <c r="D132" s="2512" t="s">
        <v>250</v>
      </c>
      <c r="E132" s="2512"/>
      <c r="F132" s="2512"/>
      <c r="G132" s="2512"/>
      <c r="H132" s="2863"/>
      <c r="I132" s="2864"/>
      <c r="J132" s="2865"/>
      <c r="K132" s="167" t="s">
        <v>37</v>
      </c>
      <c r="L132" s="2863"/>
      <c r="M132" s="2918"/>
      <c r="N132" s="2919"/>
      <c r="O132" s="164" t="s">
        <v>246</v>
      </c>
      <c r="P132" s="166"/>
      <c r="Q132" s="2920"/>
      <c r="R132" s="2921"/>
      <c r="S132" s="2922"/>
      <c r="T132" s="2512"/>
      <c r="U132" s="2512"/>
      <c r="V132" s="2512"/>
      <c r="W132" s="2512"/>
      <c r="X132" s="2512"/>
      <c r="Y132" s="2512"/>
      <c r="Z132" s="1279">
        <v>132</v>
      </c>
    </row>
    <row r="133" spans="3:26" s="95" customFormat="1" ht="11.25" hidden="1" customHeight="1">
      <c r="C133" s="151"/>
      <c r="D133" s="165"/>
      <c r="E133" s="2519" t="s">
        <v>247</v>
      </c>
      <c r="F133" s="154"/>
      <c r="G133" s="2512"/>
      <c r="H133" s="2906"/>
      <c r="I133" s="2907"/>
      <c r="J133" s="2908"/>
      <c r="K133" s="2909"/>
      <c r="L133" s="2907"/>
      <c r="M133" s="2907"/>
      <c r="N133" s="2910"/>
      <c r="O133" s="164" t="s">
        <v>57</v>
      </c>
      <c r="P133" s="166"/>
      <c r="Q133" s="2911"/>
      <c r="R133" s="2912"/>
      <c r="S133" s="2913"/>
      <c r="T133" s="2512"/>
      <c r="U133" s="2512"/>
      <c r="V133" s="2512"/>
      <c r="W133" s="2512"/>
      <c r="X133" s="2512"/>
      <c r="Y133" s="2512"/>
      <c r="Z133" s="1279">
        <v>133</v>
      </c>
    </row>
    <row r="134" spans="3:26" s="95" customFormat="1" ht="11.25" hidden="1" customHeight="1">
      <c r="C134" s="151"/>
      <c r="D134" s="165"/>
      <c r="E134" s="2519" t="s">
        <v>204</v>
      </c>
      <c r="F134" s="2512"/>
      <c r="G134" s="2512"/>
      <c r="H134" s="920"/>
      <c r="I134" s="511" t="s">
        <v>205</v>
      </c>
      <c r="J134" s="2914"/>
      <c r="K134" s="2915"/>
      <c r="L134" s="167" t="s">
        <v>44</v>
      </c>
      <c r="M134" s="2916"/>
      <c r="N134" s="2868"/>
      <c r="O134" s="2868"/>
      <c r="P134" s="2868"/>
      <c r="Q134" s="2867"/>
      <c r="R134" s="2867"/>
      <c r="S134" s="2917"/>
      <c r="T134" s="2512"/>
      <c r="U134" s="2512"/>
      <c r="V134" s="2512"/>
      <c r="W134" s="2512"/>
      <c r="X134" s="2512"/>
      <c r="Y134" s="2512"/>
      <c r="Z134" s="1279">
        <v>134</v>
      </c>
    </row>
    <row r="135" spans="3:26" ht="2.25" hidden="1" customHeight="1">
      <c r="C135" s="159"/>
      <c r="H135" s="2505"/>
      <c r="I135" s="2505"/>
      <c r="J135" s="2505"/>
      <c r="K135" s="2505"/>
      <c r="L135" s="2505"/>
      <c r="M135" s="2505"/>
      <c r="N135" s="2505"/>
      <c r="O135" s="2505"/>
      <c r="P135" s="2505"/>
      <c r="Q135" s="2505"/>
      <c r="R135" s="2505"/>
      <c r="S135" s="2505"/>
      <c r="Z135" s="1279">
        <v>135</v>
      </c>
    </row>
    <row r="136" spans="3:26" s="95" customFormat="1" ht="11.25" hidden="1" customHeight="1">
      <c r="C136" s="1253"/>
      <c r="D136" s="2512" t="s">
        <v>251</v>
      </c>
      <c r="E136" s="2512"/>
      <c r="F136" s="2512"/>
      <c r="G136" s="2512"/>
      <c r="H136" s="2863"/>
      <c r="I136" s="2864"/>
      <c r="J136" s="2865"/>
      <c r="K136" s="167" t="s">
        <v>37</v>
      </c>
      <c r="L136" s="2863"/>
      <c r="M136" s="2918"/>
      <c r="N136" s="2919"/>
      <c r="O136" s="164" t="s">
        <v>246</v>
      </c>
      <c r="P136" s="166"/>
      <c r="Q136" s="2920"/>
      <c r="R136" s="2921"/>
      <c r="S136" s="2922"/>
      <c r="T136" s="2512"/>
      <c r="U136" s="2512"/>
      <c r="V136" s="2512"/>
      <c r="W136" s="2512"/>
      <c r="X136" s="2512"/>
      <c r="Y136" s="2512"/>
      <c r="Z136" s="1279">
        <v>136</v>
      </c>
    </row>
    <row r="137" spans="3:26" s="95" customFormat="1" ht="11.25" hidden="1" customHeight="1">
      <c r="C137" s="151"/>
      <c r="D137" s="165"/>
      <c r="E137" s="2519" t="s">
        <v>247</v>
      </c>
      <c r="F137" s="154"/>
      <c r="G137" s="2512"/>
      <c r="H137" s="2906"/>
      <c r="I137" s="2907"/>
      <c r="J137" s="2908"/>
      <c r="K137" s="2909"/>
      <c r="L137" s="2907"/>
      <c r="M137" s="2907"/>
      <c r="N137" s="2910"/>
      <c r="O137" s="164" t="s">
        <v>57</v>
      </c>
      <c r="P137" s="166"/>
      <c r="Q137" s="2911"/>
      <c r="R137" s="2912"/>
      <c r="S137" s="2913"/>
      <c r="T137" s="2512"/>
      <c r="U137" s="2512"/>
      <c r="V137" s="2512"/>
      <c r="W137" s="2512"/>
      <c r="X137" s="2512"/>
      <c r="Y137" s="2512"/>
      <c r="Z137" s="1279">
        <v>137</v>
      </c>
    </row>
    <row r="138" spans="3:26" s="95" customFormat="1" ht="11.25" hidden="1" customHeight="1">
      <c r="C138" s="151"/>
      <c r="D138" s="165"/>
      <c r="E138" s="2519" t="s">
        <v>204</v>
      </c>
      <c r="F138" s="2512"/>
      <c r="G138" s="2512"/>
      <c r="H138" s="920"/>
      <c r="I138" s="511" t="s">
        <v>205</v>
      </c>
      <c r="J138" s="2914"/>
      <c r="K138" s="2915"/>
      <c r="L138" s="167" t="s">
        <v>44</v>
      </c>
      <c r="M138" s="2916"/>
      <c r="N138" s="2868"/>
      <c r="O138" s="2868"/>
      <c r="P138" s="2868"/>
      <c r="Q138" s="2867"/>
      <c r="R138" s="2867"/>
      <c r="S138" s="2917"/>
      <c r="T138" s="2512"/>
      <c r="U138" s="2512"/>
      <c r="V138" s="2512"/>
      <c r="W138" s="2512"/>
      <c r="X138" s="2512"/>
      <c r="Y138" s="2512"/>
      <c r="Z138" s="1279">
        <v>138</v>
      </c>
    </row>
    <row r="139" spans="3:26" ht="2.25" hidden="1" customHeight="1">
      <c r="C139" s="159"/>
      <c r="H139" s="2505"/>
      <c r="I139" s="2505"/>
      <c r="J139" s="2505"/>
      <c r="K139" s="2505"/>
      <c r="L139" s="2505"/>
      <c r="M139" s="2505"/>
      <c r="N139" s="2505"/>
      <c r="O139" s="2505"/>
      <c r="P139" s="2505"/>
      <c r="Q139" s="2505"/>
      <c r="R139" s="2505"/>
      <c r="S139" s="2505"/>
      <c r="Z139" s="1279">
        <v>139</v>
      </c>
    </row>
    <row r="140" spans="3:26" s="95" customFormat="1" ht="11.25" hidden="1" customHeight="1">
      <c r="C140" s="1253"/>
      <c r="D140" s="2512" t="s">
        <v>252</v>
      </c>
      <c r="E140" s="2512"/>
      <c r="F140" s="2512"/>
      <c r="G140" s="2512"/>
      <c r="H140" s="2863"/>
      <c r="I140" s="2864"/>
      <c r="J140" s="2865"/>
      <c r="K140" s="167" t="s">
        <v>37</v>
      </c>
      <c r="L140" s="2863"/>
      <c r="M140" s="2918"/>
      <c r="N140" s="2919"/>
      <c r="O140" s="164" t="s">
        <v>246</v>
      </c>
      <c r="P140" s="166"/>
      <c r="Q140" s="2920"/>
      <c r="R140" s="2921"/>
      <c r="S140" s="2922"/>
      <c r="T140" s="2512"/>
      <c r="U140" s="2512"/>
      <c r="V140" s="2512"/>
      <c r="W140" s="2512"/>
      <c r="X140" s="2512"/>
      <c r="Y140" s="2512"/>
      <c r="Z140" s="1279">
        <v>140</v>
      </c>
    </row>
    <row r="141" spans="3:26" s="95" customFormat="1" ht="11.25" hidden="1" customHeight="1">
      <c r="C141" s="151"/>
      <c r="D141" s="165"/>
      <c r="E141" s="2519" t="s">
        <v>247</v>
      </c>
      <c r="F141" s="154"/>
      <c r="G141" s="2512"/>
      <c r="H141" s="2906"/>
      <c r="I141" s="2907"/>
      <c r="J141" s="2908"/>
      <c r="K141" s="2909"/>
      <c r="L141" s="2907"/>
      <c r="M141" s="2907"/>
      <c r="N141" s="2910"/>
      <c r="O141" s="164" t="s">
        <v>57</v>
      </c>
      <c r="P141" s="166"/>
      <c r="Q141" s="2911"/>
      <c r="R141" s="2912"/>
      <c r="S141" s="2913"/>
      <c r="T141" s="2512"/>
      <c r="U141" s="2512"/>
      <c r="V141" s="2512"/>
      <c r="W141" s="2512"/>
      <c r="X141" s="2512"/>
      <c r="Y141" s="2512"/>
      <c r="Z141" s="1279">
        <v>141</v>
      </c>
    </row>
    <row r="142" spans="3:26" s="95" customFormat="1" ht="11.25" hidden="1" customHeight="1">
      <c r="C142" s="151"/>
      <c r="D142" s="165"/>
      <c r="E142" s="2519" t="s">
        <v>204</v>
      </c>
      <c r="F142" s="2512"/>
      <c r="G142" s="2512"/>
      <c r="H142" s="920"/>
      <c r="I142" s="511" t="s">
        <v>205</v>
      </c>
      <c r="J142" s="2914"/>
      <c r="K142" s="2915"/>
      <c r="L142" s="167" t="s">
        <v>44</v>
      </c>
      <c r="M142" s="2916"/>
      <c r="N142" s="2868"/>
      <c r="O142" s="2868"/>
      <c r="P142" s="2868"/>
      <c r="Q142" s="2867"/>
      <c r="R142" s="2867"/>
      <c r="S142" s="2917"/>
      <c r="T142" s="2512"/>
      <c r="U142" s="2512"/>
      <c r="V142" s="2512"/>
      <c r="W142" s="2512"/>
      <c r="X142" s="2512"/>
      <c r="Y142" s="2512"/>
      <c r="Z142" s="1279">
        <v>142</v>
      </c>
    </row>
    <row r="143" spans="3:26" ht="2.25" hidden="1" customHeight="1">
      <c r="C143" s="159"/>
      <c r="H143" s="2505"/>
      <c r="I143" s="2505"/>
      <c r="J143" s="2505"/>
      <c r="K143" s="2505"/>
      <c r="L143" s="2505"/>
      <c r="M143" s="2505"/>
      <c r="N143" s="2505"/>
      <c r="O143" s="2505"/>
      <c r="P143" s="2505"/>
      <c r="Q143" s="2505"/>
      <c r="R143" s="2505"/>
      <c r="S143" s="2505"/>
      <c r="Z143" s="1279">
        <v>143</v>
      </c>
    </row>
    <row r="144" spans="3:26" s="95" customFormat="1" ht="11.25" customHeight="1">
      <c r="C144" s="1253" t="s">
        <v>220</v>
      </c>
      <c r="D144" s="2512" t="s">
        <v>253</v>
      </c>
      <c r="E144" s="2512"/>
      <c r="F144" s="2512"/>
      <c r="G144" s="2512"/>
      <c r="H144" s="2863"/>
      <c r="I144" s="2864"/>
      <c r="J144" s="2865"/>
      <c r="K144" s="167" t="s">
        <v>37</v>
      </c>
      <c r="L144" s="2863"/>
      <c r="M144" s="2918"/>
      <c r="N144" s="2919"/>
      <c r="O144" s="164" t="s">
        <v>246</v>
      </c>
      <c r="P144" s="166"/>
      <c r="Q144" s="2920"/>
      <c r="R144" s="2921"/>
      <c r="S144" s="2922"/>
      <c r="T144" s="2512"/>
      <c r="U144" s="2512"/>
      <c r="V144" s="2512"/>
      <c r="W144" s="2512"/>
      <c r="X144" s="2512"/>
      <c r="Y144" s="2512"/>
      <c r="Z144" s="1279">
        <v>144</v>
      </c>
    </row>
    <row r="145" spans="1:26" s="95" customFormat="1" ht="11.25" customHeight="1">
      <c r="A145" s="2512"/>
      <c r="B145" s="2512"/>
      <c r="C145" s="151"/>
      <c r="D145" s="165"/>
      <c r="E145" s="2519" t="s">
        <v>247</v>
      </c>
      <c r="F145" s="154"/>
      <c r="G145" s="2512"/>
      <c r="H145" s="2906"/>
      <c r="I145" s="2907"/>
      <c r="J145" s="2908"/>
      <c r="K145" s="2909"/>
      <c r="L145" s="2907"/>
      <c r="M145" s="2907"/>
      <c r="N145" s="2910"/>
      <c r="O145" s="164" t="s">
        <v>57</v>
      </c>
      <c r="P145" s="166"/>
      <c r="Q145" s="2911"/>
      <c r="R145" s="2912"/>
      <c r="S145" s="2913"/>
      <c r="T145" s="2512"/>
      <c r="U145" s="2512"/>
      <c r="V145" s="2512"/>
      <c r="W145" s="2512"/>
      <c r="X145" s="2512"/>
      <c r="Y145" s="2512"/>
      <c r="Z145" s="1279">
        <v>145</v>
      </c>
    </row>
    <row r="146" spans="1:26" s="95" customFormat="1" ht="11.25" customHeight="1">
      <c r="A146" s="2512"/>
      <c r="B146" s="2512"/>
      <c r="C146" s="151"/>
      <c r="D146" s="165"/>
      <c r="E146" s="2519" t="s">
        <v>204</v>
      </c>
      <c r="F146" s="2512"/>
      <c r="G146" s="2512"/>
      <c r="H146" s="920"/>
      <c r="I146" s="511" t="s">
        <v>205</v>
      </c>
      <c r="J146" s="2914"/>
      <c r="K146" s="2915"/>
      <c r="L146" s="167" t="s">
        <v>44</v>
      </c>
      <c r="M146" s="2916"/>
      <c r="N146" s="2868"/>
      <c r="O146" s="2868"/>
      <c r="P146" s="2868"/>
      <c r="Q146" s="2867"/>
      <c r="R146" s="2867"/>
      <c r="S146" s="2917"/>
      <c r="T146" s="2512"/>
      <c r="U146" s="2512"/>
      <c r="V146" s="2512"/>
      <c r="W146" s="2512"/>
      <c r="X146" s="2512"/>
      <c r="Y146" s="2512"/>
      <c r="Z146" s="1279">
        <v>146</v>
      </c>
    </row>
    <row r="147" spans="1:26" ht="2.25" customHeight="1">
      <c r="C147" s="159"/>
      <c r="H147" s="2505"/>
      <c r="I147" s="2505"/>
      <c r="J147" s="2505"/>
      <c r="K147" s="2505"/>
      <c r="L147" s="2505"/>
      <c r="M147" s="2505"/>
      <c r="N147" s="2505"/>
      <c r="O147" s="2505"/>
      <c r="P147" s="2505"/>
      <c r="Q147" s="2505"/>
      <c r="R147" s="2505"/>
      <c r="S147" s="2505"/>
      <c r="Z147" s="1279">
        <v>147</v>
      </c>
    </row>
    <row r="148" spans="1:26" s="95" customFormat="1" ht="11.25" customHeight="1">
      <c r="A148" s="2512"/>
      <c r="B148" s="2512"/>
      <c r="C148" s="1253" t="s">
        <v>224</v>
      </c>
      <c r="D148" s="2512" t="s">
        <v>254</v>
      </c>
      <c r="E148" s="2512"/>
      <c r="F148" s="2512"/>
      <c r="G148" s="2512"/>
      <c r="H148" s="2863"/>
      <c r="I148" s="2864"/>
      <c r="J148" s="2865"/>
      <c r="K148" s="167" t="s">
        <v>37</v>
      </c>
      <c r="L148" s="2863"/>
      <c r="M148" s="2918"/>
      <c r="N148" s="2919"/>
      <c r="O148" s="164" t="s">
        <v>246</v>
      </c>
      <c r="P148" s="166"/>
      <c r="Q148" s="2920"/>
      <c r="R148" s="2921"/>
      <c r="S148" s="2922"/>
      <c r="T148" s="2512"/>
      <c r="U148" s="2512"/>
      <c r="V148" s="2512"/>
      <c r="W148" s="2512"/>
      <c r="X148" s="2512"/>
      <c r="Y148" s="2512"/>
      <c r="Z148" s="1279">
        <v>148</v>
      </c>
    </row>
    <row r="149" spans="1:26" s="95" customFormat="1" ht="11.25" customHeight="1">
      <c r="A149" s="2512"/>
      <c r="B149" s="2512"/>
      <c r="C149" s="2512"/>
      <c r="D149" s="165"/>
      <c r="E149" s="2519" t="s">
        <v>247</v>
      </c>
      <c r="F149" s="154"/>
      <c r="G149" s="2512"/>
      <c r="H149" s="2906"/>
      <c r="I149" s="2907"/>
      <c r="J149" s="2908"/>
      <c r="K149" s="2909"/>
      <c r="L149" s="2907"/>
      <c r="M149" s="2907"/>
      <c r="N149" s="2910"/>
      <c r="O149" s="164" t="s">
        <v>57</v>
      </c>
      <c r="P149" s="166"/>
      <c r="Q149" s="2911"/>
      <c r="R149" s="2912"/>
      <c r="S149" s="2913"/>
      <c r="T149" s="2512"/>
      <c r="U149" s="2512"/>
      <c r="V149" s="2512"/>
      <c r="W149" s="2512"/>
      <c r="X149" s="2512"/>
      <c r="Y149" s="2512"/>
      <c r="Z149" s="1279">
        <v>149</v>
      </c>
    </row>
    <row r="150" spans="1:26" s="95" customFormat="1" ht="11.25" customHeight="1">
      <c r="A150" s="2512"/>
      <c r="B150" s="2512"/>
      <c r="C150" s="2512"/>
      <c r="D150" s="165"/>
      <c r="E150" s="2519" t="s">
        <v>204</v>
      </c>
      <c r="F150" s="2512"/>
      <c r="G150" s="2512"/>
      <c r="H150" s="920"/>
      <c r="I150" s="511" t="s">
        <v>205</v>
      </c>
      <c r="J150" s="2914"/>
      <c r="K150" s="2915"/>
      <c r="L150" s="167" t="s">
        <v>44</v>
      </c>
      <c r="M150" s="2916"/>
      <c r="N150" s="2868"/>
      <c r="O150" s="2868"/>
      <c r="P150" s="2868"/>
      <c r="Q150" s="2867"/>
      <c r="R150" s="2867"/>
      <c r="S150" s="2917"/>
      <c r="T150" s="2512"/>
      <c r="U150" s="2512"/>
      <c r="V150" s="2512"/>
      <c r="W150" s="2512"/>
      <c r="X150" s="2512"/>
      <c r="Y150" s="2512"/>
      <c r="Z150" s="1279">
        <v>150</v>
      </c>
    </row>
    <row r="151" spans="1:26" ht="6" customHeight="1">
      <c r="H151" s="2505"/>
      <c r="I151" s="2505"/>
      <c r="J151" s="2505"/>
      <c r="K151" s="2505"/>
      <c r="L151" s="2505"/>
      <c r="M151" s="2505"/>
      <c r="N151" s="2505"/>
      <c r="O151" s="2505"/>
      <c r="P151" s="2505"/>
      <c r="Q151" s="2505"/>
      <c r="R151" s="2505"/>
      <c r="S151" s="2505"/>
      <c r="Z151" s="1279">
        <v>151</v>
      </c>
    </row>
    <row r="152" spans="1:26" ht="12" customHeight="1">
      <c r="B152" s="151" t="s">
        <v>209</v>
      </c>
      <c r="C152" s="151" t="s">
        <v>255</v>
      </c>
      <c r="H152" s="346"/>
      <c r="I152" s="346"/>
      <c r="J152" s="346"/>
      <c r="K152" s="346"/>
      <c r="L152" s="346"/>
      <c r="M152" s="346"/>
      <c r="N152" s="346"/>
      <c r="O152" s="346"/>
      <c r="P152" s="346"/>
      <c r="Q152" s="346"/>
      <c r="R152" s="346"/>
      <c r="S152" s="346"/>
      <c r="Z152" s="1279">
        <v>152</v>
      </c>
    </row>
    <row r="153" spans="1:26" ht="13.5" thickBot="1">
      <c r="A153" s="2923" t="s">
        <v>256</v>
      </c>
      <c r="B153" s="2923"/>
      <c r="C153" s="2923"/>
      <c r="D153" s="2923"/>
      <c r="E153" s="2923"/>
      <c r="H153" s="922" t="s">
        <v>257</v>
      </c>
      <c r="I153" s="2900" t="s">
        <v>258</v>
      </c>
      <c r="J153" s="2901"/>
      <c r="K153" s="2901"/>
      <c r="L153" s="2901"/>
      <c r="M153" s="2901"/>
      <c r="N153" s="2901"/>
      <c r="O153" s="2901"/>
      <c r="P153" s="2901"/>
      <c r="Q153" s="2901"/>
      <c r="R153" s="2901"/>
      <c r="S153" s="2902"/>
      <c r="Z153" s="1279">
        <v>153</v>
      </c>
    </row>
    <row r="154" spans="1:26" s="95" customFormat="1" ht="15" customHeight="1" thickBot="1">
      <c r="A154" s="2512"/>
      <c r="B154" s="343" t="s">
        <v>212</v>
      </c>
      <c r="C154" s="161" t="s">
        <v>259</v>
      </c>
      <c r="D154" s="2512"/>
      <c r="E154" s="161"/>
      <c r="F154" s="2512"/>
      <c r="G154" s="2512"/>
      <c r="H154" s="892" t="s">
        <v>260</v>
      </c>
      <c r="I154" s="2998"/>
      <c r="J154" s="2928"/>
      <c r="K154" s="2928"/>
      <c r="L154" s="2928"/>
      <c r="M154" s="2928"/>
      <c r="N154" s="2928"/>
      <c r="O154" s="2928"/>
      <c r="P154" s="2928"/>
      <c r="Q154" s="2928"/>
      <c r="R154" s="2928"/>
      <c r="S154" s="2930"/>
      <c r="T154" s="2512"/>
      <c r="U154" s="2843" t="s">
        <v>261</v>
      </c>
      <c r="V154" s="2843"/>
      <c r="W154" s="2512"/>
      <c r="X154" s="2512"/>
      <c r="Y154" s="2512"/>
      <c r="Z154" s="1279">
        <v>154</v>
      </c>
    </row>
    <row r="155" spans="1:26" s="95" customFormat="1" ht="15" customHeight="1" thickBot="1">
      <c r="A155" s="2512"/>
      <c r="B155" s="343" t="s">
        <v>220</v>
      </c>
      <c r="C155" s="161" t="s">
        <v>262</v>
      </c>
      <c r="D155" s="2512"/>
      <c r="E155" s="161"/>
      <c r="F155" s="2512"/>
      <c r="G155" s="2512"/>
      <c r="H155" s="892" t="s">
        <v>260</v>
      </c>
      <c r="I155" s="2997"/>
      <c r="J155" s="2935"/>
      <c r="K155" s="2935"/>
      <c r="L155" s="2935"/>
      <c r="M155" s="2935"/>
      <c r="N155" s="2935"/>
      <c r="O155" s="2935"/>
      <c r="P155" s="2935"/>
      <c r="Q155" s="2935"/>
      <c r="R155" s="2935"/>
      <c r="S155" s="2937"/>
      <c r="T155" s="2512"/>
      <c r="U155" s="2843"/>
      <c r="V155" s="2843"/>
      <c r="W155" s="2512"/>
      <c r="X155" s="2512"/>
      <c r="Y155" s="2512"/>
      <c r="Z155" s="1279">
        <v>155</v>
      </c>
    </row>
    <row r="156" spans="1:26" s="95" customFormat="1" ht="15" customHeight="1" thickBot="1">
      <c r="A156" s="2512"/>
      <c r="B156" s="343" t="s">
        <v>224</v>
      </c>
      <c r="C156" s="161" t="s">
        <v>263</v>
      </c>
      <c r="D156" s="2512"/>
      <c r="E156" s="161"/>
      <c r="F156" s="2512"/>
      <c r="G156" s="2512"/>
      <c r="H156" s="892" t="s">
        <v>260</v>
      </c>
      <c r="I156" s="2997"/>
      <c r="J156" s="2935"/>
      <c r="K156" s="2935"/>
      <c r="L156" s="2935"/>
      <c r="M156" s="2935"/>
      <c r="N156" s="2935"/>
      <c r="O156" s="2935"/>
      <c r="P156" s="2935"/>
      <c r="Q156" s="2935"/>
      <c r="R156" s="2935"/>
      <c r="S156" s="2937"/>
      <c r="T156" s="2512"/>
      <c r="U156" s="2843"/>
      <c r="V156" s="2843"/>
      <c r="W156" s="2512"/>
      <c r="X156" s="2512"/>
      <c r="Y156" s="2512"/>
      <c r="Z156" s="1279">
        <v>156</v>
      </c>
    </row>
    <row r="157" spans="1:26" s="95" customFormat="1" ht="15" customHeight="1" thickBot="1">
      <c r="A157" s="2512"/>
      <c r="B157" s="343" t="s">
        <v>264</v>
      </c>
      <c r="C157" s="161" t="s">
        <v>265</v>
      </c>
      <c r="D157" s="2512"/>
      <c r="E157" s="161"/>
      <c r="F157" s="2512"/>
      <c r="G157" s="2512"/>
      <c r="H157" s="892" t="s">
        <v>260</v>
      </c>
      <c r="I157" s="2997"/>
      <c r="J157" s="2935"/>
      <c r="K157" s="2935"/>
      <c r="L157" s="2935"/>
      <c r="M157" s="2935"/>
      <c r="N157" s="2935"/>
      <c r="O157" s="2935"/>
      <c r="P157" s="2935"/>
      <c r="Q157" s="2935"/>
      <c r="R157" s="2935"/>
      <c r="S157" s="2937"/>
      <c r="T157" s="2512"/>
      <c r="U157" s="2843"/>
      <c r="V157" s="2843"/>
      <c r="W157" s="2512"/>
      <c r="X157" s="2512"/>
      <c r="Y157" s="2512"/>
      <c r="Z157" s="1279">
        <v>157</v>
      </c>
    </row>
    <row r="158" spans="1:26" s="95" customFormat="1" ht="15" customHeight="1" thickBot="1">
      <c r="A158" s="2512"/>
      <c r="B158" s="343" t="s">
        <v>266</v>
      </c>
      <c r="C158" s="161" t="s">
        <v>267</v>
      </c>
      <c r="D158" s="2512"/>
      <c r="E158" s="161"/>
      <c r="F158" s="2512"/>
      <c r="G158" s="2512"/>
      <c r="H158" s="892" t="s">
        <v>260</v>
      </c>
      <c r="I158" s="2997"/>
      <c r="J158" s="2935"/>
      <c r="K158" s="2935"/>
      <c r="L158" s="2935"/>
      <c r="M158" s="2935"/>
      <c r="N158" s="2935"/>
      <c r="O158" s="2935"/>
      <c r="P158" s="2935"/>
      <c r="Q158" s="2935"/>
      <c r="R158" s="2935"/>
      <c r="S158" s="2937"/>
      <c r="T158" s="2512"/>
      <c r="U158" s="2843"/>
      <c r="V158" s="2843"/>
      <c r="W158" s="2512"/>
      <c r="X158" s="2512"/>
      <c r="Y158" s="2512"/>
      <c r="Z158" s="1279">
        <v>158</v>
      </c>
    </row>
    <row r="159" spans="1:26" s="95" customFormat="1" ht="15" customHeight="1" thickBot="1">
      <c r="A159" s="2512"/>
      <c r="B159" s="343" t="s">
        <v>268</v>
      </c>
      <c r="C159" s="161" t="s">
        <v>269</v>
      </c>
      <c r="D159" s="2512"/>
      <c r="E159" s="161"/>
      <c r="F159" s="2512"/>
      <c r="G159" s="2512"/>
      <c r="H159" s="892" t="s">
        <v>260</v>
      </c>
      <c r="I159" s="2997"/>
      <c r="J159" s="2935"/>
      <c r="K159" s="2935"/>
      <c r="L159" s="2935"/>
      <c r="M159" s="2935"/>
      <c r="N159" s="2935"/>
      <c r="O159" s="2935"/>
      <c r="P159" s="2935"/>
      <c r="Q159" s="2935"/>
      <c r="R159" s="2935"/>
      <c r="S159" s="2937"/>
      <c r="T159" s="2512"/>
      <c r="U159" s="2843"/>
      <c r="V159" s="2843"/>
      <c r="W159" s="2512"/>
      <c r="X159" s="2512"/>
      <c r="Y159" s="2512"/>
      <c r="Z159" s="1279">
        <v>159</v>
      </c>
    </row>
    <row r="160" spans="1:26" s="95" customFormat="1" ht="15" customHeight="1" thickBot="1">
      <c r="A160" s="2512"/>
      <c r="B160" s="343" t="s">
        <v>270</v>
      </c>
      <c r="C160" s="161" t="s">
        <v>271</v>
      </c>
      <c r="D160" s="2512"/>
      <c r="E160" s="161"/>
      <c r="F160" s="2512"/>
      <c r="G160" s="2512"/>
      <c r="H160" s="892" t="s">
        <v>260</v>
      </c>
      <c r="I160" s="2997"/>
      <c r="J160" s="2935"/>
      <c r="K160" s="2935"/>
      <c r="L160" s="2935"/>
      <c r="M160" s="2935"/>
      <c r="N160" s="2935"/>
      <c r="O160" s="2935"/>
      <c r="P160" s="2935"/>
      <c r="Q160" s="2935"/>
      <c r="R160" s="2935"/>
      <c r="S160" s="2937"/>
      <c r="T160" s="2512"/>
      <c r="U160" s="2512"/>
      <c r="V160" s="2512"/>
      <c r="W160" s="2512"/>
      <c r="X160" s="2512"/>
      <c r="Y160" s="2512"/>
      <c r="Z160" s="1279">
        <v>160</v>
      </c>
    </row>
    <row r="161" spans="1:26" s="95" customFormat="1" ht="15" customHeight="1" thickBot="1">
      <c r="A161" s="2512"/>
      <c r="B161" s="343" t="s">
        <v>272</v>
      </c>
      <c r="C161" s="161" t="s">
        <v>273</v>
      </c>
      <c r="D161" s="2512"/>
      <c r="E161" s="161"/>
      <c r="F161" s="2512"/>
      <c r="G161" s="2512"/>
      <c r="H161" s="892" t="s">
        <v>260</v>
      </c>
      <c r="I161" s="2997"/>
      <c r="J161" s="2935"/>
      <c r="K161" s="2935"/>
      <c r="L161" s="2935"/>
      <c r="M161" s="2935"/>
      <c r="N161" s="2935"/>
      <c r="O161" s="2935"/>
      <c r="P161" s="2935"/>
      <c r="Q161" s="2935"/>
      <c r="R161" s="2935"/>
      <c r="S161" s="2937"/>
      <c r="T161" s="2512"/>
      <c r="U161" s="2512"/>
      <c r="V161" s="2512"/>
      <c r="W161" s="2512"/>
      <c r="X161" s="2512"/>
      <c r="Y161" s="2512"/>
      <c r="Z161" s="1279">
        <v>161</v>
      </c>
    </row>
    <row r="162" spans="1:26" s="95" customFormat="1" ht="15" customHeight="1" thickBot="1">
      <c r="A162" s="2512"/>
      <c r="B162" s="343" t="s">
        <v>274</v>
      </c>
      <c r="C162" s="2903" t="s">
        <v>275</v>
      </c>
      <c r="D162" s="2904"/>
      <c r="E162" s="2904"/>
      <c r="F162" s="2904"/>
      <c r="G162" s="2905"/>
      <c r="H162" s="892" t="s">
        <v>260</v>
      </c>
      <c r="I162" s="2996"/>
      <c r="J162" s="2972"/>
      <c r="K162" s="2972"/>
      <c r="L162" s="2972"/>
      <c r="M162" s="2972"/>
      <c r="N162" s="2972"/>
      <c r="O162" s="2972"/>
      <c r="P162" s="2972"/>
      <c r="Q162" s="2972"/>
      <c r="R162" s="2972"/>
      <c r="S162" s="2974"/>
      <c r="T162" s="2512"/>
      <c r="U162" s="2512"/>
      <c r="V162" s="2512"/>
      <c r="W162" s="2512"/>
      <c r="X162" s="2512"/>
      <c r="Y162" s="2512"/>
      <c r="Z162" s="1279">
        <v>162</v>
      </c>
    </row>
    <row r="163" spans="1:26" s="95" customFormat="1" ht="13.35" customHeight="1">
      <c r="A163" s="151" t="s">
        <v>51</v>
      </c>
      <c r="B163" s="151" t="s">
        <v>276</v>
      </c>
      <c r="C163" s="2512"/>
      <c r="D163" s="2512"/>
      <c r="E163" s="2512"/>
      <c r="F163" s="151"/>
      <c r="G163" s="2518"/>
      <c r="H163" s="2518"/>
      <c r="I163" s="2518"/>
      <c r="J163" s="2518"/>
      <c r="K163" s="2518"/>
      <c r="L163" s="2518"/>
      <c r="M163" s="2518"/>
      <c r="N163" s="2518"/>
      <c r="O163" s="2518"/>
      <c r="P163" s="2518"/>
      <c r="Q163" s="2518"/>
      <c r="R163" s="2512"/>
      <c r="S163" s="2512"/>
      <c r="T163" s="2512"/>
      <c r="U163" s="2512"/>
      <c r="V163" s="2512"/>
      <c r="W163" s="2512"/>
      <c r="X163" s="2512"/>
      <c r="Y163" s="2512"/>
      <c r="Z163" s="1279">
        <v>163</v>
      </c>
    </row>
    <row r="164" spans="1:26" s="95" customFormat="1" ht="2.25" customHeight="1">
      <c r="A164" s="151"/>
      <c r="B164" s="151"/>
      <c r="C164" s="2512"/>
      <c r="D164" s="2512"/>
      <c r="E164" s="2512"/>
      <c r="F164" s="151"/>
      <c r="G164" s="2518"/>
      <c r="H164" s="2518"/>
      <c r="I164" s="2518"/>
      <c r="J164" s="2518"/>
      <c r="K164" s="2518"/>
      <c r="L164" s="2518"/>
      <c r="M164" s="2518"/>
      <c r="N164" s="2518"/>
      <c r="O164" s="2518"/>
      <c r="P164" s="2518"/>
      <c r="Q164" s="2518"/>
      <c r="R164" s="2512"/>
      <c r="S164" s="2512"/>
      <c r="T164" s="2512"/>
      <c r="U164" s="2512"/>
      <c r="V164" s="2512"/>
      <c r="W164" s="2512"/>
      <c r="X164" s="2512"/>
      <c r="Y164" s="2512"/>
      <c r="Z164" s="1279">
        <v>164</v>
      </c>
    </row>
    <row r="165" spans="1:26" ht="13.35" customHeight="1">
      <c r="B165" s="151" t="s">
        <v>230</v>
      </c>
      <c r="C165" s="151" t="s">
        <v>277</v>
      </c>
      <c r="Z165" s="1279">
        <v>165</v>
      </c>
    </row>
    <row r="166" spans="1:26" s="95" customFormat="1" ht="12.75" customHeight="1">
      <c r="A166" s="2938" t="s">
        <v>278</v>
      </c>
      <c r="B166" s="2939"/>
      <c r="C166" s="2939"/>
      <c r="D166" s="2939"/>
      <c r="E166" s="2944" t="s">
        <v>279</v>
      </c>
      <c r="F166" s="2945"/>
      <c r="G166" s="2945"/>
      <c r="H166" s="2945"/>
      <c r="I166" s="4706"/>
      <c r="J166" s="2949" t="s">
        <v>280</v>
      </c>
      <c r="K166" s="2952" t="s">
        <v>281</v>
      </c>
      <c r="L166" s="2952" t="s">
        <v>282</v>
      </c>
      <c r="M166" s="2955" t="s">
        <v>283</v>
      </c>
      <c r="N166" s="2956"/>
      <c r="O166" s="2956"/>
      <c r="P166" s="2956"/>
      <c r="Q166" s="2956"/>
      <c r="R166" s="2956"/>
      <c r="S166" s="4707"/>
      <c r="T166" s="2512"/>
      <c r="U166" s="2512"/>
      <c r="V166" s="2512"/>
      <c r="W166" s="2512"/>
      <c r="X166" s="2512"/>
      <c r="Y166" s="2512"/>
      <c r="Z166" s="1279">
        <v>166</v>
      </c>
    </row>
    <row r="167" spans="1:26" s="95" customFormat="1" ht="12.75" customHeight="1">
      <c r="A167" s="2940"/>
      <c r="B167" s="2941"/>
      <c r="C167" s="2941"/>
      <c r="D167" s="2941"/>
      <c r="E167" s="2946"/>
      <c r="F167" s="2947"/>
      <c r="G167" s="2947"/>
      <c r="H167" s="2947"/>
      <c r="I167" s="2948"/>
      <c r="J167" s="2950"/>
      <c r="K167" s="2953"/>
      <c r="L167" s="2953"/>
      <c r="M167" s="2957"/>
      <c r="N167" s="2958"/>
      <c r="O167" s="2958"/>
      <c r="P167" s="2958"/>
      <c r="Q167" s="2958"/>
      <c r="R167" s="2958"/>
      <c r="S167" s="2959"/>
      <c r="T167" s="2512"/>
      <c r="U167" s="2512"/>
      <c r="V167" s="2512"/>
      <c r="W167" s="2512"/>
      <c r="X167" s="2512"/>
      <c r="Y167" s="2512"/>
      <c r="Z167" s="1279">
        <v>167</v>
      </c>
    </row>
    <row r="168" spans="1:26" s="95" customFormat="1" ht="12.75" customHeight="1">
      <c r="A168" s="2940"/>
      <c r="B168" s="2941"/>
      <c r="C168" s="2941"/>
      <c r="D168" s="2941"/>
      <c r="E168" s="2946"/>
      <c r="F168" s="2947"/>
      <c r="G168" s="2947"/>
      <c r="H168" s="2947"/>
      <c r="I168" s="2948"/>
      <c r="J168" s="2950"/>
      <c r="K168" s="2953"/>
      <c r="L168" s="2953"/>
      <c r="M168" s="2957"/>
      <c r="N168" s="2958"/>
      <c r="O168" s="2958"/>
      <c r="P168" s="2958"/>
      <c r="Q168" s="2958"/>
      <c r="R168" s="2958"/>
      <c r="S168" s="2959"/>
      <c r="T168" s="2512"/>
      <c r="U168" s="2512"/>
      <c r="V168" s="2512"/>
      <c r="W168" s="2512"/>
      <c r="X168" s="2512"/>
      <c r="Y168" s="2512"/>
      <c r="Z168" s="1279">
        <v>168</v>
      </c>
    </row>
    <row r="169" spans="1:26" s="95" customFormat="1" ht="12.75" customHeight="1">
      <c r="A169" s="2940"/>
      <c r="B169" s="2941"/>
      <c r="C169" s="2941"/>
      <c r="D169" s="2941"/>
      <c r="E169" s="2960" t="s">
        <v>284</v>
      </c>
      <c r="F169" s="2961"/>
      <c r="G169" s="2961"/>
      <c r="H169" s="2962"/>
      <c r="I169" s="347"/>
      <c r="J169" s="2950"/>
      <c r="K169" s="2953"/>
      <c r="L169" s="2953"/>
      <c r="M169" s="2957"/>
      <c r="N169" s="2958"/>
      <c r="O169" s="2958"/>
      <c r="P169" s="2958"/>
      <c r="Q169" s="2958"/>
      <c r="R169" s="2958"/>
      <c r="S169" s="2959"/>
      <c r="T169" s="2512"/>
      <c r="U169" s="2512"/>
      <c r="V169" s="2512"/>
      <c r="W169" s="2512"/>
      <c r="X169" s="2512"/>
      <c r="Y169" s="2512"/>
      <c r="Z169" s="1279">
        <v>169</v>
      </c>
    </row>
    <row r="170" spans="1:26" s="95" customFormat="1" ht="13.5" customHeight="1">
      <c r="A170" s="2942"/>
      <c r="B170" s="2943"/>
      <c r="C170" s="2943"/>
      <c r="D170" s="2943"/>
      <c r="E170" s="2963"/>
      <c r="F170" s="2964"/>
      <c r="G170" s="2964"/>
      <c r="H170" s="2965"/>
      <c r="I170" s="893" t="s">
        <v>257</v>
      </c>
      <c r="J170" s="2951"/>
      <c r="K170" s="2954"/>
      <c r="L170" s="2953"/>
      <c r="M170" s="894" t="s">
        <v>257</v>
      </c>
      <c r="N170" s="2966" t="s">
        <v>285</v>
      </c>
      <c r="O170" s="2966"/>
      <c r="P170" s="2966"/>
      <c r="Q170" s="2966"/>
      <c r="R170" s="2966"/>
      <c r="S170" s="2967"/>
      <c r="T170" s="2512"/>
      <c r="U170" s="2512"/>
      <c r="V170" s="2512"/>
      <c r="W170" s="2512"/>
      <c r="X170" s="2512"/>
      <c r="Y170" s="2512"/>
      <c r="Z170" s="1279">
        <v>170</v>
      </c>
    </row>
    <row r="171" spans="1:26" s="95" customFormat="1" ht="23.25" customHeight="1">
      <c r="A171" s="2924" t="s">
        <v>286</v>
      </c>
      <c r="B171" s="2925"/>
      <c r="C171" s="2925"/>
      <c r="D171" s="2926"/>
      <c r="E171" s="2927"/>
      <c r="F171" s="2928"/>
      <c r="G171" s="2928"/>
      <c r="H171" s="2928"/>
      <c r="I171" s="2637" t="s">
        <v>260</v>
      </c>
      <c r="J171" s="2638" t="s">
        <v>260</v>
      </c>
      <c r="K171" s="2638"/>
      <c r="L171" s="2639"/>
      <c r="M171" s="2640" t="s">
        <v>260</v>
      </c>
      <c r="N171" s="2929"/>
      <c r="O171" s="2928"/>
      <c r="P171" s="2928"/>
      <c r="Q171" s="2928"/>
      <c r="R171" s="2928"/>
      <c r="S171" s="2930"/>
      <c r="T171" s="2512"/>
      <c r="U171" s="2512"/>
      <c r="V171" s="2512"/>
      <c r="W171" s="2512"/>
      <c r="X171" s="2512"/>
      <c r="Y171" s="2512"/>
      <c r="Z171" s="1279">
        <v>171</v>
      </c>
    </row>
    <row r="172" spans="1:26" s="95" customFormat="1" ht="23.25" customHeight="1">
      <c r="A172" s="2931" t="s">
        <v>287</v>
      </c>
      <c r="B172" s="2932"/>
      <c r="C172" s="2932"/>
      <c r="D172" s="2933"/>
      <c r="E172" s="2934"/>
      <c r="F172" s="2935"/>
      <c r="G172" s="2935"/>
      <c r="H172" s="2935"/>
      <c r="I172" s="488" t="s">
        <v>260</v>
      </c>
      <c r="J172" s="344" t="s">
        <v>260</v>
      </c>
      <c r="K172" s="344"/>
      <c r="L172" s="490"/>
      <c r="M172" s="348" t="s">
        <v>260</v>
      </c>
      <c r="N172" s="2936"/>
      <c r="O172" s="2935"/>
      <c r="P172" s="2935"/>
      <c r="Q172" s="2935"/>
      <c r="R172" s="2935"/>
      <c r="S172" s="2937"/>
      <c r="T172" s="2512"/>
      <c r="U172" s="2843" t="s">
        <v>261</v>
      </c>
      <c r="V172" s="2843"/>
      <c r="W172" s="2512"/>
      <c r="X172" s="2512"/>
      <c r="Y172" s="2512"/>
      <c r="Z172" s="1279">
        <v>172</v>
      </c>
    </row>
    <row r="173" spans="1:26" s="95" customFormat="1" ht="23.25" customHeight="1">
      <c r="A173" s="2931" t="s">
        <v>288</v>
      </c>
      <c r="B173" s="2932"/>
      <c r="C173" s="2932"/>
      <c r="D173" s="2933"/>
      <c r="E173" s="2934"/>
      <c r="F173" s="2935"/>
      <c r="G173" s="2935"/>
      <c r="H173" s="2935"/>
      <c r="I173" s="488" t="s">
        <v>260</v>
      </c>
      <c r="J173" s="344" t="s">
        <v>260</v>
      </c>
      <c r="K173" s="344"/>
      <c r="L173" s="490"/>
      <c r="M173" s="348" t="s">
        <v>260</v>
      </c>
      <c r="N173" s="2936"/>
      <c r="O173" s="2935"/>
      <c r="P173" s="2935"/>
      <c r="Q173" s="2935"/>
      <c r="R173" s="2935"/>
      <c r="S173" s="2937"/>
      <c r="T173" s="2512"/>
      <c r="U173" s="2843"/>
      <c r="V173" s="2843"/>
      <c r="W173" s="2512"/>
      <c r="X173" s="2512"/>
      <c r="Y173" s="2512"/>
      <c r="Z173" s="1279">
        <v>173</v>
      </c>
    </row>
    <row r="174" spans="1:26" s="95" customFormat="1" ht="23.25" customHeight="1">
      <c r="A174" s="2931" t="s">
        <v>289</v>
      </c>
      <c r="B174" s="2932"/>
      <c r="C174" s="2932"/>
      <c r="D174" s="2933"/>
      <c r="E174" s="2934"/>
      <c r="F174" s="2935"/>
      <c r="G174" s="2935"/>
      <c r="H174" s="2935"/>
      <c r="I174" s="488" t="s">
        <v>260</v>
      </c>
      <c r="J174" s="344" t="s">
        <v>260</v>
      </c>
      <c r="K174" s="344"/>
      <c r="L174" s="490"/>
      <c r="M174" s="348" t="s">
        <v>260</v>
      </c>
      <c r="N174" s="2936"/>
      <c r="O174" s="2935"/>
      <c r="P174" s="2935"/>
      <c r="Q174" s="2935"/>
      <c r="R174" s="2935"/>
      <c r="S174" s="2937"/>
      <c r="T174" s="2512"/>
      <c r="U174" s="2843"/>
      <c r="V174" s="2843"/>
      <c r="W174" s="2512"/>
      <c r="X174" s="2512"/>
      <c r="Y174" s="2512"/>
      <c r="Z174" s="1279">
        <v>174</v>
      </c>
    </row>
    <row r="175" spans="1:26" s="95" customFormat="1" ht="23.25" customHeight="1">
      <c r="A175" s="2931" t="s">
        <v>290</v>
      </c>
      <c r="B175" s="2932"/>
      <c r="C175" s="2932"/>
      <c r="D175" s="2933"/>
      <c r="E175" s="2934"/>
      <c r="F175" s="2935"/>
      <c r="G175" s="2935"/>
      <c r="H175" s="2935"/>
      <c r="I175" s="488" t="s">
        <v>260</v>
      </c>
      <c r="J175" s="344" t="s">
        <v>260</v>
      </c>
      <c r="K175" s="344"/>
      <c r="L175" s="490"/>
      <c r="M175" s="348" t="s">
        <v>260</v>
      </c>
      <c r="N175" s="2936"/>
      <c r="O175" s="2935"/>
      <c r="P175" s="2935"/>
      <c r="Q175" s="2935"/>
      <c r="R175" s="2935"/>
      <c r="S175" s="2937"/>
      <c r="T175" s="2512"/>
      <c r="U175" s="2843"/>
      <c r="V175" s="2843"/>
      <c r="W175" s="2512"/>
      <c r="X175" s="2512"/>
      <c r="Y175" s="2512"/>
      <c r="Z175" s="1279">
        <v>175</v>
      </c>
    </row>
    <row r="176" spans="1:26" s="95" customFormat="1" ht="23.25" customHeight="1">
      <c r="A176" s="2931" t="s">
        <v>291</v>
      </c>
      <c r="B176" s="2932"/>
      <c r="C176" s="2932"/>
      <c r="D176" s="2933"/>
      <c r="E176" s="2934"/>
      <c r="F176" s="2935"/>
      <c r="G176" s="2935"/>
      <c r="H176" s="2935"/>
      <c r="I176" s="488" t="s">
        <v>260</v>
      </c>
      <c r="J176" s="344" t="s">
        <v>260</v>
      </c>
      <c r="K176" s="344"/>
      <c r="L176" s="490"/>
      <c r="M176" s="348" t="s">
        <v>260</v>
      </c>
      <c r="N176" s="2936"/>
      <c r="O176" s="2935"/>
      <c r="P176" s="2935"/>
      <c r="Q176" s="2935"/>
      <c r="R176" s="2935"/>
      <c r="S176" s="2937"/>
      <c r="T176" s="2512"/>
      <c r="U176" s="2843"/>
      <c r="V176" s="2843"/>
      <c r="W176" s="2512"/>
      <c r="X176" s="2512"/>
      <c r="Y176" s="2512"/>
      <c r="Z176" s="1279">
        <v>176</v>
      </c>
    </row>
    <row r="177" spans="1:26" s="95" customFormat="1" ht="23.25" customHeight="1">
      <c r="A177" s="2931" t="s">
        <v>292</v>
      </c>
      <c r="B177" s="2932"/>
      <c r="C177" s="2932"/>
      <c r="D177" s="2933"/>
      <c r="E177" s="2934"/>
      <c r="F177" s="2935"/>
      <c r="G177" s="2935"/>
      <c r="H177" s="2935"/>
      <c r="I177" s="488" t="s">
        <v>260</v>
      </c>
      <c r="J177" s="344" t="s">
        <v>260</v>
      </c>
      <c r="K177" s="344"/>
      <c r="L177" s="490"/>
      <c r="M177" s="348" t="s">
        <v>260</v>
      </c>
      <c r="N177" s="2936"/>
      <c r="O177" s="2935"/>
      <c r="P177" s="2935"/>
      <c r="Q177" s="2935"/>
      <c r="R177" s="2935"/>
      <c r="S177" s="2937"/>
      <c r="T177" s="2512"/>
      <c r="U177" s="2843"/>
      <c r="V177" s="2843"/>
      <c r="W177" s="2512"/>
      <c r="X177" s="2512"/>
      <c r="Y177" s="2512"/>
      <c r="Z177" s="1279">
        <v>177</v>
      </c>
    </row>
    <row r="178" spans="1:26" s="95" customFormat="1" ht="23.25" customHeight="1">
      <c r="A178" s="2931" t="s">
        <v>293</v>
      </c>
      <c r="B178" s="2932"/>
      <c r="C178" s="2932"/>
      <c r="D178" s="2933"/>
      <c r="E178" s="2934"/>
      <c r="F178" s="2935"/>
      <c r="G178" s="2935"/>
      <c r="H178" s="2935"/>
      <c r="I178" s="488" t="s">
        <v>260</v>
      </c>
      <c r="J178" s="344" t="s">
        <v>260</v>
      </c>
      <c r="K178" s="344"/>
      <c r="L178" s="490"/>
      <c r="M178" s="348" t="s">
        <v>260</v>
      </c>
      <c r="N178" s="2936"/>
      <c r="O178" s="2935"/>
      <c r="P178" s="2935"/>
      <c r="Q178" s="2935"/>
      <c r="R178" s="2935"/>
      <c r="S178" s="2937"/>
      <c r="T178" s="2512"/>
      <c r="U178" s="2512"/>
      <c r="V178" s="2512"/>
      <c r="W178" s="2512"/>
      <c r="X178" s="2512"/>
      <c r="Y178" s="2512"/>
      <c r="Z178" s="1279">
        <v>178</v>
      </c>
    </row>
    <row r="179" spans="1:26" s="95" customFormat="1" ht="23.25" customHeight="1">
      <c r="A179" s="2931" t="s">
        <v>294</v>
      </c>
      <c r="B179" s="2932"/>
      <c r="C179" s="2932"/>
      <c r="D179" s="2933"/>
      <c r="E179" s="2934"/>
      <c r="F179" s="2935"/>
      <c r="G179" s="2935"/>
      <c r="H179" s="2935"/>
      <c r="I179" s="488" t="s">
        <v>260</v>
      </c>
      <c r="J179" s="344" t="s">
        <v>260</v>
      </c>
      <c r="K179" s="344"/>
      <c r="L179" s="490"/>
      <c r="M179" s="348" t="s">
        <v>260</v>
      </c>
      <c r="N179" s="2936"/>
      <c r="O179" s="2935"/>
      <c r="P179" s="2935"/>
      <c r="Q179" s="2935"/>
      <c r="R179" s="2935"/>
      <c r="S179" s="2937"/>
      <c r="T179" s="2512"/>
      <c r="U179" s="2512"/>
      <c r="V179" s="2512"/>
      <c r="W179" s="2512"/>
      <c r="X179" s="2512"/>
      <c r="Y179" s="2512"/>
      <c r="Z179" s="1279">
        <v>179</v>
      </c>
    </row>
    <row r="180" spans="1:26" s="95" customFormat="1" ht="23.25" customHeight="1">
      <c r="A180" s="2931" t="s">
        <v>295</v>
      </c>
      <c r="B180" s="2932"/>
      <c r="C180" s="2932"/>
      <c r="D180" s="2933"/>
      <c r="E180" s="2934"/>
      <c r="F180" s="2935"/>
      <c r="G180" s="2935"/>
      <c r="H180" s="2935"/>
      <c r="I180" s="488" t="s">
        <v>260</v>
      </c>
      <c r="J180" s="344" t="s">
        <v>260</v>
      </c>
      <c r="K180" s="344"/>
      <c r="L180" s="490"/>
      <c r="M180" s="348" t="s">
        <v>260</v>
      </c>
      <c r="N180" s="2936"/>
      <c r="O180" s="2935"/>
      <c r="P180" s="2935"/>
      <c r="Q180" s="2935"/>
      <c r="R180" s="2935"/>
      <c r="S180" s="2937"/>
      <c r="T180" s="2512"/>
      <c r="U180" s="2512"/>
      <c r="V180" s="2512"/>
      <c r="W180" s="2512"/>
      <c r="X180" s="2512"/>
      <c r="Y180" s="2512"/>
      <c r="Z180" s="1279">
        <v>180</v>
      </c>
    </row>
    <row r="181" spans="1:26" s="95" customFormat="1" ht="23.25" customHeight="1">
      <c r="A181" s="2931" t="s">
        <v>296</v>
      </c>
      <c r="B181" s="2932"/>
      <c r="C181" s="2932"/>
      <c r="D181" s="2933"/>
      <c r="E181" s="2934"/>
      <c r="F181" s="2935"/>
      <c r="G181" s="2935"/>
      <c r="H181" s="2935"/>
      <c r="I181" s="488" t="s">
        <v>260</v>
      </c>
      <c r="J181" s="344" t="s">
        <v>260</v>
      </c>
      <c r="K181" s="344"/>
      <c r="L181" s="490"/>
      <c r="M181" s="348" t="s">
        <v>260</v>
      </c>
      <c r="N181" s="2936"/>
      <c r="O181" s="2935"/>
      <c r="P181" s="2935"/>
      <c r="Q181" s="2935"/>
      <c r="R181" s="2935"/>
      <c r="S181" s="2937"/>
      <c r="T181" s="2512"/>
      <c r="U181" s="2512"/>
      <c r="V181" s="2512"/>
      <c r="W181" s="2512"/>
      <c r="X181" s="2512"/>
      <c r="Y181" s="2512"/>
      <c r="Z181" s="1279">
        <v>181</v>
      </c>
    </row>
    <row r="182" spans="1:26" s="95" customFormat="1" ht="23.25" customHeight="1">
      <c r="A182" s="2931" t="s">
        <v>297</v>
      </c>
      <c r="B182" s="2932"/>
      <c r="C182" s="2932"/>
      <c r="D182" s="2933"/>
      <c r="E182" s="2934"/>
      <c r="F182" s="2935"/>
      <c r="G182" s="2935"/>
      <c r="H182" s="2935"/>
      <c r="I182" s="488" t="s">
        <v>260</v>
      </c>
      <c r="J182" s="344" t="s">
        <v>260</v>
      </c>
      <c r="K182" s="344"/>
      <c r="L182" s="490"/>
      <c r="M182" s="348" t="s">
        <v>260</v>
      </c>
      <c r="N182" s="2936"/>
      <c r="O182" s="2935"/>
      <c r="P182" s="2935"/>
      <c r="Q182" s="2935"/>
      <c r="R182" s="2935"/>
      <c r="S182" s="2937"/>
      <c r="T182" s="2512"/>
      <c r="U182" s="2512"/>
      <c r="V182" s="2512"/>
      <c r="W182" s="2512"/>
      <c r="X182" s="2512"/>
      <c r="Y182" s="2512"/>
      <c r="Z182" s="1279">
        <v>182</v>
      </c>
    </row>
    <row r="183" spans="1:26" s="95" customFormat="1" ht="23.25" customHeight="1">
      <c r="A183" s="2968" t="s">
        <v>298</v>
      </c>
      <c r="B183" s="2969"/>
      <c r="C183" s="2969"/>
      <c r="D183" s="2970"/>
      <c r="E183" s="2971"/>
      <c r="F183" s="2972"/>
      <c r="G183" s="2972"/>
      <c r="H183" s="2972"/>
      <c r="I183" s="489" t="s">
        <v>260</v>
      </c>
      <c r="J183" s="345" t="s">
        <v>260</v>
      </c>
      <c r="K183" s="345"/>
      <c r="L183" s="491"/>
      <c r="M183" s="349" t="s">
        <v>260</v>
      </c>
      <c r="N183" s="2973"/>
      <c r="O183" s="2972"/>
      <c r="P183" s="2972"/>
      <c r="Q183" s="2972"/>
      <c r="R183" s="2972"/>
      <c r="S183" s="2974"/>
      <c r="T183" s="2512"/>
      <c r="U183" s="2512"/>
      <c r="V183" s="2512"/>
      <c r="W183" s="2512"/>
      <c r="X183" s="2512"/>
      <c r="Y183" s="2512"/>
      <c r="Z183" s="1279">
        <v>183</v>
      </c>
    </row>
    <row r="184" spans="1:26" s="95" customFormat="1" ht="12" customHeight="1">
      <c r="A184" s="2512"/>
      <c r="B184" s="2512"/>
      <c r="C184" s="2512"/>
      <c r="D184" s="2512"/>
      <c r="E184" s="2512"/>
      <c r="F184" s="2512"/>
      <c r="G184" s="151"/>
      <c r="H184" s="151"/>
      <c r="I184" s="151"/>
      <c r="J184" s="2518"/>
      <c r="K184" s="160" t="s">
        <v>299</v>
      </c>
      <c r="L184" s="312">
        <f>SUM(L171:L183)</f>
        <v>0</v>
      </c>
      <c r="M184" s="2518"/>
      <c r="N184" s="2512"/>
      <c r="O184" s="2512"/>
      <c r="P184" s="96"/>
      <c r="Q184" s="2512"/>
      <c r="R184" s="2512"/>
      <c r="S184" s="2512"/>
      <c r="T184" s="2512"/>
      <c r="U184" s="2512"/>
      <c r="V184" s="2512"/>
      <c r="W184" s="2512"/>
      <c r="X184" s="2512"/>
      <c r="Y184" s="2512"/>
      <c r="Z184" s="1279">
        <v>184</v>
      </c>
    </row>
    <row r="185" spans="1:26" ht="11.25" customHeight="1">
      <c r="A185" s="159" t="s">
        <v>77</v>
      </c>
      <c r="B185" s="159"/>
      <c r="C185" s="159" t="s">
        <v>78</v>
      </c>
      <c r="N185" s="159" t="s">
        <v>77</v>
      </c>
      <c r="O185" s="159" t="s">
        <v>80</v>
      </c>
      <c r="Z185" s="1279">
        <v>185</v>
      </c>
    </row>
    <row r="186" spans="1:26" ht="105.75" customHeight="1">
      <c r="A186" s="2894"/>
      <c r="B186" s="2895"/>
      <c r="C186" s="2895"/>
      <c r="D186" s="2895"/>
      <c r="E186" s="2895"/>
      <c r="F186" s="2895"/>
      <c r="G186" s="2895"/>
      <c r="H186" s="2895"/>
      <c r="I186" s="2895"/>
      <c r="J186" s="2895"/>
      <c r="K186" s="2895"/>
      <c r="L186" s="2895"/>
      <c r="M186" s="2896"/>
      <c r="N186" s="2897"/>
      <c r="O186" s="2898"/>
      <c r="P186" s="2898"/>
      <c r="Q186" s="2898"/>
      <c r="R186" s="2898"/>
      <c r="S186" s="2899"/>
      <c r="T186" s="2843" t="s">
        <v>300</v>
      </c>
      <c r="U186" s="2843"/>
      <c r="V186" s="2843"/>
      <c r="W186" s="2843"/>
      <c r="X186" s="2843"/>
      <c r="Z186" s="1279">
        <v>186</v>
      </c>
    </row>
    <row r="187" spans="1:26" s="95" customFormat="1" ht="12" customHeight="1">
      <c r="A187" s="134"/>
      <c r="B187" s="96"/>
      <c r="C187" s="96"/>
      <c r="D187" s="96"/>
      <c r="E187" s="96"/>
      <c r="F187" s="96"/>
      <c r="G187" s="96"/>
      <c r="H187" s="96"/>
      <c r="I187" s="96"/>
      <c r="J187" s="96"/>
      <c r="K187" s="96"/>
      <c r="L187" s="96"/>
      <c r="M187" s="96"/>
      <c r="N187" s="96"/>
      <c r="O187" s="96"/>
      <c r="P187" s="2512"/>
      <c r="Q187" s="2512"/>
      <c r="R187" s="2512"/>
      <c r="S187" s="2512"/>
      <c r="T187" s="2843"/>
      <c r="U187" s="2843"/>
      <c r="V187" s="2843"/>
      <c r="W187" s="2843"/>
      <c r="X187" s="2843"/>
      <c r="Y187" s="2512"/>
      <c r="Z187" s="1279"/>
    </row>
    <row r="188" spans="1:26" s="95" customFormat="1" ht="12" customHeight="1">
      <c r="A188" s="269"/>
      <c r="B188" s="96"/>
      <c r="C188" s="96"/>
      <c r="D188" s="96"/>
      <c r="E188" s="96"/>
      <c r="F188" s="96"/>
      <c r="G188" s="96"/>
      <c r="H188" s="96"/>
      <c r="I188" s="96"/>
      <c r="J188" s="96"/>
      <c r="K188" s="96"/>
      <c r="L188" s="96"/>
      <c r="M188" s="96"/>
      <c r="N188" s="96"/>
      <c r="O188" s="96"/>
      <c r="P188" s="2512"/>
      <c r="Q188" s="2512"/>
      <c r="R188" s="2512"/>
      <c r="S188" s="2512"/>
      <c r="T188" s="2512"/>
      <c r="U188" s="2512"/>
      <c r="V188" s="2512"/>
      <c r="W188" s="2512"/>
      <c r="X188" s="2512"/>
      <c r="Y188" s="2512"/>
      <c r="Z188" s="1279"/>
    </row>
    <row r="189" spans="1:26" s="95" customFormat="1" ht="12" customHeight="1">
      <c r="A189" s="134"/>
      <c r="B189" s="96"/>
      <c r="C189" s="96"/>
      <c r="D189" s="96"/>
      <c r="E189" s="96"/>
      <c r="F189" s="96"/>
      <c r="G189" s="96"/>
      <c r="H189" s="96"/>
      <c r="I189" s="96"/>
      <c r="J189" s="96"/>
      <c r="K189" s="96"/>
      <c r="L189" s="96"/>
      <c r="M189" s="96"/>
      <c r="N189" s="96"/>
      <c r="O189" s="96"/>
      <c r="P189" s="2512"/>
      <c r="Q189" s="2512"/>
      <c r="R189" s="2512"/>
      <c r="S189" s="2512"/>
      <c r="T189" s="2512"/>
      <c r="U189" s="2512"/>
      <c r="V189" s="2512"/>
      <c r="W189" s="2512"/>
      <c r="X189" s="2512"/>
      <c r="Y189" s="2512"/>
      <c r="Z189" s="1279"/>
    </row>
    <row r="190" spans="1:26" s="95" customFormat="1" ht="12" customHeight="1">
      <c r="A190" s="134"/>
      <c r="B190" s="96"/>
      <c r="C190" s="96"/>
      <c r="D190" s="96"/>
      <c r="E190" s="96"/>
      <c r="F190" s="96"/>
      <c r="G190" s="96"/>
      <c r="H190" s="96"/>
      <c r="I190" s="96"/>
      <c r="J190" s="96"/>
      <c r="K190" s="96"/>
      <c r="L190" s="96"/>
      <c r="M190" s="96"/>
      <c r="N190" s="96"/>
      <c r="O190" s="96"/>
      <c r="P190" s="2512"/>
      <c r="Q190" s="2512"/>
      <c r="R190" s="2512"/>
      <c r="S190" s="2512"/>
      <c r="T190" s="2512"/>
      <c r="U190" s="2512"/>
      <c r="V190" s="2512"/>
      <c r="W190" s="2512"/>
      <c r="X190" s="2512"/>
      <c r="Y190" s="2512"/>
      <c r="Z190" s="1279"/>
    </row>
    <row r="191" spans="1:26" s="95" customFormat="1" ht="12" customHeight="1">
      <c r="A191" s="2512"/>
      <c r="B191" s="96"/>
      <c r="C191" s="96"/>
      <c r="D191" s="96"/>
      <c r="E191" s="96"/>
      <c r="F191" s="96"/>
      <c r="G191" s="96"/>
      <c r="H191" s="96"/>
      <c r="I191" s="96"/>
      <c r="J191" s="96"/>
      <c r="K191" s="96"/>
      <c r="L191" s="96"/>
      <c r="M191" s="96"/>
      <c r="N191" s="96"/>
      <c r="O191" s="96"/>
      <c r="P191" s="177" t="s">
        <v>204</v>
      </c>
      <c r="Q191" s="2512"/>
      <c r="R191" s="2512"/>
      <c r="S191" s="2512"/>
      <c r="T191" s="2512"/>
      <c r="U191" s="2512"/>
      <c r="V191" s="2512"/>
      <c r="W191" s="2512"/>
      <c r="X191" s="2512"/>
      <c r="Y191" s="2512"/>
      <c r="Z191" s="1279"/>
    </row>
    <row r="192" spans="1:26" s="95" customFormat="1" ht="12" customHeight="1">
      <c r="A192" s="165"/>
      <c r="B192" s="96"/>
      <c r="C192" s="96"/>
      <c r="D192" s="96"/>
      <c r="E192" s="96"/>
      <c r="F192" s="96"/>
      <c r="G192" s="96"/>
      <c r="H192" s="96"/>
      <c r="I192" s="96"/>
      <c r="J192" s="96"/>
      <c r="K192" s="96"/>
      <c r="L192" s="96"/>
      <c r="M192" s="96"/>
      <c r="N192" s="96"/>
      <c r="O192" s="96"/>
      <c r="P192" s="178" t="s">
        <v>301</v>
      </c>
      <c r="Q192" s="2512"/>
      <c r="R192" s="2512"/>
      <c r="S192" s="2512"/>
      <c r="T192" s="2512"/>
      <c r="U192" s="2512"/>
      <c r="V192" s="2512"/>
      <c r="W192" s="2512"/>
      <c r="X192" s="2512"/>
      <c r="Y192" s="2512"/>
      <c r="Z192" s="1279"/>
    </row>
    <row r="193" spans="1:26" s="95" customFormat="1" ht="12" customHeight="1">
      <c r="A193" s="165"/>
      <c r="B193" s="96"/>
      <c r="C193" s="96"/>
      <c r="D193" s="96"/>
      <c r="E193" s="96"/>
      <c r="F193" s="96"/>
      <c r="G193" s="96"/>
      <c r="H193" s="96"/>
      <c r="I193" s="96"/>
      <c r="J193" s="96"/>
      <c r="K193" s="96"/>
      <c r="L193" s="96"/>
      <c r="M193" s="96"/>
      <c r="N193" s="96"/>
      <c r="O193" s="96"/>
      <c r="P193" s="178" t="s">
        <v>302</v>
      </c>
      <c r="Q193" s="2512"/>
      <c r="R193" s="2512"/>
      <c r="S193" s="2512"/>
      <c r="T193" s="2512"/>
      <c r="U193" s="2512"/>
      <c r="V193" s="2512"/>
      <c r="W193" s="2512"/>
      <c r="X193" s="2512"/>
      <c r="Y193" s="2512"/>
      <c r="Z193" s="1279"/>
    </row>
    <row r="194" spans="1:26" s="95" customFormat="1" ht="12" customHeight="1">
      <c r="A194" s="165"/>
      <c r="B194" s="96"/>
      <c r="C194" s="96"/>
      <c r="D194" s="96"/>
      <c r="E194" s="96"/>
      <c r="F194" s="96"/>
      <c r="G194" s="96"/>
      <c r="H194" s="96"/>
      <c r="I194" s="96"/>
      <c r="J194" s="96"/>
      <c r="K194" s="96"/>
      <c r="L194" s="96"/>
      <c r="M194" s="96"/>
      <c r="N194" s="96"/>
      <c r="O194" s="96"/>
      <c r="P194" s="178" t="s">
        <v>303</v>
      </c>
      <c r="Q194" s="2512"/>
      <c r="R194" s="2512"/>
      <c r="S194" s="2512"/>
      <c r="T194" s="2512"/>
      <c r="U194" s="2512"/>
      <c r="V194" s="2512"/>
      <c r="W194" s="2512"/>
      <c r="X194" s="2512"/>
      <c r="Y194" s="2512"/>
      <c r="Z194" s="1279"/>
    </row>
    <row r="195" spans="1:26" s="95" customFormat="1" ht="12" customHeight="1">
      <c r="A195" s="269"/>
      <c r="B195" s="96"/>
      <c r="C195" s="96"/>
      <c r="D195" s="96"/>
      <c r="E195" s="96"/>
      <c r="F195" s="96"/>
      <c r="G195" s="96"/>
      <c r="H195" s="96"/>
      <c r="I195" s="96"/>
      <c r="J195" s="96"/>
      <c r="K195" s="96"/>
      <c r="L195" s="96"/>
      <c r="M195" s="96"/>
      <c r="N195" s="96"/>
      <c r="O195" s="96"/>
      <c r="P195" s="178" t="s">
        <v>304</v>
      </c>
      <c r="Q195" s="2512"/>
      <c r="R195" s="2512"/>
      <c r="S195" s="2512"/>
      <c r="T195" s="2512"/>
      <c r="U195" s="2512"/>
      <c r="V195" s="2512"/>
      <c r="W195" s="2512"/>
      <c r="X195" s="2512"/>
      <c r="Y195" s="2512"/>
      <c r="Z195" s="1279"/>
    </row>
    <row r="196" spans="1:26" s="95" customFormat="1" ht="12" customHeight="1">
      <c r="A196" s="2512"/>
      <c r="B196" s="96"/>
      <c r="C196" s="96"/>
      <c r="D196" s="96"/>
      <c r="E196" s="96"/>
      <c r="F196" s="96"/>
      <c r="G196" s="96"/>
      <c r="H196" s="96"/>
      <c r="I196" s="96"/>
      <c r="J196" s="96"/>
      <c r="K196" s="96"/>
      <c r="L196" s="96"/>
      <c r="M196" s="96"/>
      <c r="N196" s="96"/>
      <c r="O196" s="96"/>
      <c r="P196" s="178" t="s">
        <v>305</v>
      </c>
      <c r="Q196" s="2512"/>
      <c r="R196" s="2512"/>
      <c r="S196" s="2512"/>
      <c r="T196" s="2512"/>
      <c r="U196" s="2512"/>
      <c r="V196" s="2512"/>
      <c r="W196" s="2512"/>
      <c r="X196" s="2512"/>
      <c r="Y196" s="2512"/>
      <c r="Z196" s="1279"/>
    </row>
    <row r="197" spans="1:26" s="95" customFormat="1" ht="12" customHeight="1">
      <c r="A197" s="2512"/>
      <c r="B197" s="96"/>
      <c r="C197" s="96"/>
      <c r="D197" s="96"/>
      <c r="E197" s="96"/>
      <c r="F197" s="96"/>
      <c r="G197" s="96"/>
      <c r="H197" s="96"/>
      <c r="I197" s="96"/>
      <c r="J197" s="96"/>
      <c r="K197" s="96"/>
      <c r="L197" s="96"/>
      <c r="M197" s="96"/>
      <c r="N197" s="96"/>
      <c r="O197" s="96"/>
      <c r="P197" s="178" t="s">
        <v>306</v>
      </c>
      <c r="Q197" s="2512"/>
      <c r="R197" s="2512"/>
      <c r="S197" s="2512"/>
      <c r="T197" s="2512"/>
      <c r="U197" s="2512"/>
      <c r="V197" s="2512"/>
      <c r="W197" s="2512"/>
      <c r="X197" s="2512"/>
      <c r="Y197" s="2512"/>
      <c r="Z197" s="1279"/>
    </row>
    <row r="198" spans="1:26" s="95" customFormat="1" ht="12" customHeight="1">
      <c r="A198" s="2512"/>
      <c r="B198" s="96"/>
      <c r="C198" s="96"/>
      <c r="D198" s="96"/>
      <c r="E198" s="96"/>
      <c r="F198" s="96"/>
      <c r="G198" s="96"/>
      <c r="H198" s="96"/>
      <c r="I198" s="96"/>
      <c r="J198" s="96"/>
      <c r="K198" s="96"/>
      <c r="L198" s="96"/>
      <c r="M198" s="96"/>
      <c r="N198" s="96"/>
      <c r="O198" s="96"/>
      <c r="P198" s="178" t="s">
        <v>307</v>
      </c>
      <c r="Q198" s="2512"/>
      <c r="R198" s="2512"/>
      <c r="S198" s="2512"/>
      <c r="T198" s="2512"/>
      <c r="U198" s="2512"/>
      <c r="V198" s="2512"/>
      <c r="W198" s="2512"/>
      <c r="X198" s="2512"/>
      <c r="Y198" s="2512"/>
      <c r="Z198" s="1279"/>
    </row>
    <row r="199" spans="1:26" s="95" customFormat="1" ht="12" customHeight="1">
      <c r="A199" s="2512"/>
      <c r="B199" s="96"/>
      <c r="C199" s="96"/>
      <c r="D199" s="96"/>
      <c r="E199" s="96"/>
      <c r="F199" s="96"/>
      <c r="G199" s="96"/>
      <c r="H199" s="96"/>
      <c r="I199" s="96"/>
      <c r="J199" s="96"/>
      <c r="K199" s="96"/>
      <c r="L199" s="96"/>
      <c r="M199" s="96"/>
      <c r="N199" s="96"/>
      <c r="O199" s="96"/>
      <c r="P199" s="178" t="s">
        <v>308</v>
      </c>
      <c r="Q199" s="2512"/>
      <c r="R199" s="2512"/>
      <c r="S199" s="2512"/>
      <c r="T199" s="2512"/>
      <c r="U199" s="2512"/>
      <c r="V199" s="2512"/>
      <c r="W199" s="2512"/>
      <c r="X199" s="2512"/>
      <c r="Y199" s="2512"/>
      <c r="Z199" s="1279"/>
    </row>
    <row r="200" spans="1:26" ht="12" customHeight="1">
      <c r="P200" s="178" t="s">
        <v>309</v>
      </c>
    </row>
    <row r="201" spans="1:26" ht="12" customHeight="1">
      <c r="A201" s="159"/>
      <c r="P201" s="178" t="s">
        <v>310</v>
      </c>
    </row>
    <row r="202" spans="1:26" ht="12" customHeight="1">
      <c r="P202" s="178" t="s">
        <v>311</v>
      </c>
    </row>
    <row r="203" spans="1:26" ht="12" customHeight="1">
      <c r="P203" s="178" t="s">
        <v>312</v>
      </c>
    </row>
    <row r="204" spans="1:26" ht="12" customHeight="1">
      <c r="P204" s="178" t="s">
        <v>313</v>
      </c>
    </row>
    <row r="205" spans="1:26" ht="12" customHeight="1">
      <c r="P205" s="178" t="s">
        <v>314</v>
      </c>
    </row>
    <row r="206" spans="1:26" ht="12" customHeight="1">
      <c r="P206" s="178" t="s">
        <v>315</v>
      </c>
    </row>
    <row r="207" spans="1:26" ht="12" customHeight="1">
      <c r="P207" s="178" t="s">
        <v>316</v>
      </c>
    </row>
    <row r="208" spans="1:26" ht="12" customHeight="1">
      <c r="P208" s="178" t="s">
        <v>317</v>
      </c>
    </row>
    <row r="209" spans="16:16" ht="12" customHeight="1">
      <c r="P209" s="178" t="s">
        <v>318</v>
      </c>
    </row>
    <row r="210" spans="16:16" ht="12" customHeight="1">
      <c r="P210" s="178" t="s">
        <v>319</v>
      </c>
    </row>
    <row r="211" spans="16:16" ht="12" customHeight="1">
      <c r="P211" s="178" t="s">
        <v>320</v>
      </c>
    </row>
    <row r="212" spans="16:16" ht="12" customHeight="1">
      <c r="P212" s="178" t="s">
        <v>321</v>
      </c>
    </row>
    <row r="213" spans="16:16" ht="12" customHeight="1">
      <c r="P213" s="178" t="s">
        <v>322</v>
      </c>
    </row>
    <row r="214" spans="16:16" ht="12" customHeight="1">
      <c r="P214" s="178" t="s">
        <v>323</v>
      </c>
    </row>
    <row r="215" spans="16:16" ht="12" customHeight="1">
      <c r="P215" s="178" t="s">
        <v>324</v>
      </c>
    </row>
    <row r="216" spans="16:16" ht="12" customHeight="1">
      <c r="P216" s="178" t="s">
        <v>325</v>
      </c>
    </row>
    <row r="217" spans="16:16" ht="12" customHeight="1">
      <c r="P217" s="178" t="s">
        <v>326</v>
      </c>
    </row>
    <row r="218" spans="16:16" ht="12" customHeight="1">
      <c r="P218" s="178" t="s">
        <v>327</v>
      </c>
    </row>
    <row r="219" spans="16:16" ht="12" customHeight="1">
      <c r="P219" s="178" t="s">
        <v>328</v>
      </c>
    </row>
    <row r="220" spans="16:16" ht="12" customHeight="1">
      <c r="P220" s="178" t="s">
        <v>329</v>
      </c>
    </row>
    <row r="221" spans="16:16" ht="12" customHeight="1">
      <c r="P221" s="178" t="s">
        <v>330</v>
      </c>
    </row>
    <row r="222" spans="16:16" ht="13.5">
      <c r="P222" s="178" t="s">
        <v>331</v>
      </c>
    </row>
    <row r="223" spans="16:16" ht="12" customHeight="1">
      <c r="P223" s="178" t="s">
        <v>332</v>
      </c>
    </row>
    <row r="224" spans="16:16" ht="12" customHeight="1">
      <c r="P224" s="178" t="s">
        <v>333</v>
      </c>
    </row>
    <row r="225" spans="16:16" ht="12" customHeight="1">
      <c r="P225" s="178" t="s">
        <v>334</v>
      </c>
    </row>
    <row r="226" spans="16:16" ht="12" customHeight="1">
      <c r="P226" s="178" t="s">
        <v>335</v>
      </c>
    </row>
    <row r="227" spans="16:16" ht="12" customHeight="1">
      <c r="P227" s="178" t="s">
        <v>336</v>
      </c>
    </row>
    <row r="228" spans="16:16" ht="12" customHeight="1">
      <c r="P228" s="178" t="s">
        <v>337</v>
      </c>
    </row>
    <row r="229" spans="16:16" ht="12" customHeight="1">
      <c r="P229" s="178" t="s">
        <v>338</v>
      </c>
    </row>
    <row r="230" spans="16:16" ht="12" customHeight="1">
      <c r="P230" s="178" t="s">
        <v>339</v>
      </c>
    </row>
    <row r="231" spans="16:16" ht="12" customHeight="1">
      <c r="P231" s="178" t="s">
        <v>340</v>
      </c>
    </row>
    <row r="232" spans="16:16" ht="12" customHeight="1">
      <c r="P232" s="178" t="s">
        <v>341</v>
      </c>
    </row>
    <row r="233" spans="16:16" ht="12" customHeight="1">
      <c r="P233" s="178" t="s">
        <v>342</v>
      </c>
    </row>
    <row r="234" spans="16:16" ht="12" customHeight="1">
      <c r="P234" s="178" t="s">
        <v>343</v>
      </c>
    </row>
    <row r="235" spans="16:16" ht="12" customHeight="1">
      <c r="P235" s="178" t="s">
        <v>344</v>
      </c>
    </row>
    <row r="236" spans="16:16" ht="12" customHeight="1">
      <c r="P236" s="178" t="s">
        <v>345</v>
      </c>
    </row>
    <row r="237" spans="16:16" ht="12" customHeight="1">
      <c r="P237" s="178" t="s">
        <v>346</v>
      </c>
    </row>
    <row r="238" spans="16:16" ht="12" customHeight="1">
      <c r="P238" s="178" t="s">
        <v>347</v>
      </c>
    </row>
    <row r="239" spans="16:16" ht="12" customHeight="1">
      <c r="P239" s="178" t="s">
        <v>348</v>
      </c>
    </row>
    <row r="240" spans="16:16" ht="12" customHeight="1">
      <c r="P240" s="178" t="s">
        <v>349</v>
      </c>
    </row>
    <row r="241" spans="16:16" ht="12" customHeight="1">
      <c r="P241" s="178" t="s">
        <v>350</v>
      </c>
    </row>
    <row r="242" spans="16:16" ht="12" customHeight="1">
      <c r="P242" s="178" t="s">
        <v>351</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28515625" defaultRowHeight="15.75"/>
  <cols>
    <col min="1" max="1" width="4.5703125" style="314" customWidth="1"/>
    <col min="2" max="2" width="6" style="314" customWidth="1"/>
    <col min="3" max="3" width="8.28515625" style="314" customWidth="1"/>
    <col min="4" max="4" width="7.42578125" style="314" customWidth="1"/>
    <col min="5" max="5" width="7.7109375" style="314" customWidth="1"/>
    <col min="6" max="7" width="6.7109375" style="314" customWidth="1"/>
    <col min="8" max="8" width="5" style="314" customWidth="1"/>
    <col min="9" max="10" width="6.7109375" style="314" customWidth="1"/>
    <col min="11" max="11" width="3.28515625" style="1095" customWidth="1"/>
    <col min="12" max="13" width="6.7109375" style="314" customWidth="1"/>
    <col min="14" max="14" width="8.28515625" style="314" customWidth="1"/>
    <col min="15" max="15" width="9.28515625" style="314"/>
    <col min="16" max="17" width="5.5703125" style="314" customWidth="1"/>
    <col min="18" max="18" width="8.28515625" style="314" customWidth="1"/>
    <col min="19" max="19" width="5.7109375" style="455" customWidth="1"/>
    <col min="20" max="20" width="5.7109375" style="314" customWidth="1"/>
    <col min="21" max="21" width="3.7109375" style="314" customWidth="1"/>
    <col min="22" max="23" width="5.42578125" style="314" customWidth="1"/>
    <col min="24" max="16384" width="9.28515625" style="314"/>
  </cols>
  <sheetData>
    <row r="1" spans="1:14">
      <c r="A1" s="369" t="s">
        <v>3460</v>
      </c>
      <c r="H1" s="459" t="str">
        <f>'Sensitivity Analysis'!C8</f>
        <v>Finley Place</v>
      </c>
    </row>
    <row r="2" spans="1:14">
      <c r="A2" s="410" t="s">
        <v>3461</v>
      </c>
      <c r="H2" s="314" t="str">
        <f>'Sensitivity Analysis'!E8</f>
        <v>2024-0</v>
      </c>
    </row>
    <row r="3" spans="1:14" ht="3" customHeight="1"/>
    <row r="4" spans="1:14" ht="69.599999999999994" customHeight="1">
      <c r="A4" s="4589" t="s">
        <v>3462</v>
      </c>
      <c r="B4" s="4589"/>
      <c r="C4" s="4589"/>
      <c r="D4" s="4589"/>
      <c r="E4" s="4589"/>
      <c r="F4" s="4589"/>
      <c r="G4" s="4589"/>
      <c r="H4" s="4589"/>
      <c r="I4" s="4589"/>
      <c r="J4" s="4589"/>
      <c r="K4" s="4589"/>
      <c r="L4" s="4596">
        <f>SUM('Part VI-Pro Forma'!B15:B17)/12</f>
        <v>64269.547200000001</v>
      </c>
      <c r="M4" s="4596"/>
      <c r="N4" s="1096" t="s">
        <v>3463</v>
      </c>
    </row>
    <row r="5" spans="1:14" ht="1.5" customHeight="1"/>
    <row r="6" spans="1:14" ht="12.75" customHeight="1">
      <c r="B6" s="478" t="s">
        <v>2468</v>
      </c>
      <c r="C6" s="460" t="s">
        <v>3464</v>
      </c>
      <c r="D6" s="460"/>
      <c r="E6" s="460"/>
      <c r="F6" s="460"/>
      <c r="G6" s="460"/>
      <c r="H6" s="460"/>
    </row>
    <row r="7" spans="1:14" ht="12.75" customHeight="1">
      <c r="B7" s="478" t="s">
        <v>2470</v>
      </c>
      <c r="C7" s="4589" t="s">
        <v>3465</v>
      </c>
      <c r="D7" s="4589"/>
      <c r="E7" s="4589"/>
      <c r="F7" s="4589"/>
      <c r="G7" s="4589"/>
      <c r="H7" s="4589"/>
      <c r="I7" s="4589"/>
      <c r="J7" s="4589"/>
      <c r="K7" s="4589"/>
      <c r="L7" s="4589"/>
      <c r="M7" s="4589"/>
    </row>
    <row r="8" spans="1:14" ht="3" customHeight="1"/>
    <row r="9" spans="1:14">
      <c r="A9" s="314" t="s">
        <v>3466</v>
      </c>
    </row>
    <row r="10" spans="1:14" ht="1.5" customHeight="1"/>
    <row r="11" spans="1:14" ht="26.25" customHeight="1">
      <c r="A11" s="479" t="s">
        <v>197</v>
      </c>
      <c r="B11" s="4589" t="s">
        <v>3467</v>
      </c>
      <c r="C11" s="4589"/>
      <c r="D11" s="4589"/>
      <c r="E11" s="4589"/>
      <c r="F11" s="4589"/>
      <c r="G11" s="4589"/>
      <c r="H11" s="4589"/>
      <c r="I11" s="4589"/>
      <c r="J11" s="4589"/>
      <c r="K11" s="4589"/>
      <c r="L11" s="4590">
        <f>'Part II-Sources of Funds'!I51+'Part II-Sources of Funds'!I52</f>
        <v>16833964</v>
      </c>
      <c r="M11" s="4590"/>
    </row>
    <row r="12" spans="1:14" ht="1.5" customHeight="1">
      <c r="G12" s="460"/>
      <c r="H12" s="460"/>
    </row>
    <row r="13" spans="1:14" ht="25.9" customHeight="1">
      <c r="A13" s="479" t="s">
        <v>209</v>
      </c>
      <c r="B13" s="4589" t="s">
        <v>3468</v>
      </c>
      <c r="C13" s="4589"/>
      <c r="D13" s="4589"/>
      <c r="E13" s="4589"/>
      <c r="F13" s="4589"/>
      <c r="G13" s="4589"/>
      <c r="H13" s="4589"/>
      <c r="I13" s="4589"/>
      <c r="J13" s="4589"/>
      <c r="K13" s="4589"/>
      <c r="L13" s="4591" t="s">
        <v>3387</v>
      </c>
      <c r="M13" s="4591"/>
    </row>
    <row r="14" spans="1:14">
      <c r="A14" s="479"/>
      <c r="B14" s="4555"/>
      <c r="C14" s="4555"/>
      <c r="D14" s="4555"/>
      <c r="E14" s="4555"/>
      <c r="F14" s="4555"/>
      <c r="G14" s="4555"/>
      <c r="H14" s="4555"/>
    </row>
    <row r="15" spans="1:14" ht="3" customHeight="1"/>
    <row r="16" spans="1:14">
      <c r="A16" s="479" t="s">
        <v>230</v>
      </c>
      <c r="B16" s="314" t="s">
        <v>3469</v>
      </c>
      <c r="L16" s="4592" t="s">
        <v>56</v>
      </c>
      <c r="M16" s="4592"/>
    </row>
    <row r="17" spans="1:19" ht="1.5" customHeight="1">
      <c r="L17" s="463"/>
      <c r="S17" s="2625"/>
    </row>
    <row r="18" spans="1:19" ht="12" customHeight="1">
      <c r="A18" s="479" t="s">
        <v>232</v>
      </c>
      <c r="B18" s="460" t="s">
        <v>3470</v>
      </c>
      <c r="C18" s="479"/>
      <c r="D18" s="479"/>
      <c r="E18" s="479"/>
      <c r="L18" s="4555" t="s">
        <v>2176</v>
      </c>
      <c r="M18" s="4555"/>
      <c r="S18" s="2625"/>
    </row>
    <row r="19" spans="1:19" ht="12" hidden="1" customHeight="1">
      <c r="B19" s="4555"/>
      <c r="C19" s="4555"/>
      <c r="D19" s="4555"/>
      <c r="E19" s="4555"/>
      <c r="F19" s="4555"/>
      <c r="G19" s="4555"/>
      <c r="H19" s="4555"/>
      <c r="S19" s="2625"/>
    </row>
    <row r="20" spans="1:19" ht="13.5" customHeight="1">
      <c r="S20" s="2625"/>
    </row>
    <row r="21" spans="1:19" ht="12" customHeight="1">
      <c r="A21" s="410" t="s">
        <v>3254</v>
      </c>
      <c r="S21" s="2625"/>
    </row>
    <row r="22" spans="1:19" ht="3" customHeight="1">
      <c r="S22" s="2625"/>
    </row>
    <row r="23" spans="1:19" ht="42.6" customHeight="1">
      <c r="A23" s="4593" t="s">
        <v>3471</v>
      </c>
      <c r="B23" s="4593"/>
      <c r="C23" s="4593"/>
      <c r="D23" s="4593"/>
      <c r="E23" s="4593"/>
      <c r="F23" s="4593"/>
      <c r="G23" s="4593"/>
      <c r="H23" s="4593"/>
      <c r="I23" s="4593"/>
      <c r="J23" s="4593"/>
      <c r="K23" s="4593"/>
      <c r="L23" s="4593"/>
      <c r="M23" s="4593"/>
      <c r="S23" s="2625"/>
    </row>
    <row r="24" spans="1:19" ht="18" customHeight="1">
      <c r="E24" s="2621" t="s">
        <v>792</v>
      </c>
      <c r="F24" s="2621" t="s">
        <v>1208</v>
      </c>
      <c r="G24" s="2621" t="s">
        <v>1209</v>
      </c>
      <c r="H24" s="2621" t="s">
        <v>1210</v>
      </c>
      <c r="I24" s="2621" t="s">
        <v>1211</v>
      </c>
      <c r="J24" s="2621" t="s">
        <v>299</v>
      </c>
      <c r="K24" s="314"/>
      <c r="S24" s="314"/>
    </row>
    <row r="25" spans="1:19" ht="14.25" customHeight="1">
      <c r="C25" s="557" t="s">
        <v>1214</v>
      </c>
      <c r="D25" s="321"/>
      <c r="E25" s="2827">
        <f>'Part V-Revenues &amp; Expenses'!K56</f>
        <v>0</v>
      </c>
      <c r="F25" s="1173">
        <f>'Part V-Revenues &amp; Expenses'!L56</f>
        <v>0</v>
      </c>
      <c r="G25" s="1173">
        <f>'Part V-Revenues &amp; Expenses'!M56</f>
        <v>0</v>
      </c>
      <c r="H25" s="1173">
        <f>'Part V-Revenues &amp; Expenses'!N56</f>
        <v>0</v>
      </c>
      <c r="I25" s="1173">
        <f>'Part V-Revenues &amp; Expenses'!O56</f>
        <v>0</v>
      </c>
      <c r="J25" s="2828">
        <f>'Part V-Revenues &amp; Expenses'!P56</f>
        <v>0</v>
      </c>
      <c r="K25" s="314"/>
      <c r="S25" s="314"/>
    </row>
    <row r="26" spans="1:19" ht="15" customHeight="1">
      <c r="C26" s="557" t="s">
        <v>1216</v>
      </c>
      <c r="D26" s="321"/>
      <c r="E26" s="1174">
        <f>'Part V-Revenues &amp; Expenses'!K57</f>
        <v>0</v>
      </c>
      <c r="F26" s="1175">
        <f>'Part V-Revenues &amp; Expenses'!L57</f>
        <v>0</v>
      </c>
      <c r="G26" s="1175">
        <f>'Part V-Revenues &amp; Expenses'!M57</f>
        <v>0</v>
      </c>
      <c r="H26" s="1175">
        <f>'Part V-Revenues &amp; Expenses'!N57</f>
        <v>0</v>
      </c>
      <c r="I26" s="1175">
        <f>'Part V-Revenues &amp; Expenses'!O57</f>
        <v>0</v>
      </c>
      <c r="J26" s="2060">
        <f>'Part V-Revenues &amp; Expenses'!P57</f>
        <v>0</v>
      </c>
      <c r="K26" s="314"/>
      <c r="S26" s="314"/>
    </row>
    <row r="27" spans="1:19" ht="15" customHeight="1">
      <c r="C27" s="557" t="s">
        <v>1217</v>
      </c>
      <c r="D27" s="321"/>
      <c r="E27" s="1174">
        <f>'Part V-Revenues &amp; Expenses'!K58</f>
        <v>0</v>
      </c>
      <c r="F27" s="1175">
        <f>'Part V-Revenues &amp; Expenses'!L58</f>
        <v>14</v>
      </c>
      <c r="G27" s="1175">
        <f>'Part V-Revenues &amp; Expenses'!M58</f>
        <v>15</v>
      </c>
      <c r="H27" s="1175">
        <f>'Part V-Revenues &amp; Expenses'!N58</f>
        <v>0</v>
      </c>
      <c r="I27" s="1175">
        <f>'Part V-Revenues &amp; Expenses'!O58</f>
        <v>0</v>
      </c>
      <c r="J27" s="2060">
        <f>'Part V-Revenues &amp; Expenses'!P58</f>
        <v>29</v>
      </c>
      <c r="K27" s="314"/>
      <c r="S27" s="314"/>
    </row>
    <row r="28" spans="1:19" ht="15" customHeight="1">
      <c r="C28" s="557" t="s">
        <v>1218</v>
      </c>
      <c r="D28" s="321"/>
      <c r="E28" s="1174">
        <f>'Part V-Revenues &amp; Expenses'!K59</f>
        <v>0</v>
      </c>
      <c r="F28" s="1175">
        <f>'Part V-Revenues &amp; Expenses'!L59</f>
        <v>17</v>
      </c>
      <c r="G28" s="1175">
        <f>'Part V-Revenues &amp; Expenses'!M59</f>
        <v>0</v>
      </c>
      <c r="H28" s="1175">
        <f>'Part V-Revenues &amp; Expenses'!N59</f>
        <v>0</v>
      </c>
      <c r="I28" s="1175">
        <f>'Part V-Revenues &amp; Expenses'!O59</f>
        <v>0</v>
      </c>
      <c r="J28" s="2060">
        <f>'Part V-Revenues &amp; Expenses'!P59</f>
        <v>17</v>
      </c>
      <c r="K28" s="314"/>
      <c r="S28" s="314"/>
    </row>
    <row r="29" spans="1:19" ht="13.15" customHeight="1">
      <c r="C29" s="557" t="s">
        <v>1219</v>
      </c>
      <c r="D29" s="321"/>
      <c r="E29" s="1174">
        <f>'Part V-Revenues &amp; Expenses'!K60</f>
        <v>0</v>
      </c>
      <c r="F29" s="1175">
        <f>'Part V-Revenues &amp; Expenses'!L60</f>
        <v>0</v>
      </c>
      <c r="G29" s="1175">
        <f>'Part V-Revenues &amp; Expenses'!M60</f>
        <v>0</v>
      </c>
      <c r="H29" s="1175">
        <f>'Part V-Revenues &amp; Expenses'!N60</f>
        <v>0</v>
      </c>
      <c r="I29" s="1175">
        <f>'Part V-Revenues &amp; Expenses'!O60</f>
        <v>0</v>
      </c>
      <c r="J29" s="2060">
        <f>'Part V-Revenues &amp; Expenses'!P60</f>
        <v>0</v>
      </c>
      <c r="K29" s="314"/>
      <c r="S29" s="314"/>
    </row>
    <row r="30" spans="1:19" ht="13.15" customHeight="1">
      <c r="C30" s="557" t="s">
        <v>1220</v>
      </c>
      <c r="D30" s="321"/>
      <c r="E30" s="1174">
        <f>'Part V-Revenues &amp; Expenses'!K61</f>
        <v>0</v>
      </c>
      <c r="F30" s="1175">
        <f>'Part V-Revenues &amp; Expenses'!L61</f>
        <v>6</v>
      </c>
      <c r="G30" s="1175">
        <f>'Part V-Revenues &amp; Expenses'!M61</f>
        <v>0</v>
      </c>
      <c r="H30" s="1175">
        <f>'Part V-Revenues &amp; Expenses'!N61</f>
        <v>0</v>
      </c>
      <c r="I30" s="1175">
        <f>'Part V-Revenues &amp; Expenses'!O61</f>
        <v>0</v>
      </c>
      <c r="J30" s="2060">
        <f>'Part V-Revenues &amp; Expenses'!P61</f>
        <v>6</v>
      </c>
      <c r="K30" s="314"/>
      <c r="S30" s="314"/>
    </row>
    <row r="31" spans="1:19" ht="13.15" customHeight="1">
      <c r="C31" s="557" t="s">
        <v>1221</v>
      </c>
      <c r="D31" s="321"/>
      <c r="E31" s="1174">
        <f>'Part V-Revenues &amp; Expenses'!K62</f>
        <v>0</v>
      </c>
      <c r="F31" s="1175">
        <f>'Part V-Revenues &amp; Expenses'!L62</f>
        <v>0</v>
      </c>
      <c r="G31" s="1175">
        <f>'Part V-Revenues &amp; Expenses'!M62</f>
        <v>0</v>
      </c>
      <c r="H31" s="1175">
        <f>'Part V-Revenues &amp; Expenses'!N62</f>
        <v>0</v>
      </c>
      <c r="I31" s="1175">
        <f>'Part V-Revenues &amp; Expenses'!O62</f>
        <v>0</v>
      </c>
      <c r="J31" s="2060">
        <f>'Part V-Revenues &amp; Expenses'!P62</f>
        <v>0</v>
      </c>
      <c r="K31" s="314"/>
      <c r="S31" s="314"/>
    </row>
    <row r="32" spans="1:19" ht="13.15" customHeight="1">
      <c r="C32" s="321" t="s">
        <v>299</v>
      </c>
      <c r="D32" s="321"/>
      <c r="E32" s="2061">
        <f>'Part V-Revenues &amp; Expenses'!K63</f>
        <v>0</v>
      </c>
      <c r="F32" s="2062">
        <f>'Part V-Revenues &amp; Expenses'!L63</f>
        <v>37</v>
      </c>
      <c r="G32" s="2062">
        <f>'Part V-Revenues &amp; Expenses'!M63</f>
        <v>15</v>
      </c>
      <c r="H32" s="2062">
        <f>'Part V-Revenues &amp; Expenses'!N63</f>
        <v>0</v>
      </c>
      <c r="I32" s="2062">
        <f>'Part V-Revenues &amp; Expenses'!O63</f>
        <v>0</v>
      </c>
      <c r="J32" s="1176">
        <f>'Part V-Revenues &amp; Expenses'!P63</f>
        <v>52</v>
      </c>
      <c r="K32" s="314"/>
      <c r="S32" s="314"/>
    </row>
    <row r="33" spans="1:12" s="314" customFormat="1" ht="13.15" customHeight="1" thickBot="1">
      <c r="K33" s="1095"/>
    </row>
    <row r="34" spans="1:12" s="314" customFormat="1" ht="14.25" customHeight="1" thickBot="1">
      <c r="A34" s="1095"/>
      <c r="B34" s="4603" t="s">
        <v>3497</v>
      </c>
      <c r="E34" s="4604" t="s">
        <v>3498</v>
      </c>
      <c r="F34" s="4605"/>
      <c r="G34" s="4605"/>
      <c r="H34" s="4605"/>
      <c r="I34" s="4605"/>
      <c r="J34" s="4605"/>
      <c r="K34" s="4605"/>
      <c r="L34" s="4606"/>
    </row>
    <row r="35" spans="1:12" s="314" customFormat="1" ht="14.25" customHeight="1">
      <c r="A35" s="1095"/>
      <c r="B35" s="4603"/>
      <c r="C35" s="4607" t="s">
        <v>3499</v>
      </c>
      <c r="D35" s="4603" t="s">
        <v>3500</v>
      </c>
      <c r="E35" s="4608" t="s">
        <v>3501</v>
      </c>
      <c r="F35" s="4609"/>
      <c r="G35" s="4612" t="s">
        <v>338</v>
      </c>
      <c r="H35" s="4614" t="s">
        <v>3502</v>
      </c>
      <c r="I35" s="4615"/>
      <c r="J35" s="4615"/>
      <c r="K35" s="4615"/>
      <c r="L35" s="4616"/>
    </row>
    <row r="36" spans="1:12" s="314" customFormat="1" ht="23.25" customHeight="1">
      <c r="A36" s="4607" t="s">
        <v>1207</v>
      </c>
      <c r="B36" s="4603"/>
      <c r="C36" s="4607"/>
      <c r="D36" s="4603"/>
      <c r="E36" s="4610"/>
      <c r="F36" s="4611"/>
      <c r="G36" s="4613"/>
      <c r="H36" s="4617" t="s">
        <v>3503</v>
      </c>
      <c r="I36" s="4618"/>
      <c r="J36" s="4621" t="s">
        <v>338</v>
      </c>
      <c r="K36" s="4618" t="s">
        <v>3504</v>
      </c>
      <c r="L36" s="4623"/>
    </row>
    <row r="37" spans="1:12" s="314" customFormat="1" ht="23.25" customHeight="1">
      <c r="A37" s="4607"/>
      <c r="B37" s="4603"/>
      <c r="C37" s="4607"/>
      <c r="D37" s="4603"/>
      <c r="E37" s="4610"/>
      <c r="F37" s="4611"/>
      <c r="G37" s="4613"/>
      <c r="H37" s="4617"/>
      <c r="I37" s="4618"/>
      <c r="J37" s="4622"/>
      <c r="K37" s="4618"/>
      <c r="L37" s="4623"/>
    </row>
    <row r="38" spans="1:12" s="314" customFormat="1" ht="23.25" customHeight="1">
      <c r="A38" s="4603"/>
      <c r="B38" s="4603"/>
      <c r="C38" s="4603"/>
      <c r="D38" s="4603"/>
      <c r="E38" s="4610"/>
      <c r="F38" s="4611"/>
      <c r="G38" s="4613"/>
      <c r="H38" s="4619"/>
      <c r="I38" s="4620"/>
      <c r="J38" s="4622"/>
      <c r="K38" s="4620"/>
      <c r="L38" s="4624"/>
    </row>
    <row r="39" spans="1:12" s="314" customFormat="1" ht="13.15" customHeight="1">
      <c r="A39" s="2829">
        <f>'Part V-Revenues &amp; Expenses'!B18</f>
        <v>30</v>
      </c>
      <c r="B39" s="1164">
        <f>'Part V-Revenues &amp; Expenses'!E18</f>
        <v>6</v>
      </c>
      <c r="C39" s="1165" t="str">
        <f>_xlfn.CONCAT('Part V-Revenues &amp; Expenses'!C18," / ",'Part V-Revenues &amp; Expenses'!D18)</f>
        <v>1 / 1</v>
      </c>
      <c r="D39" s="1164">
        <f>'Part V-Revenues &amp; Expenses'!F18</f>
        <v>653</v>
      </c>
      <c r="E39" s="4601">
        <f>'Part V-Revenues &amp; Expenses'!H18</f>
        <v>1441</v>
      </c>
      <c r="F39" s="4602"/>
      <c r="G39" s="321"/>
      <c r="H39" s="4628"/>
      <c r="I39" s="4629"/>
      <c r="J39" s="4629"/>
      <c r="K39" s="4629"/>
      <c r="L39" s="4630"/>
    </row>
    <row r="40" spans="1:12" s="314" customFormat="1" ht="13.15" customHeight="1">
      <c r="A40" s="1166">
        <f>'Part V-Revenues &amp; Expenses'!B19</f>
        <v>50</v>
      </c>
      <c r="B40" s="1167">
        <f>'Part V-Revenues &amp; Expenses'!E19</f>
        <v>17</v>
      </c>
      <c r="C40" s="1168" t="str">
        <f>_xlfn.CONCAT('Part V-Revenues &amp; Expenses'!C19," / ",'Part V-Revenues &amp; Expenses'!D19)</f>
        <v>1 / 1</v>
      </c>
      <c r="D40" s="1167">
        <f>'Part V-Revenues &amp; Expenses'!F19</f>
        <v>653</v>
      </c>
      <c r="E40" s="4599">
        <f>'Part V-Revenues &amp; Expenses'!H19</f>
        <v>1441</v>
      </c>
      <c r="F40" s="4600"/>
      <c r="G40" s="321"/>
      <c r="H40" s="4625"/>
      <c r="I40" s="4626"/>
      <c r="J40" s="4626"/>
      <c r="K40" s="4626"/>
      <c r="L40" s="4627"/>
    </row>
    <row r="41" spans="1:12" s="314" customFormat="1" ht="13.15" customHeight="1">
      <c r="A41" s="1166">
        <f>'Part V-Revenues &amp; Expenses'!B20</f>
        <v>60</v>
      </c>
      <c r="B41" s="1167">
        <f>'Part V-Revenues &amp; Expenses'!E20</f>
        <v>14</v>
      </c>
      <c r="C41" s="1168" t="str">
        <f>_xlfn.CONCAT('Part V-Revenues &amp; Expenses'!C20," / ",'Part V-Revenues &amp; Expenses'!D20)</f>
        <v>1 / 1</v>
      </c>
      <c r="D41" s="1167">
        <f>'Part V-Revenues &amp; Expenses'!F20</f>
        <v>653</v>
      </c>
      <c r="E41" s="4599">
        <f>'Part V-Revenues &amp; Expenses'!H20</f>
        <v>1009</v>
      </c>
      <c r="F41" s="4600"/>
      <c r="G41" s="321"/>
      <c r="H41" s="4625"/>
      <c r="I41" s="4626"/>
      <c r="J41" s="4626"/>
      <c r="K41" s="4626"/>
      <c r="L41" s="4627"/>
    </row>
    <row r="42" spans="1:12" s="314" customFormat="1" ht="13.15" customHeight="1">
      <c r="A42" s="1166">
        <f>'Part V-Revenues &amp; Expenses'!B21</f>
        <v>60</v>
      </c>
      <c r="B42" s="1167">
        <f>'Part V-Revenues &amp; Expenses'!E21</f>
        <v>15</v>
      </c>
      <c r="C42" s="1168" t="str">
        <f>_xlfn.CONCAT('Part V-Revenues &amp; Expenses'!C21," / ",'Part V-Revenues &amp; Expenses'!D21)</f>
        <v>2 / 2</v>
      </c>
      <c r="D42" s="1167">
        <f>'Part V-Revenues &amp; Expenses'!F21</f>
        <v>963</v>
      </c>
      <c r="E42" s="4599">
        <f>'Part V-Revenues &amp; Expenses'!H21</f>
        <v>1252</v>
      </c>
      <c r="F42" s="4600"/>
      <c r="G42" s="321"/>
      <c r="H42" s="4625"/>
      <c r="I42" s="4626"/>
      <c r="J42" s="4626"/>
      <c r="K42" s="4626"/>
      <c r="L42" s="4627"/>
    </row>
    <row r="43" spans="1:12" s="314" customFormat="1" ht="13.15" customHeight="1">
      <c r="A43" s="1166">
        <f>'Part V-Revenues &amp; Expenses'!B22</f>
        <v>0</v>
      </c>
      <c r="B43" s="1167">
        <f>'Part V-Revenues &amp; Expenses'!E22</f>
        <v>0</v>
      </c>
      <c r="C43" s="1168" t="str">
        <f>_xlfn.CONCAT('Part V-Revenues &amp; Expenses'!C22," / ",'Part V-Revenues &amp; Expenses'!D22)</f>
        <v xml:space="preserve"> / </v>
      </c>
      <c r="D43" s="1167">
        <f>'Part V-Revenues &amp; Expenses'!F22</f>
        <v>0</v>
      </c>
      <c r="E43" s="4599">
        <f>'Part V-Revenues &amp; Expenses'!H22</f>
        <v>0</v>
      </c>
      <c r="F43" s="4600"/>
      <c r="G43" s="321"/>
      <c r="H43" s="4625"/>
      <c r="I43" s="4626"/>
      <c r="J43" s="4626"/>
      <c r="K43" s="4626"/>
      <c r="L43" s="4627"/>
    </row>
    <row r="44" spans="1:12" s="314" customFormat="1" ht="13.15" customHeight="1">
      <c r="A44" s="1166">
        <f>'Part V-Revenues &amp; Expenses'!B23</f>
        <v>0</v>
      </c>
      <c r="B44" s="1167">
        <f>'Part V-Revenues &amp; Expenses'!E23</f>
        <v>0</v>
      </c>
      <c r="C44" s="1168" t="str">
        <f>_xlfn.CONCAT('Part V-Revenues &amp; Expenses'!C23," / ",'Part V-Revenues &amp; Expenses'!D23)</f>
        <v xml:space="preserve"> / </v>
      </c>
      <c r="D44" s="1167">
        <f>'Part V-Revenues &amp; Expenses'!F23</f>
        <v>0</v>
      </c>
      <c r="E44" s="4599">
        <f>'Part V-Revenues &amp; Expenses'!H23</f>
        <v>0</v>
      </c>
      <c r="F44" s="4600"/>
      <c r="G44" s="321"/>
      <c r="H44" s="4625"/>
      <c r="I44" s="4626"/>
      <c r="J44" s="4626"/>
      <c r="K44" s="4626"/>
      <c r="L44" s="4627"/>
    </row>
    <row r="45" spans="1:12" s="314" customFormat="1" ht="13.15" customHeight="1">
      <c r="A45" s="1166">
        <f>'Part V-Revenues &amp; Expenses'!B24</f>
        <v>0</v>
      </c>
      <c r="B45" s="1167">
        <f>'Part V-Revenues &amp; Expenses'!E24</f>
        <v>0</v>
      </c>
      <c r="C45" s="1168" t="str">
        <f>_xlfn.CONCAT('Part V-Revenues &amp; Expenses'!C24," / ",'Part V-Revenues &amp; Expenses'!D24)</f>
        <v xml:space="preserve"> / </v>
      </c>
      <c r="D45" s="1167">
        <f>'Part V-Revenues &amp; Expenses'!F24</f>
        <v>0</v>
      </c>
      <c r="E45" s="4599">
        <f>'Part V-Revenues &amp; Expenses'!H24</f>
        <v>0</v>
      </c>
      <c r="F45" s="4600"/>
      <c r="G45" s="321"/>
      <c r="H45" s="4625"/>
      <c r="I45" s="4626"/>
      <c r="J45" s="4626"/>
      <c r="K45" s="4626"/>
      <c r="L45" s="4627"/>
    </row>
    <row r="46" spans="1:12" s="314" customFormat="1" ht="13.15" customHeight="1">
      <c r="A46" s="1166">
        <f>'Part V-Revenues &amp; Expenses'!B25</f>
        <v>0</v>
      </c>
      <c r="B46" s="1167">
        <f>'Part V-Revenues &amp; Expenses'!E25</f>
        <v>0</v>
      </c>
      <c r="C46" s="1168" t="str">
        <f>_xlfn.CONCAT('Part V-Revenues &amp; Expenses'!C25," / ",'Part V-Revenues &amp; Expenses'!D25)</f>
        <v xml:space="preserve"> / </v>
      </c>
      <c r="D46" s="1167">
        <f>'Part V-Revenues &amp; Expenses'!F25</f>
        <v>0</v>
      </c>
      <c r="E46" s="4599">
        <f>'Part V-Revenues &amp; Expenses'!H25</f>
        <v>0</v>
      </c>
      <c r="F46" s="4600"/>
      <c r="G46" s="321"/>
      <c r="H46" s="4625"/>
      <c r="I46" s="4626"/>
      <c r="J46" s="4626"/>
      <c r="K46" s="4626"/>
      <c r="L46" s="4627"/>
    </row>
    <row r="47" spans="1:12" s="314" customFormat="1" ht="13.15" customHeight="1">
      <c r="A47" s="1166">
        <f>'Part V-Revenues &amp; Expenses'!B26</f>
        <v>0</v>
      </c>
      <c r="B47" s="1167">
        <f>'Part V-Revenues &amp; Expenses'!E26</f>
        <v>0</v>
      </c>
      <c r="C47" s="1168" t="str">
        <f>_xlfn.CONCAT('Part V-Revenues &amp; Expenses'!C26," / ",'Part V-Revenues &amp; Expenses'!D26)</f>
        <v xml:space="preserve"> / </v>
      </c>
      <c r="D47" s="1167">
        <f>'Part V-Revenues &amp; Expenses'!F26</f>
        <v>0</v>
      </c>
      <c r="E47" s="4599">
        <f>'Part V-Revenues &amp; Expenses'!H26</f>
        <v>0</v>
      </c>
      <c r="F47" s="4600"/>
      <c r="G47" s="321"/>
      <c r="H47" s="4625"/>
      <c r="I47" s="4626"/>
      <c r="J47" s="4626"/>
      <c r="K47" s="4626"/>
      <c r="L47" s="4627"/>
    </row>
    <row r="48" spans="1:12" s="314" customFormat="1" ht="13.15" customHeight="1">
      <c r="A48" s="1166">
        <f>'Part V-Revenues &amp; Expenses'!B27</f>
        <v>0</v>
      </c>
      <c r="B48" s="1167">
        <f>'Part V-Revenues &amp; Expenses'!E27</f>
        <v>0</v>
      </c>
      <c r="C48" s="1168" t="str">
        <f>_xlfn.CONCAT('Part V-Revenues &amp; Expenses'!C27," / ",'Part V-Revenues &amp; Expenses'!D27)</f>
        <v xml:space="preserve"> / </v>
      </c>
      <c r="D48" s="1167">
        <f>'Part V-Revenues &amp; Expenses'!F27</f>
        <v>0</v>
      </c>
      <c r="E48" s="4599">
        <f>'Part V-Revenues &amp; Expenses'!H27</f>
        <v>0</v>
      </c>
      <c r="F48" s="4600"/>
      <c r="G48" s="321"/>
      <c r="H48" s="4625"/>
      <c r="I48" s="4626"/>
      <c r="J48" s="4626"/>
      <c r="K48" s="4626"/>
      <c r="L48" s="4627"/>
    </row>
    <row r="49" spans="1:13" s="314" customFormat="1" ht="13.15" customHeight="1">
      <c r="A49" s="1166">
        <f>'Part V-Revenues &amp; Expenses'!B28</f>
        <v>0</v>
      </c>
      <c r="B49" s="1167">
        <f>'Part V-Revenues &amp; Expenses'!E28</f>
        <v>0</v>
      </c>
      <c r="C49" s="1168" t="str">
        <f>_xlfn.CONCAT('Part V-Revenues &amp; Expenses'!C28," / ",'Part V-Revenues &amp; Expenses'!D28)</f>
        <v xml:space="preserve"> / </v>
      </c>
      <c r="D49" s="1167">
        <f>'Part V-Revenues &amp; Expenses'!F28</f>
        <v>0</v>
      </c>
      <c r="E49" s="4599">
        <f>'Part V-Revenues &amp; Expenses'!H28</f>
        <v>0</v>
      </c>
      <c r="F49" s="4600"/>
      <c r="G49" s="321"/>
      <c r="H49" s="4625"/>
      <c r="I49" s="4626"/>
      <c r="J49" s="4626"/>
      <c r="K49" s="4626"/>
      <c r="L49" s="4627"/>
    </row>
    <row r="50" spans="1:13" s="314" customFormat="1" ht="13.15" customHeight="1">
      <c r="A50" s="1166">
        <f>'Part V-Revenues &amp; Expenses'!B29</f>
        <v>0</v>
      </c>
      <c r="B50" s="1167">
        <f>'Part V-Revenues &amp; Expenses'!E29</f>
        <v>0</v>
      </c>
      <c r="C50" s="1168" t="str">
        <f>_xlfn.CONCAT('Part V-Revenues &amp; Expenses'!C29," / ",'Part V-Revenues &amp; Expenses'!D29)</f>
        <v xml:space="preserve"> / </v>
      </c>
      <c r="D50" s="1167">
        <f>'Part V-Revenues &amp; Expenses'!F29</f>
        <v>0</v>
      </c>
      <c r="E50" s="4599">
        <f>'Part V-Revenues &amp; Expenses'!H29</f>
        <v>0</v>
      </c>
      <c r="F50" s="4600"/>
      <c r="G50" s="321"/>
      <c r="H50" s="4625"/>
      <c r="I50" s="4626"/>
      <c r="J50" s="4626"/>
      <c r="K50" s="4626"/>
      <c r="L50" s="4627"/>
    </row>
    <row r="51" spans="1:13" s="314" customFormat="1" ht="13.15" customHeight="1">
      <c r="A51" s="1166">
        <f>'Part V-Revenues &amp; Expenses'!B30</f>
        <v>0</v>
      </c>
      <c r="B51" s="1167">
        <f>'Part V-Revenues &amp; Expenses'!E30</f>
        <v>0</v>
      </c>
      <c r="C51" s="1168" t="str">
        <f>_xlfn.CONCAT('Part V-Revenues &amp; Expenses'!C30," / ",'Part V-Revenues &amp; Expenses'!D30)</f>
        <v xml:space="preserve"> / </v>
      </c>
      <c r="D51" s="1167">
        <f>'Part V-Revenues &amp; Expenses'!F30</f>
        <v>0</v>
      </c>
      <c r="E51" s="4599">
        <f>'Part V-Revenues &amp; Expenses'!H30</f>
        <v>0</v>
      </c>
      <c r="F51" s="4600"/>
      <c r="G51" s="321"/>
      <c r="H51" s="4625"/>
      <c r="I51" s="4626"/>
      <c r="J51" s="4626"/>
      <c r="K51" s="4626"/>
      <c r="L51" s="4627"/>
    </row>
    <row r="52" spans="1:13" s="314" customFormat="1" ht="13.15" customHeight="1">
      <c r="A52" s="1166">
        <f>'Part V-Revenues &amp; Expenses'!B31</f>
        <v>0</v>
      </c>
      <c r="B52" s="1167">
        <f>'Part V-Revenues &amp; Expenses'!E31</f>
        <v>0</v>
      </c>
      <c r="C52" s="1168" t="str">
        <f>_xlfn.CONCAT('Part V-Revenues &amp; Expenses'!C31," / ",'Part V-Revenues &amp; Expenses'!D31)</f>
        <v xml:space="preserve"> / </v>
      </c>
      <c r="D52" s="1167">
        <f>'Part V-Revenues &amp; Expenses'!F31</f>
        <v>0</v>
      </c>
      <c r="E52" s="4599">
        <f>'Part V-Revenues &amp; Expenses'!H31</f>
        <v>0</v>
      </c>
      <c r="F52" s="4600"/>
      <c r="G52" s="321"/>
      <c r="H52" s="4625"/>
      <c r="I52" s="4626"/>
      <c r="J52" s="4626"/>
      <c r="K52" s="4626"/>
      <c r="L52" s="4627"/>
    </row>
    <row r="53" spans="1:13" s="314" customFormat="1" ht="13.15" customHeight="1">
      <c r="A53" s="1166">
        <f>'Part V-Revenues &amp; Expenses'!B32</f>
        <v>0</v>
      </c>
      <c r="B53" s="1167">
        <f>'Part V-Revenues &amp; Expenses'!E32</f>
        <v>0</v>
      </c>
      <c r="C53" s="1168" t="str">
        <f>_xlfn.CONCAT('Part V-Revenues &amp; Expenses'!C32," / ",'Part V-Revenues &amp; Expenses'!D32)</f>
        <v xml:space="preserve"> / </v>
      </c>
      <c r="D53" s="1167">
        <f>'Part V-Revenues &amp; Expenses'!F32</f>
        <v>0</v>
      </c>
      <c r="E53" s="4599">
        <f>'Part V-Revenues &amp; Expenses'!H32</f>
        <v>0</v>
      </c>
      <c r="F53" s="4600"/>
      <c r="G53" s="321"/>
      <c r="H53" s="4625"/>
      <c r="I53" s="4626"/>
      <c r="J53" s="4626"/>
      <c r="K53" s="4626"/>
      <c r="L53" s="4627"/>
    </row>
    <row r="54" spans="1:13" s="314" customFormat="1" ht="13.15" customHeight="1">
      <c r="A54" s="1166">
        <f>'Part V-Revenues &amp; Expenses'!B33</f>
        <v>0</v>
      </c>
      <c r="B54" s="1167">
        <f>'Part V-Revenues &amp; Expenses'!E33</f>
        <v>0</v>
      </c>
      <c r="C54" s="1168" t="str">
        <f>_xlfn.CONCAT('Part V-Revenues &amp; Expenses'!C33," / ",'Part V-Revenues &amp; Expenses'!D33)</f>
        <v xml:space="preserve"> / </v>
      </c>
      <c r="D54" s="1167">
        <f>'Part V-Revenues &amp; Expenses'!F33</f>
        <v>0</v>
      </c>
      <c r="E54" s="4599">
        <f>'Part V-Revenues &amp; Expenses'!H33</f>
        <v>0</v>
      </c>
      <c r="F54" s="4600"/>
      <c r="G54" s="321"/>
      <c r="H54" s="4625"/>
      <c r="I54" s="4626"/>
      <c r="J54" s="4626"/>
      <c r="K54" s="4626"/>
      <c r="L54" s="4627"/>
    </row>
    <row r="55" spans="1:13" s="314" customFormat="1" ht="13.15" customHeight="1">
      <c r="A55" s="1166">
        <f>'Part V-Revenues &amp; Expenses'!B34</f>
        <v>0</v>
      </c>
      <c r="B55" s="1167">
        <f>'Part V-Revenues &amp; Expenses'!E34</f>
        <v>0</v>
      </c>
      <c r="C55" s="1168" t="str">
        <f>_xlfn.CONCAT('Part V-Revenues &amp; Expenses'!C34," / ",'Part V-Revenues &amp; Expenses'!D34)</f>
        <v xml:space="preserve"> / </v>
      </c>
      <c r="D55" s="1167">
        <f>'Part V-Revenues &amp; Expenses'!F34</f>
        <v>0</v>
      </c>
      <c r="E55" s="4599">
        <f>'Part V-Revenues &amp; Expenses'!H34</f>
        <v>0</v>
      </c>
      <c r="F55" s="4600"/>
      <c r="G55" s="321"/>
      <c r="H55" s="4625"/>
      <c r="I55" s="4626"/>
      <c r="J55" s="4626"/>
      <c r="K55" s="4626"/>
      <c r="L55" s="4627"/>
    </row>
    <row r="56" spans="1:13" s="314" customFormat="1" ht="13.15" customHeight="1">
      <c r="A56" s="1166">
        <f>'Part V-Revenues &amp; Expenses'!B35</f>
        <v>0</v>
      </c>
      <c r="B56" s="1167">
        <f>'Part V-Revenues &amp; Expenses'!E35</f>
        <v>0</v>
      </c>
      <c r="C56" s="1168" t="str">
        <f>_xlfn.CONCAT('Part V-Revenues &amp; Expenses'!C35," / ",'Part V-Revenues &amp; Expenses'!D35)</f>
        <v xml:space="preserve"> / </v>
      </c>
      <c r="D56" s="1167">
        <f>'Part V-Revenues &amp; Expenses'!F35</f>
        <v>0</v>
      </c>
      <c r="E56" s="4599">
        <f>'Part V-Revenues &amp; Expenses'!H35</f>
        <v>0</v>
      </c>
      <c r="F56" s="4600"/>
      <c r="G56" s="321"/>
      <c r="H56" s="4625"/>
      <c r="I56" s="4626"/>
      <c r="J56" s="4626"/>
      <c r="K56" s="4626"/>
      <c r="L56" s="4627"/>
    </row>
    <row r="57" spans="1:13" s="314" customFormat="1" ht="13.15" customHeight="1">
      <c r="A57" s="1166">
        <f>'Part V-Revenues &amp; Expenses'!B36</f>
        <v>0</v>
      </c>
      <c r="B57" s="1167">
        <f>'Part V-Revenues &amp; Expenses'!E36</f>
        <v>0</v>
      </c>
      <c r="C57" s="1168" t="str">
        <f>_xlfn.CONCAT('Part V-Revenues &amp; Expenses'!C36," / ",'Part V-Revenues &amp; Expenses'!D36)</f>
        <v xml:space="preserve"> / </v>
      </c>
      <c r="D57" s="1167">
        <f>'Part V-Revenues &amp; Expenses'!F36</f>
        <v>0</v>
      </c>
      <c r="E57" s="4599">
        <f>'Part V-Revenues &amp; Expenses'!H36</f>
        <v>0</v>
      </c>
      <c r="F57" s="4600"/>
      <c r="G57" s="321"/>
      <c r="H57" s="4625"/>
      <c r="I57" s="4626"/>
      <c r="J57" s="4626"/>
      <c r="K57" s="4626"/>
      <c r="L57" s="4627"/>
    </row>
    <row r="58" spans="1:13" s="314" customFormat="1" ht="13.15" customHeight="1">
      <c r="A58" s="1166">
        <f>'Part V-Revenues &amp; Expenses'!B37</f>
        <v>0</v>
      </c>
      <c r="B58" s="1167">
        <f>'Part V-Revenues &amp; Expenses'!E37</f>
        <v>0</v>
      </c>
      <c r="C58" s="1168" t="str">
        <f>_xlfn.CONCAT('Part V-Revenues &amp; Expenses'!C37," / ",'Part V-Revenues &amp; Expenses'!D37)</f>
        <v xml:space="preserve"> / </v>
      </c>
      <c r="D58" s="1167">
        <f>'Part V-Revenues &amp; Expenses'!F37</f>
        <v>0</v>
      </c>
      <c r="E58" s="4599">
        <f>'Part V-Revenues &amp; Expenses'!H37</f>
        <v>0</v>
      </c>
      <c r="F58" s="4600"/>
      <c r="G58" s="321"/>
      <c r="H58" s="4625"/>
      <c r="I58" s="4626"/>
      <c r="J58" s="4626"/>
      <c r="K58" s="4626"/>
      <c r="L58" s="4627"/>
    </row>
    <row r="59" spans="1:13" s="314" customFormat="1" ht="13.15" customHeight="1">
      <c r="A59" s="1166">
        <f>'Part V-Revenues &amp; Expenses'!B38</f>
        <v>0</v>
      </c>
      <c r="B59" s="1167">
        <f>'Part V-Revenues &amp; Expenses'!E38</f>
        <v>0</v>
      </c>
      <c r="C59" s="1168" t="str">
        <f>_xlfn.CONCAT('Part V-Revenues &amp; Expenses'!C38," / ",'Part V-Revenues &amp; Expenses'!D38)</f>
        <v xml:space="preserve"> / </v>
      </c>
      <c r="D59" s="1167">
        <f>'Part V-Revenues &amp; Expenses'!F38</f>
        <v>0</v>
      </c>
      <c r="E59" s="4599">
        <f>'Part V-Revenues &amp; Expenses'!H38</f>
        <v>0</v>
      </c>
      <c r="F59" s="4600"/>
      <c r="G59" s="321"/>
      <c r="H59" s="4625"/>
      <c r="I59" s="4626"/>
      <c r="J59" s="4626"/>
      <c r="K59" s="4626"/>
      <c r="L59" s="4627"/>
    </row>
    <row r="60" spans="1:13" s="314" customFormat="1" ht="13.15" customHeight="1">
      <c r="A60" s="1166">
        <f>'Part V-Revenues &amp; Expenses'!B39</f>
        <v>0</v>
      </c>
      <c r="B60" s="1167">
        <f>'Part V-Revenues &amp; Expenses'!E39</f>
        <v>0</v>
      </c>
      <c r="C60" s="1168" t="str">
        <f>_xlfn.CONCAT('Part V-Revenues &amp; Expenses'!C39," / ",'Part V-Revenues &amp; Expenses'!D39)</f>
        <v xml:space="preserve"> / </v>
      </c>
      <c r="D60" s="1167">
        <f>'Part V-Revenues &amp; Expenses'!F39</f>
        <v>0</v>
      </c>
      <c r="E60" s="4599">
        <f>'Part V-Revenues &amp; Expenses'!H39</f>
        <v>0</v>
      </c>
      <c r="F60" s="4600"/>
      <c r="G60" s="321"/>
      <c r="H60" s="4625"/>
      <c r="I60" s="4626"/>
      <c r="J60" s="4626"/>
      <c r="K60" s="4626"/>
      <c r="L60" s="4627"/>
      <c r="M60" s="2621"/>
    </row>
    <row r="61" spans="1:13" s="314" customFormat="1" ht="13.15" customHeight="1">
      <c r="A61" s="1166">
        <f>'Part V-Revenues &amp; Expenses'!B40</f>
        <v>0</v>
      </c>
      <c r="B61" s="1167">
        <f>'Part V-Revenues &amp; Expenses'!E40</f>
        <v>0</v>
      </c>
      <c r="C61" s="1168" t="str">
        <f>_xlfn.CONCAT('Part V-Revenues &amp; Expenses'!C40," / ",'Part V-Revenues &amp; Expenses'!D40)</f>
        <v xml:space="preserve"> / </v>
      </c>
      <c r="D61" s="1167">
        <f>'Part V-Revenues &amp; Expenses'!F40</f>
        <v>0</v>
      </c>
      <c r="E61" s="4599">
        <f>'Part V-Revenues &amp; Expenses'!H40</f>
        <v>0</v>
      </c>
      <c r="F61" s="4600"/>
      <c r="G61" s="321"/>
      <c r="H61" s="4625"/>
      <c r="I61" s="4626"/>
      <c r="J61" s="4626"/>
      <c r="K61" s="4626"/>
      <c r="L61" s="4627"/>
      <c r="M61" s="2621"/>
    </row>
    <row r="62" spans="1:13" s="314" customFormat="1" ht="13.15" customHeight="1">
      <c r="A62" s="1166">
        <f>'Part V-Revenues &amp; Expenses'!B41</f>
        <v>0</v>
      </c>
      <c r="B62" s="1167">
        <f>'Part V-Revenues &amp; Expenses'!E41</f>
        <v>0</v>
      </c>
      <c r="C62" s="1168" t="str">
        <f>_xlfn.CONCAT('Part V-Revenues &amp; Expenses'!C41," / ",'Part V-Revenues &amp; Expenses'!D41)</f>
        <v xml:space="preserve"> / </v>
      </c>
      <c r="D62" s="1167">
        <f>'Part V-Revenues &amp; Expenses'!F41</f>
        <v>0</v>
      </c>
      <c r="E62" s="4599">
        <f>'Part V-Revenues &amp; Expenses'!H41</f>
        <v>0</v>
      </c>
      <c r="F62" s="4600"/>
      <c r="G62" s="321"/>
      <c r="H62" s="4625"/>
      <c r="I62" s="4626"/>
      <c r="J62" s="4626"/>
      <c r="K62" s="4626"/>
      <c r="L62" s="4627"/>
      <c r="M62" s="2621"/>
    </row>
    <row r="63" spans="1:13" s="314" customFormat="1" ht="13.15" customHeight="1">
      <c r="A63" s="1166">
        <f>'Part V-Revenues &amp; Expenses'!B42</f>
        <v>0</v>
      </c>
      <c r="B63" s="1167">
        <f>'Part V-Revenues &amp; Expenses'!E42</f>
        <v>0</v>
      </c>
      <c r="C63" s="1168" t="str">
        <f>_xlfn.CONCAT('Part V-Revenues &amp; Expenses'!C42," / ",'Part V-Revenues &amp; Expenses'!D42)</f>
        <v xml:space="preserve"> / </v>
      </c>
      <c r="D63" s="1167">
        <f>'Part V-Revenues &amp; Expenses'!F42</f>
        <v>0</v>
      </c>
      <c r="E63" s="4599">
        <f>'Part V-Revenues &amp; Expenses'!H42</f>
        <v>0</v>
      </c>
      <c r="F63" s="4600"/>
      <c r="G63" s="321"/>
      <c r="H63" s="4625"/>
      <c r="I63" s="4626"/>
      <c r="J63" s="4626"/>
      <c r="K63" s="4626"/>
      <c r="L63" s="4627"/>
      <c r="M63" s="2621"/>
    </row>
    <row r="64" spans="1:13" s="314" customFormat="1" ht="13.15" customHeight="1">
      <c r="A64" s="1166">
        <f>'Part V-Revenues &amp; Expenses'!B43</f>
        <v>0</v>
      </c>
      <c r="B64" s="1167">
        <f>'Part V-Revenues &amp; Expenses'!E43</f>
        <v>0</v>
      </c>
      <c r="C64" s="1168" t="str">
        <f>_xlfn.CONCAT('Part V-Revenues &amp; Expenses'!C43," / ",'Part V-Revenues &amp; Expenses'!D43)</f>
        <v xml:space="preserve"> / </v>
      </c>
      <c r="D64" s="1167">
        <f>'Part V-Revenues &amp; Expenses'!F43</f>
        <v>0</v>
      </c>
      <c r="E64" s="4599">
        <f>'Part V-Revenues &amp; Expenses'!H43</f>
        <v>0</v>
      </c>
      <c r="F64" s="4600"/>
      <c r="G64" s="321"/>
      <c r="H64" s="4625"/>
      <c r="I64" s="4626"/>
      <c r="J64" s="4626"/>
      <c r="K64" s="4626"/>
      <c r="L64" s="4627"/>
      <c r="M64" s="2621"/>
    </row>
    <row r="65" spans="1:19" ht="13.15" customHeight="1">
      <c r="A65" s="1166">
        <f>'Part V-Revenues &amp; Expenses'!B44</f>
        <v>0</v>
      </c>
      <c r="B65" s="1167">
        <f>'Part V-Revenues &amp; Expenses'!E44</f>
        <v>0</v>
      </c>
      <c r="C65" s="1168" t="str">
        <f>_xlfn.CONCAT('Part V-Revenues &amp; Expenses'!C44," / ",'Part V-Revenues &amp; Expenses'!D44)</f>
        <v xml:space="preserve"> / </v>
      </c>
      <c r="D65" s="1167">
        <f>'Part V-Revenues &amp; Expenses'!F44</f>
        <v>0</v>
      </c>
      <c r="E65" s="4599">
        <f>'Part V-Revenues &amp; Expenses'!H44</f>
        <v>0</v>
      </c>
      <c r="F65" s="4600"/>
      <c r="G65" s="321"/>
      <c r="H65" s="4625"/>
      <c r="I65" s="4626"/>
      <c r="J65" s="4626"/>
      <c r="K65" s="4626"/>
      <c r="L65" s="4627"/>
      <c r="M65" s="2621"/>
      <c r="S65" s="314"/>
    </row>
    <row r="66" spans="1:19" ht="13.15" customHeight="1">
      <c r="A66" s="1166">
        <f>'Part V-Revenues &amp; Expenses'!B45</f>
        <v>0</v>
      </c>
      <c r="B66" s="1167">
        <f>'Part V-Revenues &amp; Expenses'!E45</f>
        <v>0</v>
      </c>
      <c r="C66" s="1168" t="str">
        <f>_xlfn.CONCAT('Part V-Revenues &amp; Expenses'!C45," / ",'Part V-Revenues &amp; Expenses'!D45)</f>
        <v xml:space="preserve"> / </v>
      </c>
      <c r="D66" s="1167">
        <f>'Part V-Revenues &amp; Expenses'!F45</f>
        <v>0</v>
      </c>
      <c r="E66" s="4599">
        <f>'Part V-Revenues &amp; Expenses'!H45</f>
        <v>0</v>
      </c>
      <c r="F66" s="4600"/>
      <c r="G66" s="321"/>
      <c r="H66" s="4625"/>
      <c r="I66" s="4626"/>
      <c r="J66" s="4626"/>
      <c r="K66" s="4626"/>
      <c r="L66" s="4627"/>
      <c r="M66" s="2621"/>
      <c r="S66" s="314"/>
    </row>
    <row r="67" spans="1:19" ht="13.15" customHeight="1">
      <c r="A67" s="1166">
        <f>'Part V-Revenues &amp; Expenses'!B46</f>
        <v>0</v>
      </c>
      <c r="B67" s="1167">
        <f>'Part V-Revenues &amp; Expenses'!E46</f>
        <v>0</v>
      </c>
      <c r="C67" s="1168" t="str">
        <f>_xlfn.CONCAT('Part V-Revenues &amp; Expenses'!C46," / ",'Part V-Revenues &amp; Expenses'!D46)</f>
        <v xml:space="preserve"> / </v>
      </c>
      <c r="D67" s="1167">
        <f>'Part V-Revenues &amp; Expenses'!F46</f>
        <v>0</v>
      </c>
      <c r="E67" s="4599">
        <f>'Part V-Revenues &amp; Expenses'!H46</f>
        <v>0</v>
      </c>
      <c r="F67" s="4600"/>
      <c r="G67" s="321"/>
      <c r="H67" s="4625"/>
      <c r="I67" s="4626"/>
      <c r="J67" s="4626"/>
      <c r="K67" s="4626"/>
      <c r="L67" s="4627"/>
      <c r="M67" s="2621"/>
      <c r="S67" s="314"/>
    </row>
    <row r="68" spans="1:19" ht="13.15" customHeight="1">
      <c r="A68" s="1166">
        <f>'Part V-Revenues &amp; Expenses'!B47</f>
        <v>0</v>
      </c>
      <c r="B68" s="1167">
        <f>'Part V-Revenues &amp; Expenses'!E47</f>
        <v>0</v>
      </c>
      <c r="C68" s="1168" t="str">
        <f>_xlfn.CONCAT('Part V-Revenues &amp; Expenses'!C47," / ",'Part V-Revenues &amp; Expenses'!D47)</f>
        <v xml:space="preserve"> / </v>
      </c>
      <c r="D68" s="1167">
        <f>'Part V-Revenues &amp; Expenses'!F47</f>
        <v>0</v>
      </c>
      <c r="E68" s="4599">
        <f>'Part V-Revenues &amp; Expenses'!H47</f>
        <v>0</v>
      </c>
      <c r="F68" s="4600"/>
      <c r="G68" s="321"/>
      <c r="H68" s="4625"/>
      <c r="I68" s="4626"/>
      <c r="J68" s="4626"/>
      <c r="K68" s="4626"/>
      <c r="L68" s="4627"/>
      <c r="M68" s="2621"/>
      <c r="S68" s="314"/>
    </row>
    <row r="69" spans="1:19" ht="13.15" customHeight="1">
      <c r="A69" s="1169">
        <f>'Part V-Revenues &amp; Expenses'!B48</f>
        <v>0</v>
      </c>
      <c r="B69" s="1170">
        <f>'Part V-Revenues &amp; Expenses'!E48</f>
        <v>0</v>
      </c>
      <c r="C69" s="1171" t="str">
        <f>_xlfn.CONCAT('Part V-Revenues &amp; Expenses'!C48," / ",'Part V-Revenues &amp; Expenses'!D48)</f>
        <v xml:space="preserve"> / </v>
      </c>
      <c r="D69" s="1170">
        <f>'Part V-Revenues &amp; Expenses'!F48</f>
        <v>0</v>
      </c>
      <c r="E69" s="4597">
        <f>'Part V-Revenues &amp; Expenses'!H48</f>
        <v>0</v>
      </c>
      <c r="F69" s="4598"/>
      <c r="G69" s="1172"/>
      <c r="H69" s="4631"/>
      <c r="I69" s="4632"/>
      <c r="J69" s="4632"/>
      <c r="K69" s="4632"/>
      <c r="L69" s="4633"/>
      <c r="M69" s="2621"/>
      <c r="S69" s="314"/>
    </row>
    <row r="70" spans="1:19" ht="13.15" customHeight="1">
      <c r="C70" s="1095"/>
      <c r="F70" s="2621"/>
      <c r="G70" s="2621"/>
      <c r="H70" s="2621"/>
      <c r="I70" s="2621"/>
      <c r="J70" s="2621"/>
      <c r="K70" s="1094"/>
      <c r="L70" s="2621"/>
      <c r="M70" s="2621"/>
      <c r="S70" s="314"/>
    </row>
    <row r="71" spans="1:19" ht="13.15" customHeight="1">
      <c r="C71" s="1095"/>
      <c r="F71" s="2621"/>
      <c r="G71" s="2621"/>
      <c r="H71" s="2621"/>
      <c r="I71" s="2621"/>
      <c r="J71" s="2621"/>
      <c r="K71" s="1094"/>
      <c r="L71" s="2621"/>
      <c r="M71" s="2621"/>
      <c r="S71" s="314"/>
    </row>
    <row r="72" spans="1:19" ht="13.15" customHeight="1">
      <c r="C72" s="1095"/>
      <c r="F72" s="2621"/>
      <c r="G72" s="2621"/>
      <c r="H72" s="2621"/>
      <c r="I72" s="2621"/>
      <c r="J72" s="2621"/>
      <c r="K72" s="1094"/>
      <c r="L72" s="2621"/>
      <c r="M72" s="2621"/>
      <c r="S72" s="314"/>
    </row>
    <row r="73" spans="1:19" ht="13.15" customHeight="1">
      <c r="C73" s="1095"/>
      <c r="F73" s="2621"/>
      <c r="G73" s="2621"/>
      <c r="H73" s="2621"/>
      <c r="I73" s="2621"/>
      <c r="J73" s="2621"/>
      <c r="K73" s="1094"/>
      <c r="L73" s="2621"/>
      <c r="M73" s="2621"/>
      <c r="S73" s="314"/>
    </row>
    <row r="74" spans="1:19" ht="13.15" customHeight="1">
      <c r="C74" s="1095"/>
      <c r="F74" s="2621"/>
      <c r="G74" s="2621"/>
      <c r="H74" s="2621"/>
      <c r="I74" s="2621"/>
      <c r="J74" s="2621"/>
      <c r="K74" s="1094"/>
      <c r="L74" s="2621"/>
      <c r="M74" s="2621"/>
      <c r="S74" s="314"/>
    </row>
    <row r="75" spans="1:19" ht="13.15" customHeight="1">
      <c r="C75" s="1095"/>
      <c r="F75" s="2621"/>
      <c r="G75" s="2621"/>
      <c r="H75" s="2621"/>
      <c r="I75" s="2621"/>
      <c r="J75" s="2621"/>
      <c r="K75" s="1094"/>
      <c r="L75" s="2621"/>
      <c r="M75" s="2621"/>
      <c r="S75" s="314"/>
    </row>
    <row r="76" spans="1:19" ht="13.15" customHeight="1">
      <c r="C76" s="1095"/>
      <c r="F76" s="2621"/>
      <c r="G76" s="2621"/>
      <c r="H76" s="2621"/>
      <c r="I76" s="2621"/>
      <c r="J76" s="2621"/>
      <c r="K76" s="1094"/>
      <c r="L76" s="2621"/>
      <c r="M76" s="2621"/>
      <c r="S76" s="314"/>
    </row>
    <row r="77" spans="1:19" ht="13.15" customHeight="1">
      <c r="C77" s="1095"/>
      <c r="F77" s="2621"/>
      <c r="G77" s="2621"/>
      <c r="H77" s="2621"/>
      <c r="I77" s="2621"/>
      <c r="J77" s="2621"/>
      <c r="K77" s="1094"/>
      <c r="L77" s="2621"/>
      <c r="M77" s="2621"/>
      <c r="S77" s="314"/>
    </row>
    <row r="78" spans="1:19" ht="13.15" customHeight="1">
      <c r="C78" s="1095"/>
      <c r="F78" s="2621"/>
      <c r="G78" s="2621"/>
      <c r="H78" s="2621"/>
      <c r="I78" s="2621"/>
      <c r="J78" s="2621"/>
      <c r="K78" s="1094"/>
      <c r="L78" s="2621"/>
      <c r="M78" s="2621"/>
      <c r="S78" s="314"/>
    </row>
    <row r="79" spans="1:19" ht="13.15" customHeight="1">
      <c r="C79" s="1095"/>
      <c r="F79" s="2621"/>
      <c r="G79" s="2621"/>
      <c r="H79" s="2621"/>
      <c r="I79" s="2621"/>
      <c r="J79" s="2621"/>
      <c r="K79" s="1094"/>
      <c r="L79" s="2621"/>
      <c r="M79" s="2621"/>
      <c r="S79" s="314"/>
    </row>
    <row r="80" spans="1:19" ht="13.15" customHeight="1">
      <c r="C80" s="1095"/>
      <c r="F80" s="2621"/>
      <c r="G80" s="2621"/>
      <c r="H80" s="2621"/>
      <c r="I80" s="2621"/>
      <c r="J80" s="2621"/>
      <c r="K80" s="1094"/>
      <c r="L80" s="2621"/>
      <c r="M80" s="2621"/>
      <c r="S80" s="314"/>
    </row>
    <row r="81" spans="3:19" ht="13.15" customHeight="1">
      <c r="C81" s="1095"/>
      <c r="F81" s="2621"/>
      <c r="G81" s="2621"/>
      <c r="H81" s="2621"/>
      <c r="I81" s="2621"/>
      <c r="J81" s="2621"/>
      <c r="K81" s="1094"/>
      <c r="L81" s="2621"/>
      <c r="M81" s="2621"/>
      <c r="S81" s="314"/>
    </row>
    <row r="82" spans="3:19" ht="13.15" customHeight="1">
      <c r="C82" s="1095"/>
      <c r="F82" s="2621"/>
      <c r="G82" s="2621"/>
      <c r="H82" s="2621"/>
      <c r="I82" s="2621"/>
      <c r="J82" s="2621"/>
      <c r="K82" s="1094"/>
      <c r="L82" s="2621"/>
      <c r="M82" s="2621"/>
      <c r="S82" s="314"/>
    </row>
    <row r="83" spans="3:19" ht="13.15" customHeight="1">
      <c r="C83" s="1095"/>
      <c r="F83" s="2621"/>
      <c r="G83" s="2621"/>
      <c r="H83" s="2621"/>
      <c r="I83" s="2621"/>
      <c r="J83" s="2621"/>
      <c r="K83" s="1094"/>
      <c r="L83" s="2621"/>
      <c r="M83" s="2621"/>
      <c r="S83" s="314"/>
    </row>
    <row r="84" spans="3:19" ht="13.15" customHeight="1">
      <c r="C84" s="1095"/>
      <c r="F84" s="2621"/>
      <c r="G84" s="2621"/>
      <c r="H84" s="2621"/>
      <c r="I84" s="2621"/>
      <c r="J84" s="2621"/>
      <c r="K84" s="1094"/>
      <c r="L84" s="2621"/>
      <c r="M84" s="2621"/>
      <c r="S84" s="314"/>
    </row>
    <row r="85" spans="3:19" ht="13.15" customHeight="1">
      <c r="C85" s="1095"/>
      <c r="F85" s="2621"/>
      <c r="G85" s="2621"/>
      <c r="H85" s="2621"/>
      <c r="I85" s="2621"/>
      <c r="J85" s="2621"/>
      <c r="K85" s="1094"/>
      <c r="L85" s="2621"/>
      <c r="M85" s="2621"/>
      <c r="S85" s="314"/>
    </row>
    <row r="86" spans="3:19" ht="13.15" customHeight="1">
      <c r="C86" s="1095"/>
      <c r="F86" s="2621"/>
      <c r="G86" s="2621"/>
      <c r="H86" s="2621"/>
      <c r="I86" s="2621"/>
      <c r="J86" s="2621"/>
      <c r="K86" s="1094"/>
      <c r="L86" s="2621"/>
      <c r="M86" s="2621"/>
      <c r="S86" s="314"/>
    </row>
    <row r="87" spans="3:19" ht="13.15" customHeight="1">
      <c r="C87" s="1095"/>
      <c r="F87" s="2621"/>
      <c r="G87" s="2621"/>
      <c r="H87" s="2621"/>
      <c r="I87" s="2621"/>
      <c r="J87" s="2621"/>
      <c r="K87" s="1094"/>
      <c r="L87" s="2621"/>
      <c r="M87" s="2621"/>
      <c r="S87" s="314"/>
    </row>
    <row r="88" spans="3:19" ht="13.15" customHeight="1">
      <c r="C88" s="1095"/>
      <c r="F88" s="2621"/>
      <c r="G88" s="2621"/>
      <c r="H88" s="2621"/>
      <c r="I88" s="2621"/>
      <c r="J88" s="2621"/>
      <c r="K88" s="1094"/>
      <c r="L88" s="2621"/>
      <c r="M88" s="2621"/>
      <c r="S88" s="314"/>
    </row>
    <row r="89" spans="3:19" ht="13.15" customHeight="1">
      <c r="C89" s="1095"/>
      <c r="F89" s="2621"/>
      <c r="G89" s="2621"/>
      <c r="H89" s="2621"/>
      <c r="I89" s="2621"/>
      <c r="J89" s="2621"/>
      <c r="K89" s="1094"/>
      <c r="L89" s="2621"/>
      <c r="M89" s="2621"/>
      <c r="S89" s="314"/>
    </row>
    <row r="90" spans="3:19" ht="13.15" customHeight="1">
      <c r="C90" s="1095"/>
      <c r="F90" s="2621"/>
      <c r="G90" s="2621"/>
      <c r="H90" s="2621"/>
      <c r="I90" s="2621"/>
      <c r="J90" s="2621"/>
      <c r="K90" s="1094"/>
      <c r="L90" s="2621"/>
      <c r="M90" s="2621"/>
      <c r="S90" s="314"/>
    </row>
    <row r="91" spans="3:19" ht="13.15" customHeight="1">
      <c r="C91" s="1095"/>
      <c r="F91" s="2621"/>
      <c r="G91" s="2621"/>
      <c r="H91" s="2621"/>
      <c r="I91" s="2621"/>
      <c r="J91" s="2621"/>
      <c r="K91" s="1094"/>
      <c r="L91" s="2621"/>
      <c r="M91" s="2621"/>
      <c r="S91" s="314"/>
    </row>
    <row r="92" spans="3:19" ht="13.15" customHeight="1">
      <c r="C92" s="1095"/>
      <c r="F92" s="2621"/>
      <c r="G92" s="2621"/>
      <c r="H92" s="2621"/>
      <c r="I92" s="2621"/>
      <c r="J92" s="2621"/>
      <c r="K92" s="1094"/>
      <c r="L92" s="2621"/>
      <c r="M92" s="2621"/>
      <c r="S92" s="314"/>
    </row>
    <row r="93" spans="3:19" ht="13.15" customHeight="1">
      <c r="C93" s="1095"/>
      <c r="F93" s="2621"/>
      <c r="G93" s="2621"/>
      <c r="H93" s="2621"/>
      <c r="I93" s="2621"/>
      <c r="J93" s="2621"/>
      <c r="K93" s="1094"/>
      <c r="L93" s="2621"/>
      <c r="M93" s="2621"/>
      <c r="S93" s="314"/>
    </row>
    <row r="94" spans="3:19" ht="13.15" customHeight="1">
      <c r="C94" s="1095"/>
      <c r="F94" s="2621"/>
      <c r="G94" s="2621"/>
      <c r="H94" s="2621"/>
      <c r="I94" s="2621"/>
      <c r="J94" s="2621"/>
      <c r="K94" s="1094"/>
      <c r="L94" s="2621"/>
      <c r="M94" s="2621"/>
      <c r="S94" s="314"/>
    </row>
    <row r="95" spans="3:19" ht="13.15" customHeight="1">
      <c r="C95" s="1095"/>
      <c r="F95" s="2621"/>
      <c r="G95" s="2621"/>
      <c r="H95" s="2621"/>
      <c r="I95" s="2621"/>
      <c r="J95" s="2621"/>
      <c r="K95" s="1094"/>
      <c r="L95" s="2621"/>
      <c r="M95" s="2621"/>
      <c r="S95" s="314"/>
    </row>
    <row r="96" spans="3:19" ht="13.15" customHeight="1">
      <c r="C96" s="1095"/>
      <c r="F96" s="2621"/>
      <c r="G96" s="2621"/>
      <c r="H96" s="2621"/>
      <c r="I96" s="2621"/>
      <c r="J96" s="2621"/>
      <c r="K96" s="1094"/>
      <c r="L96" s="2621"/>
      <c r="M96" s="2621"/>
      <c r="S96" s="314"/>
    </row>
    <row r="97" spans="3:19" ht="13.15" customHeight="1">
      <c r="C97" s="1095"/>
      <c r="F97" s="2621"/>
      <c r="G97" s="2621"/>
      <c r="H97" s="2621"/>
      <c r="I97" s="2621"/>
      <c r="J97" s="2621"/>
      <c r="K97" s="1094"/>
      <c r="L97" s="2621"/>
      <c r="M97" s="2621"/>
      <c r="S97" s="314"/>
    </row>
    <row r="98" spans="3:19" ht="13.15" customHeight="1">
      <c r="C98" s="1095"/>
      <c r="F98" s="2621"/>
      <c r="G98" s="2621"/>
      <c r="H98" s="2621"/>
      <c r="I98" s="2621"/>
      <c r="J98" s="2621"/>
      <c r="K98" s="1094"/>
      <c r="L98" s="2621"/>
      <c r="M98" s="2621"/>
      <c r="S98" s="314"/>
    </row>
    <row r="99" spans="3:19" ht="13.15" customHeight="1">
      <c r="C99" s="1095"/>
      <c r="F99" s="2621"/>
      <c r="G99" s="2621"/>
      <c r="H99" s="2621"/>
      <c r="I99" s="2621"/>
      <c r="J99" s="2621"/>
      <c r="K99" s="1094"/>
      <c r="L99" s="2621"/>
      <c r="M99" s="2621"/>
      <c r="S99" s="314"/>
    </row>
    <row r="100" spans="3:19" ht="13.15" customHeight="1">
      <c r="C100" s="1095"/>
      <c r="F100" s="2621"/>
      <c r="G100" s="2621"/>
      <c r="H100" s="2621"/>
      <c r="I100" s="2621"/>
      <c r="J100" s="2621"/>
      <c r="K100" s="1094"/>
      <c r="L100" s="2621"/>
      <c r="M100" s="2621"/>
      <c r="S100" s="314"/>
    </row>
    <row r="101" spans="3:19" ht="13.15" customHeight="1">
      <c r="C101" s="1095"/>
      <c r="F101" s="2621"/>
      <c r="G101" s="2621"/>
      <c r="H101" s="2621"/>
      <c r="I101" s="2621"/>
      <c r="J101" s="2621"/>
      <c r="K101" s="1094"/>
      <c r="L101" s="2621"/>
      <c r="M101" s="2621"/>
      <c r="S101" s="314"/>
    </row>
    <row r="102" spans="3:19" ht="13.15" customHeight="1">
      <c r="C102" s="1095"/>
      <c r="F102" s="2621"/>
      <c r="G102" s="2621"/>
      <c r="H102" s="2621"/>
      <c r="I102" s="2621"/>
      <c r="J102" s="2621"/>
      <c r="K102" s="1094"/>
      <c r="L102" s="2621"/>
      <c r="M102" s="2621"/>
      <c r="S102" s="314"/>
    </row>
    <row r="103" spans="3:19" ht="13.15" customHeight="1">
      <c r="C103" s="1095"/>
      <c r="F103" s="2621"/>
      <c r="G103" s="2621"/>
      <c r="H103" s="2621"/>
      <c r="I103" s="2621"/>
      <c r="J103" s="2621"/>
      <c r="K103" s="1094"/>
      <c r="L103" s="2621"/>
      <c r="M103" s="2621"/>
      <c r="S103" s="314"/>
    </row>
    <row r="104" spans="3:19" ht="13.15" customHeight="1">
      <c r="C104" s="1095"/>
      <c r="F104" s="2621"/>
      <c r="G104" s="2621"/>
      <c r="H104" s="2621"/>
      <c r="I104" s="2621"/>
      <c r="J104" s="2621"/>
      <c r="K104" s="1094"/>
      <c r="L104" s="2621"/>
      <c r="M104" s="2621"/>
      <c r="S104" s="314"/>
    </row>
    <row r="105" spans="3:19" ht="13.15" customHeight="1">
      <c r="C105" s="1095"/>
      <c r="F105" s="2621"/>
      <c r="G105" s="2621"/>
      <c r="H105" s="2621"/>
      <c r="I105" s="2621"/>
      <c r="J105" s="2621"/>
      <c r="K105" s="1094"/>
      <c r="L105" s="2621"/>
      <c r="M105" s="2621"/>
      <c r="S105" s="314"/>
    </row>
    <row r="106" spans="3:19" ht="13.15" customHeight="1">
      <c r="C106" s="1095"/>
      <c r="F106" s="2621"/>
      <c r="G106" s="2621"/>
      <c r="H106" s="2621"/>
      <c r="I106" s="2621"/>
      <c r="J106" s="2621"/>
      <c r="K106" s="1094"/>
      <c r="L106" s="2621"/>
      <c r="M106" s="2621"/>
      <c r="S106" s="314"/>
    </row>
    <row r="107" spans="3:19" ht="13.15" customHeight="1">
      <c r="C107" s="1095"/>
      <c r="F107" s="2621"/>
      <c r="G107" s="2621"/>
      <c r="H107" s="2621"/>
      <c r="I107" s="2621"/>
      <c r="J107" s="2621"/>
      <c r="K107" s="1094"/>
      <c r="L107" s="2621"/>
      <c r="M107" s="2621"/>
      <c r="S107" s="314"/>
    </row>
    <row r="108" spans="3:19" ht="13.15" customHeight="1">
      <c r="C108" s="1095" t="s">
        <v>3017</v>
      </c>
      <c r="F108" s="2621"/>
      <c r="G108" s="2621"/>
      <c r="H108" s="2621"/>
      <c r="I108" s="2621"/>
      <c r="J108" s="2621"/>
      <c r="K108" s="1094"/>
      <c r="L108" s="2621"/>
      <c r="M108" s="2621"/>
      <c r="S108" s="314"/>
    </row>
    <row r="109" spans="3:19" ht="13.15" customHeight="1">
      <c r="C109" s="1095"/>
      <c r="F109" s="2621"/>
      <c r="G109" s="2621"/>
      <c r="H109" s="2621"/>
      <c r="I109" s="2621"/>
      <c r="J109" s="2621"/>
      <c r="K109" s="1094"/>
      <c r="L109" s="2621"/>
      <c r="M109" s="2621"/>
      <c r="S109" s="314"/>
    </row>
    <row r="110" spans="3:19" ht="13.15" customHeight="1">
      <c r="C110" s="1095"/>
      <c r="F110" s="2621"/>
      <c r="G110" s="2621"/>
      <c r="H110" s="2621"/>
      <c r="I110" s="2621"/>
      <c r="J110" s="2621"/>
      <c r="K110" s="1094"/>
      <c r="L110" s="2621"/>
      <c r="M110" s="2621"/>
      <c r="S110" s="314"/>
    </row>
    <row r="111" spans="3:19" ht="13.15" customHeight="1">
      <c r="C111" s="1095"/>
      <c r="F111" s="2621"/>
      <c r="G111" s="2621"/>
      <c r="H111" s="2621"/>
      <c r="I111" s="2621"/>
      <c r="J111" s="2621"/>
      <c r="K111" s="1094"/>
      <c r="L111" s="2621"/>
      <c r="M111" s="2621"/>
      <c r="S111" s="314"/>
    </row>
    <row r="112" spans="3:19" ht="13.15" customHeight="1">
      <c r="C112" s="1095"/>
      <c r="F112" s="2621"/>
      <c r="G112" s="2621"/>
      <c r="H112" s="2621"/>
      <c r="I112" s="2621"/>
      <c r="J112" s="2621"/>
      <c r="K112" s="1094"/>
      <c r="L112" s="2621"/>
      <c r="M112" s="2621"/>
      <c r="S112" s="314"/>
    </row>
    <row r="113" spans="3:19" ht="13.15" customHeight="1">
      <c r="C113" s="1095"/>
      <c r="F113" s="2621"/>
      <c r="G113" s="2621"/>
      <c r="H113" s="2621"/>
      <c r="I113" s="2621"/>
      <c r="J113" s="2621"/>
      <c r="K113" s="1094"/>
      <c r="L113" s="2621"/>
      <c r="M113" s="2621"/>
      <c r="S113" s="314"/>
    </row>
    <row r="114" spans="3:19" ht="13.15" customHeight="1">
      <c r="C114" s="1095"/>
      <c r="F114" s="2621"/>
      <c r="G114" s="2621"/>
      <c r="H114" s="2621"/>
      <c r="I114" s="2621"/>
      <c r="J114" s="2621"/>
      <c r="K114" s="1094"/>
      <c r="L114" s="2621"/>
      <c r="M114" s="2621"/>
      <c r="S114" s="314"/>
    </row>
    <row r="115" spans="3:19" ht="13.15" customHeight="1">
      <c r="C115" s="1095"/>
      <c r="F115" s="2621"/>
      <c r="G115" s="2621"/>
      <c r="H115" s="2621"/>
      <c r="I115" s="2621"/>
      <c r="J115" s="2621"/>
      <c r="K115" s="1094"/>
      <c r="L115" s="2621"/>
      <c r="M115" s="2621"/>
      <c r="S115" s="314"/>
    </row>
    <row r="116" spans="3:19" ht="13.15" customHeight="1">
      <c r="C116" s="1095"/>
      <c r="F116" s="2621"/>
      <c r="G116" s="2621"/>
      <c r="H116" s="2621"/>
      <c r="I116" s="2621"/>
      <c r="J116" s="2621"/>
      <c r="K116" s="1094"/>
      <c r="L116" s="2621"/>
      <c r="M116" s="2621"/>
      <c r="S116" s="314"/>
    </row>
    <row r="117" spans="3:19" ht="13.15" customHeight="1">
      <c r="C117" s="1095"/>
      <c r="F117" s="2621"/>
      <c r="G117" s="2621"/>
      <c r="H117" s="2621"/>
      <c r="I117" s="2621"/>
      <c r="J117" s="2621"/>
      <c r="K117" s="1094"/>
      <c r="L117" s="2621"/>
      <c r="M117" s="2621"/>
      <c r="S117" s="314"/>
    </row>
    <row r="118" spans="3:19" ht="13.15" customHeight="1">
      <c r="C118" s="1095"/>
      <c r="F118" s="2621"/>
      <c r="G118" s="2621"/>
      <c r="H118" s="2621"/>
      <c r="I118" s="2621"/>
      <c r="J118" s="2621"/>
      <c r="K118" s="1094"/>
      <c r="L118" s="2621"/>
      <c r="M118" s="2621"/>
      <c r="S118" s="314"/>
    </row>
    <row r="119" spans="3:19" ht="13.15" customHeight="1">
      <c r="C119" s="1095"/>
      <c r="F119" s="2621"/>
      <c r="G119" s="2621"/>
      <c r="H119" s="2621"/>
      <c r="I119" s="2621"/>
      <c r="J119" s="2621"/>
      <c r="K119" s="1094"/>
      <c r="L119" s="2621"/>
      <c r="M119" s="2621"/>
      <c r="S119" s="314"/>
    </row>
    <row r="120" spans="3:19" ht="13.15" customHeight="1">
      <c r="C120" s="1095"/>
      <c r="F120" s="2621"/>
      <c r="G120" s="2621"/>
      <c r="H120" s="2621"/>
      <c r="I120" s="2621"/>
      <c r="J120" s="2621"/>
      <c r="K120" s="1094"/>
      <c r="L120" s="2621"/>
      <c r="M120" s="2621"/>
      <c r="S120" s="314"/>
    </row>
    <row r="121" spans="3:19" ht="13.15" customHeight="1">
      <c r="C121" s="1095"/>
      <c r="F121" s="2621"/>
      <c r="G121" s="2621"/>
      <c r="H121" s="2621"/>
      <c r="I121" s="2621"/>
      <c r="J121" s="2621"/>
      <c r="K121" s="1094"/>
      <c r="L121" s="2621"/>
      <c r="M121" s="2621"/>
      <c r="S121" s="314"/>
    </row>
    <row r="122" spans="3:19" ht="13.15" customHeight="1">
      <c r="C122" s="1095"/>
      <c r="F122" s="2621"/>
      <c r="G122" s="2621"/>
      <c r="H122" s="2621"/>
      <c r="I122" s="2621"/>
      <c r="J122" s="2621"/>
      <c r="K122" s="1094"/>
      <c r="L122" s="2621"/>
      <c r="M122" s="2621"/>
      <c r="S122" s="314"/>
    </row>
    <row r="123" spans="3:19" ht="13.15" customHeight="1">
      <c r="C123" s="1095"/>
      <c r="F123" s="2621"/>
      <c r="G123" s="2621"/>
      <c r="H123" s="2621"/>
      <c r="I123" s="2621"/>
      <c r="J123" s="2621"/>
      <c r="K123" s="1094"/>
      <c r="L123" s="2621"/>
      <c r="M123" s="2621"/>
      <c r="S123" s="314"/>
    </row>
    <row r="124" spans="3:19" ht="13.15" customHeight="1">
      <c r="C124" s="1095"/>
      <c r="F124" s="2621"/>
      <c r="G124" s="2621"/>
      <c r="H124" s="2621"/>
      <c r="I124" s="2621"/>
      <c r="J124" s="2621"/>
      <c r="K124" s="1094"/>
      <c r="L124" s="2621"/>
      <c r="M124" s="2621"/>
      <c r="S124" s="314"/>
    </row>
    <row r="125" spans="3:19" ht="13.15" customHeight="1">
      <c r="C125" s="1095"/>
      <c r="F125" s="2621"/>
      <c r="G125" s="2621"/>
      <c r="H125" s="2621"/>
      <c r="I125" s="2621"/>
      <c r="J125" s="2621"/>
      <c r="K125" s="1094"/>
      <c r="L125" s="2621"/>
      <c r="M125" s="2621"/>
      <c r="S125" s="314"/>
    </row>
    <row r="126" spans="3:19" ht="13.15" customHeight="1">
      <c r="C126" s="1095"/>
      <c r="F126" s="2621"/>
      <c r="G126" s="2621"/>
      <c r="H126" s="2621"/>
      <c r="I126" s="2621"/>
      <c r="J126" s="2621"/>
      <c r="K126" s="1094"/>
      <c r="L126" s="2621"/>
      <c r="M126" s="2621"/>
      <c r="S126" s="314"/>
    </row>
    <row r="127" spans="3:19" ht="13.15" customHeight="1">
      <c r="C127" s="1095"/>
      <c r="F127" s="2621"/>
      <c r="G127" s="2621"/>
      <c r="H127" s="2621"/>
      <c r="I127" s="2621"/>
      <c r="J127" s="2621"/>
      <c r="K127" s="1094"/>
      <c r="L127" s="2621"/>
      <c r="M127" s="2621"/>
      <c r="S127" s="314"/>
    </row>
    <row r="128" spans="3:19" ht="13.15" customHeight="1">
      <c r="C128" s="1095"/>
      <c r="F128" s="2621"/>
      <c r="G128" s="2621"/>
      <c r="H128" s="2621"/>
      <c r="I128" s="2621"/>
      <c r="J128" s="2621"/>
      <c r="K128" s="1094"/>
      <c r="L128" s="2621"/>
      <c r="M128" s="2621"/>
      <c r="S128" s="314"/>
    </row>
    <row r="129" spans="3:19" ht="13.15" customHeight="1">
      <c r="C129" s="1095"/>
      <c r="F129" s="2621"/>
      <c r="G129" s="2621"/>
      <c r="H129" s="2621"/>
      <c r="I129" s="2621"/>
      <c r="J129" s="2621"/>
      <c r="K129" s="1094"/>
      <c r="L129" s="2621"/>
      <c r="M129" s="2621"/>
      <c r="S129" s="314"/>
    </row>
    <row r="130" spans="3:19" ht="13.15" customHeight="1">
      <c r="C130" s="1095"/>
      <c r="F130" s="2621"/>
      <c r="G130" s="2621"/>
      <c r="H130" s="2621"/>
      <c r="I130" s="2621"/>
      <c r="J130" s="2621"/>
      <c r="K130" s="1094"/>
      <c r="L130" s="2621"/>
      <c r="M130" s="2621"/>
      <c r="S130" s="314"/>
    </row>
    <row r="131" spans="3:19" ht="13.15" customHeight="1">
      <c r="C131" s="1095"/>
      <c r="F131" s="2621"/>
      <c r="G131" s="2621"/>
      <c r="H131" s="2621"/>
      <c r="I131" s="2621"/>
      <c r="J131" s="2621"/>
      <c r="K131" s="1094"/>
      <c r="L131" s="2621"/>
      <c r="M131" s="2621"/>
      <c r="S131" s="314"/>
    </row>
    <row r="132" spans="3:19" ht="13.15" customHeight="1">
      <c r="C132" s="1095"/>
      <c r="F132" s="2621"/>
      <c r="G132" s="2621"/>
      <c r="H132" s="2621"/>
      <c r="I132" s="2621"/>
      <c r="J132" s="2621"/>
      <c r="K132" s="1094"/>
      <c r="L132" s="2621"/>
      <c r="M132" s="2621"/>
      <c r="S132" s="314"/>
    </row>
    <row r="133" spans="3:19" ht="13.15" customHeight="1">
      <c r="C133" s="1095"/>
      <c r="F133" s="2621"/>
      <c r="G133" s="2621"/>
      <c r="H133" s="2621"/>
      <c r="I133" s="2621"/>
      <c r="J133" s="2621"/>
      <c r="K133" s="1094"/>
      <c r="L133" s="2621"/>
      <c r="M133" s="2621"/>
      <c r="S133" s="314"/>
    </row>
    <row r="134" spans="3:19" ht="13.15" customHeight="1">
      <c r="C134" s="1095"/>
      <c r="F134" s="2621"/>
      <c r="G134" s="2621"/>
      <c r="H134" s="2621"/>
      <c r="I134" s="2621"/>
      <c r="J134" s="2621"/>
      <c r="K134" s="1094"/>
      <c r="L134" s="2621"/>
      <c r="M134" s="2621"/>
      <c r="S134" s="314"/>
    </row>
    <row r="135" spans="3:19" ht="13.15" customHeight="1">
      <c r="C135" s="1095"/>
      <c r="F135" s="2621"/>
      <c r="G135" s="2621"/>
      <c r="H135" s="2621"/>
      <c r="I135" s="2621"/>
      <c r="J135" s="2621"/>
      <c r="K135" s="1094"/>
      <c r="L135" s="2621"/>
      <c r="M135" s="2621"/>
      <c r="S135" s="314"/>
    </row>
    <row r="136" spans="3:19" ht="13.15" customHeight="1">
      <c r="C136" s="1095"/>
      <c r="F136" s="2621"/>
      <c r="G136" s="2621"/>
      <c r="H136" s="2621"/>
      <c r="I136" s="2621"/>
      <c r="J136" s="2621"/>
      <c r="K136" s="1094"/>
      <c r="L136" s="2621"/>
      <c r="M136" s="2621"/>
      <c r="S136" s="314"/>
    </row>
    <row r="137" spans="3:19" ht="13.15" customHeight="1">
      <c r="C137" s="1095"/>
      <c r="F137" s="2621"/>
      <c r="G137" s="2621"/>
      <c r="H137" s="2621"/>
      <c r="I137" s="2621"/>
      <c r="J137" s="2621"/>
      <c r="K137" s="1094"/>
      <c r="L137" s="2621"/>
      <c r="M137" s="2621"/>
      <c r="S137" s="314"/>
    </row>
    <row r="138" spans="3:19" ht="13.15" customHeight="1">
      <c r="C138" s="1095"/>
      <c r="F138" s="2621"/>
      <c r="G138" s="2621"/>
      <c r="H138" s="2621"/>
      <c r="I138" s="2621"/>
      <c r="J138" s="2621"/>
      <c r="K138" s="1094"/>
      <c r="L138" s="2621"/>
      <c r="M138" s="2621"/>
      <c r="S138" s="314"/>
    </row>
    <row r="139" spans="3:19" ht="13.15" customHeight="1">
      <c r="C139" s="1095"/>
      <c r="F139" s="2621"/>
      <c r="G139" s="2621"/>
      <c r="H139" s="2621"/>
      <c r="I139" s="2621"/>
      <c r="J139" s="2621"/>
      <c r="K139" s="1094"/>
      <c r="L139" s="2621"/>
      <c r="M139" s="2621"/>
      <c r="S139" s="314"/>
    </row>
    <row r="140" spans="3:19" ht="13.15" customHeight="1">
      <c r="C140" s="1095"/>
      <c r="F140" s="2621"/>
      <c r="G140" s="2621"/>
      <c r="H140" s="2621"/>
      <c r="I140" s="2621"/>
      <c r="J140" s="2621"/>
      <c r="K140" s="1094"/>
      <c r="L140" s="2621"/>
      <c r="M140" s="2621"/>
      <c r="S140" s="314"/>
    </row>
    <row r="141" spans="3:19" ht="13.15" customHeight="1">
      <c r="C141" s="1095"/>
      <c r="F141" s="2621"/>
      <c r="G141" s="2621"/>
      <c r="H141" s="2621"/>
      <c r="I141" s="2621"/>
      <c r="J141" s="2621"/>
      <c r="K141" s="1094"/>
      <c r="L141" s="2621"/>
      <c r="M141" s="2621"/>
      <c r="S141" s="314"/>
    </row>
    <row r="142" spans="3:19" ht="13.15" customHeight="1">
      <c r="C142" s="1095"/>
      <c r="F142" s="2621"/>
      <c r="G142" s="2621"/>
      <c r="H142" s="2621"/>
      <c r="I142" s="2621"/>
      <c r="J142" s="2621"/>
      <c r="K142" s="1094"/>
      <c r="L142" s="2621"/>
      <c r="M142" s="2621"/>
      <c r="S142" s="314"/>
    </row>
    <row r="143" spans="3:19" ht="13.15" customHeight="1">
      <c r="C143" s="1095"/>
      <c r="F143" s="2621"/>
      <c r="G143" s="2621"/>
      <c r="H143" s="2621"/>
      <c r="I143" s="2621"/>
      <c r="J143" s="2621"/>
      <c r="K143" s="1094"/>
      <c r="L143" s="2621"/>
      <c r="M143" s="2621"/>
      <c r="S143" s="314"/>
    </row>
    <row r="144" spans="3:19" ht="13.15" customHeight="1">
      <c r="C144" s="1095"/>
      <c r="F144" s="2621"/>
      <c r="G144" s="2621"/>
      <c r="H144" s="2621"/>
      <c r="I144" s="2621"/>
      <c r="J144" s="2621"/>
      <c r="K144" s="1094"/>
      <c r="L144" s="2621"/>
      <c r="M144" s="2621"/>
      <c r="S144" s="314"/>
    </row>
    <row r="145" spans="3:19" ht="13.15" customHeight="1">
      <c r="C145" s="1095"/>
      <c r="F145" s="2621"/>
      <c r="G145" s="2621"/>
      <c r="H145" s="2621"/>
      <c r="I145" s="2621"/>
      <c r="J145" s="2621"/>
      <c r="K145" s="1094"/>
      <c r="L145" s="2621"/>
      <c r="M145" s="2621"/>
      <c r="S145" s="314"/>
    </row>
    <row r="146" spans="3:19" ht="13.15" customHeight="1">
      <c r="C146" s="1095"/>
      <c r="F146" s="2621"/>
      <c r="G146" s="2621"/>
      <c r="H146" s="2621"/>
      <c r="I146" s="2621"/>
      <c r="J146" s="2621"/>
      <c r="K146" s="1094"/>
      <c r="L146" s="2621"/>
      <c r="M146" s="2621"/>
      <c r="S146" s="314"/>
    </row>
    <row r="147" spans="3:19" ht="13.15" customHeight="1">
      <c r="C147" s="1095"/>
      <c r="F147" s="2621"/>
      <c r="G147" s="2621"/>
      <c r="H147" s="2621"/>
      <c r="I147" s="2621"/>
      <c r="J147" s="2621"/>
      <c r="K147" s="1094"/>
      <c r="L147" s="2621"/>
      <c r="M147" s="2621"/>
      <c r="S147" s="314"/>
    </row>
    <row r="148" spans="3:19" ht="13.15" customHeight="1">
      <c r="C148" s="1095"/>
      <c r="F148" s="2621"/>
      <c r="G148" s="2621"/>
      <c r="H148" s="2621"/>
      <c r="I148" s="2621"/>
      <c r="J148" s="2621"/>
      <c r="K148" s="1094"/>
      <c r="L148" s="2621"/>
      <c r="M148" s="2621"/>
      <c r="S148" s="314"/>
    </row>
    <row r="149" spans="3:19" ht="13.15" customHeight="1">
      <c r="C149" s="1095"/>
      <c r="F149" s="2621"/>
      <c r="G149" s="2621"/>
      <c r="H149" s="2621"/>
      <c r="I149" s="2621"/>
      <c r="J149" s="2621"/>
      <c r="K149" s="1094"/>
      <c r="L149" s="2621"/>
      <c r="M149" s="2621"/>
      <c r="S149" s="314"/>
    </row>
    <row r="150" spans="3:19" ht="13.15" customHeight="1">
      <c r="C150" s="1095"/>
      <c r="F150" s="2621"/>
      <c r="G150" s="2621"/>
      <c r="H150" s="2621"/>
      <c r="I150" s="2621"/>
      <c r="J150" s="2621"/>
      <c r="K150" s="1094"/>
      <c r="L150" s="2621"/>
      <c r="M150" s="2621"/>
      <c r="S150" s="314"/>
    </row>
    <row r="151" spans="3:19" ht="13.15" customHeight="1">
      <c r="C151" s="1095"/>
      <c r="F151" s="2621"/>
      <c r="G151" s="2621"/>
      <c r="H151" s="2621"/>
      <c r="I151" s="2621"/>
      <c r="J151" s="2621"/>
      <c r="K151" s="1094"/>
      <c r="L151" s="2621"/>
      <c r="M151" s="2621"/>
      <c r="S151" s="314"/>
    </row>
    <row r="152" spans="3:19" ht="13.15" customHeight="1">
      <c r="C152" s="1095"/>
      <c r="F152" s="2621"/>
      <c r="G152" s="2621"/>
      <c r="H152" s="2621"/>
      <c r="I152" s="2621"/>
      <c r="J152" s="2621"/>
      <c r="K152" s="1094"/>
      <c r="L152" s="2621"/>
      <c r="M152" s="2621"/>
      <c r="S152" s="314"/>
    </row>
    <row r="153" spans="3:19" ht="13.15" customHeight="1">
      <c r="C153" s="1095"/>
      <c r="F153" s="2621"/>
      <c r="G153" s="2621"/>
      <c r="H153" s="2621"/>
      <c r="I153" s="2621"/>
      <c r="J153" s="2621"/>
      <c r="K153" s="1094"/>
      <c r="L153" s="2621"/>
      <c r="M153" s="2621"/>
      <c r="S153" s="314"/>
    </row>
    <row r="154" spans="3:19" ht="13.15" customHeight="1">
      <c r="C154" s="1095"/>
      <c r="F154" s="2621"/>
      <c r="G154" s="2621"/>
      <c r="H154" s="2621"/>
      <c r="I154" s="2621"/>
      <c r="J154" s="2621"/>
      <c r="K154" s="1094"/>
      <c r="L154" s="2621"/>
      <c r="M154" s="2621"/>
      <c r="S154" s="314"/>
    </row>
    <row r="155" spans="3:19" ht="13.15" customHeight="1">
      <c r="C155" s="1095"/>
      <c r="F155" s="2621"/>
      <c r="G155" s="2621"/>
      <c r="H155" s="2621"/>
      <c r="I155" s="2621"/>
      <c r="J155" s="2621"/>
      <c r="K155" s="1094"/>
      <c r="L155" s="2621"/>
      <c r="M155" s="2621"/>
      <c r="S155" s="314"/>
    </row>
    <row r="156" spans="3:19" ht="13.15" customHeight="1">
      <c r="C156" s="1095"/>
      <c r="F156" s="2621"/>
      <c r="G156" s="2621"/>
      <c r="H156" s="2621"/>
      <c r="I156" s="2621"/>
      <c r="J156" s="2621"/>
      <c r="K156" s="1094"/>
      <c r="L156" s="2621"/>
      <c r="M156" s="2621"/>
      <c r="S156" s="314"/>
    </row>
    <row r="157" spans="3:19" ht="13.15" customHeight="1">
      <c r="C157" s="1095"/>
      <c r="F157" s="2621"/>
      <c r="G157" s="2621"/>
      <c r="H157" s="2621"/>
      <c r="I157" s="2621"/>
      <c r="J157" s="2621"/>
      <c r="K157" s="1094"/>
      <c r="L157" s="2621"/>
      <c r="M157" s="2621"/>
      <c r="S157" s="314"/>
    </row>
    <row r="158" spans="3:19" ht="13.15" customHeight="1">
      <c r="C158" s="1095"/>
      <c r="F158" s="2621"/>
      <c r="G158" s="2621"/>
      <c r="H158" s="2621"/>
      <c r="I158" s="2621"/>
      <c r="J158" s="2621"/>
      <c r="K158" s="1094"/>
      <c r="L158" s="2621"/>
      <c r="M158" s="2621"/>
      <c r="S158" s="314"/>
    </row>
    <row r="159" spans="3:19" ht="13.15" customHeight="1">
      <c r="C159" s="1095"/>
      <c r="F159" s="2621"/>
      <c r="G159" s="2621"/>
      <c r="H159" s="2621"/>
      <c r="I159" s="2621"/>
      <c r="J159" s="2621"/>
      <c r="K159" s="1094"/>
      <c r="L159" s="2621"/>
      <c r="M159" s="2621"/>
      <c r="S159" s="314"/>
    </row>
    <row r="160" spans="3:19" ht="13.15" customHeight="1">
      <c r="C160" s="1095"/>
      <c r="F160" s="2621"/>
      <c r="G160" s="2621"/>
      <c r="H160" s="2621"/>
      <c r="I160" s="2621"/>
      <c r="J160" s="2621"/>
      <c r="K160" s="1094"/>
      <c r="L160" s="2621"/>
      <c r="M160" s="2621"/>
      <c r="S160" s="314"/>
    </row>
    <row r="161" spans="3:19" ht="13.15" customHeight="1">
      <c r="C161" s="1095"/>
      <c r="F161" s="2621"/>
      <c r="G161" s="2621"/>
      <c r="H161" s="2621"/>
      <c r="I161" s="2621"/>
      <c r="J161" s="2621"/>
      <c r="K161" s="1094"/>
      <c r="L161" s="2621"/>
      <c r="M161" s="2621"/>
      <c r="S161" s="314"/>
    </row>
    <row r="162" spans="3:19" ht="13.15" customHeight="1">
      <c r="C162" s="1095"/>
      <c r="F162" s="2621"/>
      <c r="G162" s="2621"/>
      <c r="H162" s="2621"/>
      <c r="I162" s="2621"/>
      <c r="J162" s="2621"/>
      <c r="K162" s="1094"/>
      <c r="L162" s="2621"/>
      <c r="M162" s="2621"/>
      <c r="S162" s="314"/>
    </row>
    <row r="163" spans="3:19" ht="13.15" customHeight="1">
      <c r="C163" s="1095"/>
      <c r="F163" s="2621"/>
      <c r="G163" s="2621"/>
      <c r="H163" s="2621"/>
      <c r="I163" s="2621"/>
      <c r="J163" s="2621"/>
      <c r="K163" s="1094"/>
      <c r="L163" s="2621"/>
      <c r="M163" s="2621"/>
      <c r="S163" s="314"/>
    </row>
    <row r="164" spans="3:19" ht="13.15" customHeight="1">
      <c r="C164" s="1095"/>
      <c r="F164" s="2621"/>
      <c r="G164" s="2621"/>
      <c r="H164" s="2621"/>
      <c r="I164" s="2621"/>
      <c r="J164" s="2621"/>
      <c r="K164" s="1094"/>
      <c r="L164" s="2621"/>
      <c r="M164" s="2621"/>
      <c r="S164" s="314"/>
    </row>
    <row r="165" spans="3:19" ht="13.15" customHeight="1">
      <c r="C165" s="1095"/>
      <c r="F165" s="2621"/>
      <c r="G165" s="2621"/>
      <c r="H165" s="2621"/>
      <c r="I165" s="2621"/>
      <c r="J165" s="2621"/>
      <c r="K165" s="1094"/>
      <c r="L165" s="2621"/>
      <c r="M165" s="2621"/>
      <c r="S165" s="314"/>
    </row>
    <row r="166" spans="3:19" ht="13.15" customHeight="1">
      <c r="C166" s="1095"/>
      <c r="F166" s="2621"/>
      <c r="G166" s="2621"/>
      <c r="H166" s="2621"/>
      <c r="I166" s="2621"/>
      <c r="J166" s="2621"/>
      <c r="K166" s="1094"/>
      <c r="L166" s="2621"/>
      <c r="M166" s="2621"/>
      <c r="S166" s="314"/>
    </row>
    <row r="167" spans="3:19" ht="13.15" customHeight="1">
      <c r="C167" s="1095"/>
      <c r="F167" s="2621"/>
      <c r="G167" s="2621"/>
      <c r="H167" s="2621"/>
      <c r="I167" s="2621"/>
      <c r="J167" s="2621"/>
      <c r="K167" s="1094"/>
      <c r="L167" s="2621"/>
      <c r="M167" s="2621"/>
      <c r="S167" s="314"/>
    </row>
    <row r="168" spans="3:19" ht="13.15" customHeight="1">
      <c r="C168" s="1095"/>
      <c r="F168" s="2621"/>
      <c r="G168" s="2621"/>
      <c r="H168" s="2621"/>
      <c r="I168" s="2621"/>
      <c r="J168" s="2621"/>
      <c r="K168" s="1094"/>
      <c r="L168" s="2621"/>
      <c r="M168" s="2621"/>
      <c r="S168" s="314"/>
    </row>
    <row r="169" spans="3:19" ht="13.15" customHeight="1">
      <c r="C169" s="1095"/>
      <c r="F169" s="2621"/>
      <c r="G169" s="2621"/>
      <c r="H169" s="2621"/>
      <c r="I169" s="2621"/>
      <c r="J169" s="2621"/>
      <c r="K169" s="1094"/>
      <c r="L169" s="2621"/>
      <c r="M169" s="2621"/>
      <c r="S169" s="314"/>
    </row>
    <row r="170" spans="3:19" ht="13.15" customHeight="1">
      <c r="C170" s="1095"/>
      <c r="F170" s="2621"/>
      <c r="G170" s="2621"/>
      <c r="H170" s="2621"/>
      <c r="I170" s="2621"/>
      <c r="J170" s="2621"/>
      <c r="K170" s="1094"/>
      <c r="L170" s="2621"/>
      <c r="M170" s="2621"/>
      <c r="S170" s="314"/>
    </row>
    <row r="171" spans="3:19" ht="13.15" customHeight="1">
      <c r="C171" s="1095"/>
      <c r="F171" s="2621"/>
      <c r="G171" s="2621"/>
      <c r="H171" s="2621"/>
      <c r="I171" s="2621"/>
      <c r="J171" s="2621"/>
      <c r="K171" s="1094"/>
      <c r="L171" s="2621"/>
      <c r="M171" s="2621"/>
      <c r="S171" s="314"/>
    </row>
    <row r="172" spans="3:19" ht="13.15" customHeight="1">
      <c r="C172" s="1095"/>
      <c r="F172" s="2621"/>
      <c r="G172" s="2621"/>
      <c r="H172" s="2621"/>
      <c r="I172" s="2621"/>
      <c r="J172" s="2621"/>
      <c r="K172" s="1094"/>
      <c r="L172" s="2621"/>
      <c r="M172" s="2621"/>
      <c r="S172" s="314"/>
    </row>
    <row r="173" spans="3:19" ht="13.15" customHeight="1">
      <c r="C173" s="1095"/>
      <c r="F173" s="2621"/>
      <c r="G173" s="2621"/>
      <c r="H173" s="2621"/>
      <c r="I173" s="2621"/>
      <c r="J173" s="2621"/>
      <c r="K173" s="1094"/>
      <c r="L173" s="2621"/>
      <c r="M173" s="2621"/>
      <c r="S173" s="314"/>
    </row>
    <row r="174" spans="3:19" ht="13.15" customHeight="1">
      <c r="C174" s="1095"/>
      <c r="F174" s="2621"/>
      <c r="G174" s="2621"/>
      <c r="H174" s="2621"/>
      <c r="I174" s="2621"/>
      <c r="J174" s="2621"/>
      <c r="K174" s="1094"/>
      <c r="L174" s="2621"/>
      <c r="M174" s="2621"/>
      <c r="S174" s="314"/>
    </row>
    <row r="175" spans="3:19" ht="13.15" customHeight="1">
      <c r="C175" s="1095"/>
      <c r="F175" s="2621"/>
      <c r="G175" s="2621"/>
      <c r="H175" s="2621"/>
      <c r="I175" s="2621"/>
      <c r="J175" s="2621"/>
      <c r="K175" s="1094"/>
      <c r="L175" s="2621"/>
      <c r="M175" s="2621"/>
      <c r="S175" s="314"/>
    </row>
    <row r="176" spans="3:19" ht="13.15" customHeight="1">
      <c r="C176" s="1095"/>
      <c r="F176" s="2621"/>
      <c r="G176" s="2621"/>
      <c r="H176" s="2621"/>
      <c r="I176" s="2621"/>
      <c r="J176" s="2621"/>
      <c r="K176" s="1094"/>
      <c r="L176" s="2621"/>
      <c r="M176" s="2621"/>
      <c r="S176" s="314"/>
    </row>
    <row r="177" spans="3:19" ht="13.15" customHeight="1">
      <c r="C177" s="1095"/>
      <c r="F177" s="2621"/>
      <c r="G177" s="2621"/>
      <c r="H177" s="2621"/>
      <c r="I177" s="2621"/>
      <c r="J177" s="2621"/>
      <c r="K177" s="1094"/>
      <c r="L177" s="2621"/>
      <c r="M177" s="2621"/>
      <c r="S177" s="314"/>
    </row>
    <row r="178" spans="3:19" ht="13.15" customHeight="1">
      <c r="C178" s="1095"/>
      <c r="F178" s="2621"/>
      <c r="G178" s="2621"/>
      <c r="H178" s="2621"/>
      <c r="I178" s="2621"/>
      <c r="J178" s="2621"/>
      <c r="K178" s="1094"/>
      <c r="L178" s="2621"/>
      <c r="M178" s="2621"/>
      <c r="S178" s="314"/>
    </row>
    <row r="179" spans="3:19" ht="13.15" customHeight="1">
      <c r="C179" s="1095"/>
      <c r="F179" s="2621"/>
      <c r="G179" s="2621"/>
      <c r="H179" s="2621"/>
      <c r="I179" s="2621"/>
      <c r="J179" s="2621"/>
      <c r="K179" s="1094"/>
      <c r="L179" s="2621"/>
      <c r="M179" s="2621"/>
      <c r="S179" s="314"/>
    </row>
    <row r="180" spans="3:19" ht="13.15" customHeight="1">
      <c r="C180" s="1095"/>
      <c r="F180" s="2621"/>
      <c r="G180" s="2621"/>
      <c r="H180" s="2621"/>
      <c r="I180" s="2621"/>
      <c r="J180" s="2621"/>
      <c r="K180" s="1094"/>
      <c r="L180" s="2621"/>
      <c r="M180" s="2621"/>
      <c r="S180" s="314"/>
    </row>
    <row r="181" spans="3:19" ht="13.15" customHeight="1">
      <c r="C181" s="1095"/>
      <c r="F181" s="2621"/>
      <c r="G181" s="2621"/>
      <c r="H181" s="2621"/>
      <c r="I181" s="2621"/>
      <c r="J181" s="2621"/>
      <c r="K181" s="1094"/>
      <c r="L181" s="2621"/>
      <c r="M181" s="2621"/>
      <c r="S181" s="314"/>
    </row>
    <row r="182" spans="3:19" ht="13.15" customHeight="1">
      <c r="C182" s="1095"/>
      <c r="F182" s="2621"/>
      <c r="G182" s="2621"/>
      <c r="H182" s="2621"/>
      <c r="I182" s="2621"/>
      <c r="J182" s="2621"/>
      <c r="K182" s="1094"/>
      <c r="L182" s="2621"/>
      <c r="M182" s="2621"/>
      <c r="S182" s="314"/>
    </row>
    <row r="183" spans="3:19" ht="13.15" customHeight="1">
      <c r="C183" s="1095"/>
      <c r="F183" s="2621"/>
      <c r="G183" s="2621"/>
      <c r="H183" s="2621"/>
      <c r="I183" s="2621"/>
      <c r="J183" s="2621"/>
      <c r="K183" s="1094"/>
      <c r="L183" s="2621"/>
      <c r="M183" s="2621"/>
      <c r="S183" s="314"/>
    </row>
    <row r="184" spans="3:19" ht="13.15" customHeight="1">
      <c r="C184" s="1095"/>
      <c r="F184" s="2621"/>
      <c r="G184" s="2621"/>
      <c r="H184" s="2621"/>
      <c r="I184" s="2621"/>
      <c r="J184" s="2621"/>
      <c r="K184" s="1094"/>
      <c r="L184" s="2621"/>
      <c r="M184" s="2621"/>
      <c r="S184" s="314"/>
    </row>
    <row r="185" spans="3:19" ht="13.15" customHeight="1">
      <c r="C185" s="1095"/>
      <c r="F185" s="2621"/>
      <c r="G185" s="2621"/>
      <c r="H185" s="2621"/>
      <c r="I185" s="2621"/>
      <c r="J185" s="2621"/>
      <c r="K185" s="1094"/>
      <c r="L185" s="2621"/>
      <c r="M185" s="2621"/>
      <c r="S185" s="314"/>
    </row>
    <row r="186" spans="3:19" ht="13.15" customHeight="1">
      <c r="C186" s="1095"/>
      <c r="F186" s="2621"/>
      <c r="G186" s="2621"/>
      <c r="H186" s="2621"/>
      <c r="I186" s="2621"/>
      <c r="J186" s="2621"/>
      <c r="K186" s="1094"/>
      <c r="L186" s="2621"/>
      <c r="M186" s="2621"/>
      <c r="S186" s="314"/>
    </row>
    <row r="187" spans="3:19" ht="13.15" customHeight="1">
      <c r="C187" s="1095" t="s">
        <v>3017</v>
      </c>
      <c r="F187" s="2621"/>
      <c r="G187" s="2621"/>
      <c r="H187" s="2621"/>
      <c r="I187" s="2621"/>
      <c r="J187" s="2621"/>
      <c r="K187" s="1094"/>
      <c r="L187" s="2621"/>
      <c r="M187" s="2621"/>
      <c r="S187" s="314"/>
    </row>
    <row r="188" spans="3:19" ht="13.15" customHeight="1">
      <c r="C188" s="1095"/>
      <c r="F188" s="2621"/>
      <c r="G188" s="2621"/>
      <c r="H188" s="2621"/>
      <c r="I188" s="2621"/>
      <c r="J188" s="2621"/>
      <c r="K188" s="1094"/>
      <c r="L188" s="2621"/>
      <c r="M188" s="2621"/>
      <c r="S188" s="314"/>
    </row>
    <row r="189" spans="3:19" ht="13.15" customHeight="1">
      <c r="C189" s="1095"/>
      <c r="F189" s="2621"/>
      <c r="G189" s="2621"/>
      <c r="H189" s="2621"/>
      <c r="I189" s="2621"/>
      <c r="J189" s="2621"/>
      <c r="K189" s="1094"/>
      <c r="L189" s="2621"/>
      <c r="M189" s="2621"/>
      <c r="S189" s="314"/>
    </row>
    <row r="190" spans="3:19" ht="13.15" customHeight="1">
      <c r="C190" s="1095"/>
      <c r="F190" s="2621"/>
      <c r="G190" s="2621"/>
      <c r="H190" s="2621"/>
      <c r="I190" s="2621"/>
      <c r="J190" s="2621"/>
      <c r="K190" s="1094"/>
      <c r="L190" s="2621"/>
      <c r="M190" s="2621"/>
      <c r="S190" s="314"/>
    </row>
    <row r="191" spans="3:19" ht="13.15" customHeight="1">
      <c r="C191" s="1095"/>
      <c r="F191" s="2621"/>
      <c r="G191" s="2621"/>
      <c r="H191" s="2621"/>
      <c r="I191" s="2621"/>
      <c r="J191" s="2621"/>
      <c r="K191" s="1094"/>
      <c r="L191" s="2621"/>
      <c r="M191" s="2621"/>
      <c r="S191" s="314"/>
    </row>
    <row r="192" spans="3:19" ht="13.15" customHeight="1">
      <c r="C192" s="1095"/>
      <c r="F192" s="2621"/>
      <c r="G192" s="2621"/>
      <c r="H192" s="2621"/>
      <c r="I192" s="2621"/>
      <c r="J192" s="2621"/>
      <c r="K192" s="1094"/>
      <c r="L192" s="2621"/>
      <c r="M192" s="2621"/>
      <c r="S192" s="314"/>
    </row>
    <row r="193" spans="3:19" ht="13.15" customHeight="1">
      <c r="C193" s="1095"/>
      <c r="F193" s="410"/>
      <c r="G193" s="410"/>
      <c r="H193" s="410"/>
      <c r="I193" s="410"/>
      <c r="J193" s="410"/>
      <c r="K193" s="1094"/>
      <c r="L193" s="410"/>
      <c r="M193" s="410"/>
      <c r="S193" s="314"/>
    </row>
    <row r="194" spans="3:19" ht="13.15" customHeight="1">
      <c r="C194" s="1095"/>
      <c r="F194" s="410"/>
      <c r="G194" s="410"/>
      <c r="H194" s="410"/>
      <c r="I194" s="410"/>
      <c r="J194" s="410"/>
      <c r="K194" s="1094"/>
      <c r="L194" s="410"/>
      <c r="M194" s="410"/>
      <c r="S194" s="314"/>
    </row>
    <row r="195" spans="3:19" ht="13.15" customHeight="1">
      <c r="C195" s="1095"/>
      <c r="F195" s="410"/>
      <c r="G195" s="410"/>
      <c r="H195" s="410"/>
      <c r="I195" s="410"/>
      <c r="J195" s="410"/>
      <c r="K195" s="1094"/>
      <c r="L195" s="410"/>
      <c r="M195" s="410"/>
      <c r="S195" s="314"/>
    </row>
    <row r="196" spans="3:19" ht="13.15" customHeight="1">
      <c r="C196" s="1095"/>
      <c r="F196" s="410"/>
      <c r="G196" s="410"/>
      <c r="H196" s="410"/>
      <c r="I196" s="410"/>
      <c r="J196" s="410"/>
      <c r="K196" s="1094"/>
      <c r="L196" s="410"/>
      <c r="M196" s="410"/>
      <c r="S196" s="314"/>
    </row>
    <row r="197" spans="3:19" ht="13.15" customHeight="1">
      <c r="C197" s="1095"/>
      <c r="F197" s="410"/>
      <c r="G197" s="410"/>
      <c r="H197" s="410"/>
      <c r="I197" s="410"/>
      <c r="J197" s="410"/>
      <c r="K197" s="1094"/>
      <c r="L197" s="410"/>
      <c r="M197" s="410"/>
      <c r="S197" s="314"/>
    </row>
    <row r="198" spans="3:19" ht="13.15" customHeight="1">
      <c r="C198" s="1095"/>
      <c r="F198" s="410"/>
      <c r="G198" s="410"/>
      <c r="H198" s="410"/>
      <c r="I198" s="410"/>
      <c r="J198" s="410"/>
      <c r="K198" s="1094"/>
      <c r="L198" s="410"/>
      <c r="M198" s="410"/>
      <c r="S198" s="314"/>
    </row>
    <row r="199" spans="3:19" ht="13.15" customHeight="1">
      <c r="C199" s="1095"/>
      <c r="F199" s="410"/>
      <c r="G199" s="410"/>
      <c r="H199" s="410"/>
      <c r="I199" s="410"/>
      <c r="J199" s="410"/>
      <c r="K199" s="1094"/>
      <c r="L199" s="410"/>
      <c r="M199" s="410"/>
      <c r="S199" s="314"/>
    </row>
    <row r="200" spans="3:19" ht="13.15" customHeight="1">
      <c r="C200" s="1095"/>
      <c r="F200" s="410"/>
      <c r="G200" s="410"/>
      <c r="H200" s="410"/>
      <c r="I200" s="410"/>
      <c r="J200" s="410"/>
      <c r="K200" s="1094"/>
      <c r="L200" s="410"/>
      <c r="M200" s="410"/>
      <c r="S200" s="314"/>
    </row>
    <row r="201" spans="3:19" ht="13.15" customHeight="1">
      <c r="C201" s="1095"/>
      <c r="F201" s="410"/>
      <c r="G201" s="410"/>
      <c r="H201" s="410"/>
      <c r="I201" s="410"/>
      <c r="J201" s="410"/>
      <c r="K201" s="1094"/>
      <c r="L201" s="410"/>
      <c r="M201" s="410"/>
      <c r="S201" s="314"/>
    </row>
    <row r="202" spans="3:19" ht="13.15" customHeight="1">
      <c r="C202" s="1095"/>
      <c r="F202" s="410"/>
      <c r="G202" s="410"/>
      <c r="H202" s="410"/>
      <c r="I202" s="410"/>
      <c r="J202" s="410"/>
      <c r="K202" s="1094"/>
      <c r="L202" s="410"/>
      <c r="M202" s="410"/>
      <c r="S202" s="314"/>
    </row>
    <row r="203" spans="3:19" ht="13.15" customHeight="1">
      <c r="C203" s="1095"/>
      <c r="F203" s="410"/>
      <c r="G203" s="410"/>
      <c r="H203" s="410"/>
      <c r="I203" s="410"/>
      <c r="J203" s="410"/>
      <c r="K203" s="1094"/>
      <c r="L203" s="410"/>
      <c r="M203" s="410"/>
      <c r="S203" s="314"/>
    </row>
    <row r="204" spans="3:19" ht="13.15" customHeight="1">
      <c r="C204" s="1095"/>
      <c r="F204" s="410"/>
      <c r="G204" s="410"/>
      <c r="H204" s="410"/>
      <c r="I204" s="410"/>
      <c r="J204" s="410"/>
      <c r="K204" s="1094"/>
      <c r="L204" s="410"/>
      <c r="M204" s="410"/>
      <c r="S204" s="314"/>
    </row>
    <row r="205" spans="3:19" ht="13.15" customHeight="1">
      <c r="C205" s="1095"/>
      <c r="F205" s="410"/>
      <c r="G205" s="410"/>
      <c r="H205" s="410"/>
      <c r="I205" s="410"/>
      <c r="J205" s="410"/>
      <c r="K205" s="1094"/>
      <c r="L205" s="410"/>
      <c r="M205" s="410"/>
      <c r="S205" s="314"/>
    </row>
    <row r="206" spans="3:19" ht="13.15" customHeight="1">
      <c r="C206" s="1095"/>
      <c r="F206" s="410"/>
      <c r="G206" s="410"/>
      <c r="H206" s="410"/>
      <c r="I206" s="410"/>
      <c r="J206" s="410"/>
      <c r="K206" s="1094"/>
      <c r="L206" s="410"/>
      <c r="M206" s="410"/>
      <c r="S206" s="314"/>
    </row>
    <row r="207" spans="3:19" ht="13.15" customHeight="1">
      <c r="C207" s="1095"/>
      <c r="F207" s="410"/>
      <c r="G207" s="410"/>
      <c r="H207" s="410"/>
      <c r="I207" s="410"/>
      <c r="J207" s="410"/>
      <c r="K207" s="1094"/>
      <c r="L207" s="410"/>
      <c r="M207" s="410"/>
      <c r="S207" s="314"/>
    </row>
    <row r="208" spans="3:19" ht="13.15" customHeight="1">
      <c r="C208" s="1095"/>
      <c r="F208" s="410"/>
      <c r="G208" s="410"/>
      <c r="H208" s="410"/>
      <c r="I208" s="410"/>
      <c r="J208" s="410"/>
      <c r="K208" s="1094"/>
      <c r="L208" s="410"/>
      <c r="M208" s="410"/>
      <c r="S208" s="314"/>
    </row>
    <row r="209" spans="3:19" ht="13.15" customHeight="1">
      <c r="C209" s="1095"/>
      <c r="F209" s="410"/>
      <c r="G209" s="410"/>
      <c r="H209" s="410"/>
      <c r="I209" s="410"/>
      <c r="J209" s="410"/>
      <c r="K209" s="1094"/>
      <c r="L209" s="410"/>
      <c r="M209" s="410"/>
      <c r="S209" s="314"/>
    </row>
    <row r="210" spans="3:19" ht="13.15" customHeight="1">
      <c r="C210" s="1095"/>
      <c r="F210" s="410"/>
      <c r="G210" s="410"/>
      <c r="H210" s="410"/>
      <c r="I210" s="410"/>
      <c r="J210" s="410"/>
      <c r="K210" s="1094"/>
      <c r="L210" s="410"/>
      <c r="M210" s="410"/>
      <c r="S210" s="314"/>
    </row>
    <row r="211" spans="3:19" ht="13.15" customHeight="1">
      <c r="C211" s="1095"/>
      <c r="F211" s="410"/>
      <c r="G211" s="410"/>
      <c r="H211" s="410"/>
      <c r="I211" s="410"/>
      <c r="J211" s="410"/>
      <c r="K211" s="1094"/>
      <c r="L211" s="410"/>
      <c r="M211" s="410"/>
      <c r="S211" s="314"/>
    </row>
    <row r="212" spans="3:19" ht="13.15" customHeight="1">
      <c r="C212" s="1095"/>
      <c r="F212" s="410"/>
      <c r="G212" s="410"/>
      <c r="H212" s="410"/>
      <c r="I212" s="410"/>
      <c r="J212" s="410"/>
      <c r="K212" s="1094"/>
      <c r="L212" s="410"/>
      <c r="M212" s="410"/>
      <c r="S212" s="314"/>
    </row>
    <row r="213" spans="3:19" ht="13.15" customHeight="1">
      <c r="C213" s="1095"/>
      <c r="F213" s="410"/>
      <c r="G213" s="410"/>
      <c r="H213" s="410"/>
      <c r="I213" s="410"/>
      <c r="J213" s="410"/>
      <c r="K213" s="1094"/>
      <c r="L213" s="410"/>
      <c r="M213" s="410"/>
      <c r="S213" s="314"/>
    </row>
    <row r="214" spans="3:19" ht="13.15" customHeight="1">
      <c r="C214" s="1095"/>
      <c r="F214" s="410"/>
      <c r="G214" s="410"/>
      <c r="H214" s="410"/>
      <c r="I214" s="410"/>
      <c r="J214" s="410"/>
      <c r="K214" s="1094"/>
      <c r="L214" s="410"/>
      <c r="M214" s="410"/>
      <c r="S214" s="314"/>
    </row>
    <row r="215" spans="3:19" ht="13.15" customHeight="1">
      <c r="C215" s="1095"/>
      <c r="F215" s="410"/>
      <c r="G215" s="410"/>
      <c r="H215" s="410"/>
      <c r="I215" s="410"/>
      <c r="J215" s="410"/>
      <c r="K215" s="1094"/>
      <c r="L215" s="410"/>
      <c r="M215" s="410"/>
      <c r="S215" s="314"/>
    </row>
    <row r="216" spans="3:19" ht="13.15" customHeight="1">
      <c r="C216" s="1095"/>
      <c r="F216" s="410"/>
      <c r="G216" s="410"/>
      <c r="H216" s="410"/>
      <c r="I216" s="410"/>
      <c r="J216" s="410"/>
      <c r="K216" s="1094"/>
      <c r="L216" s="410"/>
      <c r="M216" s="410"/>
      <c r="S216" s="314"/>
    </row>
    <row r="217" spans="3:19" ht="13.15" customHeight="1">
      <c r="C217" s="1095"/>
      <c r="F217" s="410"/>
      <c r="G217" s="410"/>
      <c r="H217" s="410"/>
      <c r="I217" s="410"/>
      <c r="J217" s="410"/>
      <c r="K217" s="1094"/>
      <c r="L217" s="410"/>
      <c r="M217" s="410"/>
      <c r="S217" s="314"/>
    </row>
    <row r="218" spans="3:19" ht="13.15" customHeight="1">
      <c r="C218" s="1095"/>
      <c r="F218" s="410"/>
      <c r="G218" s="410"/>
      <c r="H218" s="410"/>
      <c r="I218" s="410"/>
      <c r="J218" s="410"/>
      <c r="K218" s="1094"/>
      <c r="L218" s="410"/>
      <c r="M218" s="410"/>
      <c r="S218" s="314"/>
    </row>
    <row r="219" spans="3:19" ht="13.15" customHeight="1">
      <c r="C219" s="1095"/>
      <c r="F219" s="410"/>
      <c r="G219" s="410"/>
      <c r="H219" s="410"/>
      <c r="I219" s="410"/>
      <c r="J219" s="410"/>
      <c r="K219" s="1094"/>
      <c r="L219" s="410"/>
      <c r="M219" s="410"/>
      <c r="S219" s="314"/>
    </row>
    <row r="220" spans="3:19" ht="13.15" customHeight="1">
      <c r="C220" s="1095"/>
      <c r="F220" s="410"/>
      <c r="G220" s="410"/>
      <c r="H220" s="410"/>
      <c r="I220" s="410"/>
      <c r="J220" s="410"/>
      <c r="K220" s="1094"/>
      <c r="L220" s="410"/>
      <c r="M220" s="410"/>
      <c r="S220" s="314"/>
    </row>
    <row r="221" spans="3:19" ht="13.15" customHeight="1">
      <c r="C221" s="1095"/>
      <c r="F221" s="410"/>
      <c r="G221" s="410"/>
      <c r="H221" s="410"/>
      <c r="I221" s="410"/>
      <c r="J221" s="410"/>
      <c r="K221" s="1094"/>
      <c r="L221" s="410"/>
      <c r="M221" s="410"/>
      <c r="S221" s="314"/>
    </row>
    <row r="222" spans="3:19" ht="13.15" customHeight="1">
      <c r="C222" s="1095"/>
      <c r="F222" s="410"/>
      <c r="G222" s="410"/>
      <c r="H222" s="410"/>
      <c r="I222" s="410"/>
      <c r="J222" s="410"/>
      <c r="K222" s="1094"/>
      <c r="L222" s="410"/>
      <c r="M222" s="410"/>
      <c r="S222" s="314"/>
    </row>
    <row r="223" spans="3:19" ht="13.15" customHeight="1">
      <c r="C223" s="1095"/>
      <c r="F223" s="410"/>
      <c r="G223" s="410"/>
      <c r="H223" s="410"/>
      <c r="I223" s="410"/>
      <c r="J223" s="410"/>
      <c r="K223" s="1094"/>
      <c r="L223" s="410"/>
      <c r="M223" s="410"/>
      <c r="S223" s="314"/>
    </row>
    <row r="224" spans="3:19" ht="13.15" customHeight="1">
      <c r="C224" s="1095"/>
      <c r="F224" s="410"/>
      <c r="G224" s="410"/>
      <c r="H224" s="410"/>
      <c r="I224" s="410"/>
      <c r="J224" s="410"/>
      <c r="K224" s="1094"/>
      <c r="L224" s="410"/>
      <c r="M224" s="410"/>
      <c r="S224" s="314"/>
    </row>
    <row r="225" spans="3:19" ht="13.15" customHeight="1">
      <c r="C225" s="1095"/>
      <c r="F225" s="410"/>
      <c r="G225" s="410"/>
      <c r="H225" s="410"/>
      <c r="I225" s="410"/>
      <c r="J225" s="410"/>
      <c r="K225" s="1094"/>
      <c r="L225" s="410"/>
      <c r="M225" s="410"/>
      <c r="S225" s="314"/>
    </row>
    <row r="226" spans="3:19" ht="13.15" customHeight="1">
      <c r="C226" s="1095"/>
      <c r="F226" s="410"/>
      <c r="G226" s="410"/>
      <c r="H226" s="410"/>
      <c r="I226" s="410"/>
      <c r="J226" s="410"/>
      <c r="K226" s="1094"/>
      <c r="L226" s="410"/>
      <c r="M226" s="410"/>
      <c r="S226" s="314"/>
    </row>
    <row r="227" spans="3:19" ht="13.15" customHeight="1">
      <c r="C227" s="1095"/>
      <c r="F227" s="410"/>
      <c r="G227" s="410"/>
      <c r="H227" s="410"/>
      <c r="I227" s="410"/>
      <c r="J227" s="410"/>
      <c r="K227" s="1094"/>
      <c r="L227" s="410"/>
      <c r="M227" s="410"/>
      <c r="S227" s="314"/>
    </row>
    <row r="228" spans="3:19" ht="13.15" customHeight="1">
      <c r="C228" s="1095"/>
      <c r="F228" s="410"/>
      <c r="G228" s="410"/>
      <c r="H228" s="410"/>
      <c r="I228" s="410"/>
      <c r="J228" s="410"/>
      <c r="K228" s="1094"/>
      <c r="L228" s="410"/>
      <c r="M228" s="410"/>
      <c r="S228" s="314"/>
    </row>
    <row r="229" spans="3:19" ht="13.15" customHeight="1">
      <c r="C229" s="1095"/>
      <c r="F229" s="410"/>
      <c r="G229" s="410"/>
      <c r="H229" s="410"/>
      <c r="I229" s="410"/>
      <c r="J229" s="410"/>
      <c r="K229" s="1094"/>
      <c r="L229" s="410"/>
      <c r="M229" s="410"/>
      <c r="S229" s="314"/>
    </row>
    <row r="230" spans="3:19" ht="13.15" customHeight="1">
      <c r="C230" s="1095"/>
      <c r="F230" s="410"/>
      <c r="G230" s="410"/>
      <c r="H230" s="410"/>
      <c r="I230" s="410"/>
      <c r="J230" s="410"/>
      <c r="K230" s="1094"/>
      <c r="L230" s="410"/>
      <c r="M230" s="410"/>
      <c r="S230" s="314"/>
    </row>
    <row r="231" spans="3:19" ht="13.15" customHeight="1">
      <c r="C231" s="1095"/>
      <c r="F231" s="410"/>
      <c r="G231" s="410"/>
      <c r="H231" s="410"/>
      <c r="I231" s="410"/>
      <c r="J231" s="410"/>
      <c r="K231" s="1094"/>
      <c r="L231" s="410"/>
      <c r="M231" s="410"/>
      <c r="S231" s="314"/>
    </row>
    <row r="232" spans="3:19" ht="13.15" customHeight="1">
      <c r="C232" s="1095"/>
      <c r="F232" s="410"/>
      <c r="G232" s="410"/>
      <c r="H232" s="410"/>
      <c r="I232" s="410"/>
      <c r="J232" s="410"/>
      <c r="K232" s="1094"/>
      <c r="L232" s="410"/>
      <c r="M232" s="410"/>
      <c r="S232" s="314"/>
    </row>
    <row r="233" spans="3:19" ht="13.15" customHeight="1">
      <c r="C233" s="1095"/>
      <c r="F233" s="410"/>
      <c r="G233" s="410"/>
      <c r="H233" s="410"/>
      <c r="I233" s="410"/>
      <c r="J233" s="410"/>
      <c r="K233" s="1094"/>
      <c r="L233" s="410"/>
      <c r="M233" s="410"/>
      <c r="S233" s="314"/>
    </row>
    <row r="234" spans="3:19" ht="13.15" customHeight="1">
      <c r="C234" s="1095"/>
      <c r="F234" s="410"/>
      <c r="G234" s="410"/>
      <c r="H234" s="410"/>
      <c r="I234" s="410"/>
      <c r="J234" s="410"/>
      <c r="K234" s="1094"/>
      <c r="L234" s="410"/>
      <c r="M234" s="410"/>
      <c r="S234" s="314"/>
    </row>
    <row r="235" spans="3:19" ht="13.15" customHeight="1">
      <c r="C235" s="1095"/>
      <c r="F235" s="410"/>
      <c r="G235" s="410"/>
      <c r="H235" s="410"/>
      <c r="I235" s="410"/>
      <c r="J235" s="410"/>
      <c r="K235" s="1094"/>
      <c r="L235" s="410"/>
      <c r="M235" s="410"/>
      <c r="S235" s="314"/>
    </row>
    <row r="236" spans="3:19" ht="13.15" customHeight="1">
      <c r="C236" s="1095"/>
      <c r="F236" s="410"/>
      <c r="G236" s="410"/>
      <c r="H236" s="410"/>
      <c r="I236" s="410"/>
      <c r="J236" s="410"/>
      <c r="K236" s="1094"/>
      <c r="L236" s="410"/>
      <c r="M236" s="410"/>
      <c r="S236" s="314"/>
    </row>
    <row r="237" spans="3:19" ht="13.15" customHeight="1">
      <c r="C237" s="1095"/>
      <c r="F237" s="410"/>
      <c r="G237" s="410"/>
      <c r="H237" s="410"/>
      <c r="I237" s="410"/>
      <c r="J237" s="410"/>
      <c r="K237" s="1094"/>
      <c r="L237" s="410"/>
      <c r="M237" s="410"/>
      <c r="S237" s="314"/>
    </row>
    <row r="238" spans="3:19" ht="13.15" customHeight="1">
      <c r="C238" s="1095"/>
      <c r="F238" s="410"/>
      <c r="G238" s="410"/>
      <c r="H238" s="410"/>
      <c r="I238" s="410"/>
      <c r="J238" s="410"/>
      <c r="K238" s="1094"/>
      <c r="L238" s="410"/>
      <c r="M238" s="410"/>
      <c r="S238" s="314"/>
    </row>
    <row r="239" spans="3:19" ht="13.15" customHeight="1">
      <c r="C239" s="1095"/>
      <c r="F239" s="410"/>
      <c r="G239" s="410"/>
      <c r="H239" s="410"/>
      <c r="I239" s="410"/>
      <c r="J239" s="410"/>
      <c r="K239" s="1094"/>
      <c r="L239" s="410"/>
      <c r="M239" s="410"/>
      <c r="S239" s="314"/>
    </row>
    <row r="240" spans="3:19" ht="13.15" customHeight="1">
      <c r="C240" s="1095"/>
      <c r="F240" s="410"/>
      <c r="G240" s="410"/>
      <c r="H240" s="410"/>
      <c r="I240" s="410"/>
      <c r="J240" s="410"/>
      <c r="K240" s="1094"/>
      <c r="L240" s="410"/>
      <c r="M240" s="410"/>
      <c r="S240" s="314"/>
    </row>
    <row r="241" spans="3:19" ht="13.15" customHeight="1">
      <c r="C241" s="1095"/>
      <c r="F241" s="410"/>
      <c r="G241" s="410"/>
      <c r="H241" s="410"/>
      <c r="I241" s="410"/>
      <c r="J241" s="410"/>
      <c r="K241" s="1094"/>
      <c r="L241" s="410"/>
      <c r="M241" s="410"/>
      <c r="S241" s="314"/>
    </row>
    <row r="242" spans="3:19" ht="13.15" customHeight="1">
      <c r="C242" s="1095"/>
      <c r="F242" s="410"/>
      <c r="G242" s="410"/>
      <c r="H242" s="410"/>
      <c r="I242" s="410"/>
      <c r="J242" s="410"/>
      <c r="K242" s="1094"/>
      <c r="L242" s="410"/>
      <c r="M242" s="410"/>
      <c r="S242" s="314"/>
    </row>
    <row r="243" spans="3:19" ht="13.15" customHeight="1">
      <c r="C243" s="1095"/>
      <c r="F243" s="410"/>
      <c r="G243" s="410"/>
      <c r="H243" s="410"/>
      <c r="I243" s="410"/>
      <c r="J243" s="410"/>
      <c r="K243" s="1094"/>
      <c r="L243" s="410"/>
      <c r="M243" s="410"/>
      <c r="S243" s="314"/>
    </row>
    <row r="244" spans="3:19" ht="13.15" customHeight="1">
      <c r="C244" s="1095"/>
      <c r="F244" s="410"/>
      <c r="G244" s="410"/>
      <c r="H244" s="410"/>
      <c r="I244" s="410"/>
      <c r="J244" s="410"/>
      <c r="K244" s="1094"/>
      <c r="L244" s="410"/>
      <c r="M244" s="410"/>
      <c r="S244" s="314"/>
    </row>
    <row r="245" spans="3:19" ht="13.15" customHeight="1">
      <c r="C245" s="1095"/>
      <c r="F245" s="410"/>
      <c r="G245" s="410"/>
      <c r="H245" s="410"/>
      <c r="I245" s="410"/>
      <c r="J245" s="410"/>
      <c r="K245" s="1094"/>
      <c r="L245" s="410"/>
      <c r="M245" s="410"/>
      <c r="S245" s="314"/>
    </row>
    <row r="246" spans="3:19" ht="13.15" customHeight="1">
      <c r="C246" s="1095"/>
      <c r="K246" s="2625"/>
      <c r="S246" s="314"/>
    </row>
    <row r="247" spans="3:19" ht="13.15" customHeight="1">
      <c r="C247" s="1095"/>
      <c r="K247" s="2625"/>
      <c r="S247" s="314"/>
    </row>
    <row r="248" spans="3:19" ht="13.15" customHeight="1">
      <c r="C248" s="1095"/>
      <c r="K248" s="2625"/>
      <c r="S248" s="314"/>
    </row>
    <row r="249" spans="3:19" ht="13.15" customHeight="1">
      <c r="C249" s="1095"/>
      <c r="K249" s="2625"/>
      <c r="S249" s="314"/>
    </row>
    <row r="250" spans="3:19" ht="13.15" customHeight="1">
      <c r="C250" s="1095"/>
      <c r="K250" s="2625"/>
      <c r="S250" s="314"/>
    </row>
    <row r="251" spans="3:19" ht="13.15" customHeight="1">
      <c r="C251" s="1095"/>
      <c r="K251" s="2625"/>
      <c r="S251" s="314"/>
    </row>
    <row r="252" spans="3:19" ht="13.15" customHeight="1">
      <c r="C252" s="1095"/>
      <c r="K252" s="2625"/>
      <c r="S252" s="314"/>
    </row>
    <row r="253" spans="3:19" ht="13.15" customHeight="1">
      <c r="C253" s="1095"/>
      <c r="K253" s="2625"/>
      <c r="S253" s="314"/>
    </row>
    <row r="254" spans="3:19" ht="13.15" customHeight="1">
      <c r="C254" s="1095"/>
      <c r="K254" s="2625"/>
      <c r="S254" s="314"/>
    </row>
    <row r="255" spans="3:19" ht="13.15" customHeight="1">
      <c r="C255" s="1095"/>
      <c r="K255" s="2625"/>
      <c r="S255" s="314"/>
    </row>
    <row r="256" spans="3:19" ht="13.15" customHeight="1">
      <c r="C256" s="1095"/>
      <c r="K256" s="2625"/>
      <c r="S256" s="314"/>
    </row>
    <row r="257" spans="3:19" ht="13.15" customHeight="1">
      <c r="C257" s="1095"/>
      <c r="K257" s="2625"/>
      <c r="S257" s="314"/>
    </row>
    <row r="258" spans="3:19" ht="13.15" customHeight="1">
      <c r="C258" s="1095"/>
      <c r="K258" s="2625"/>
      <c r="S258" s="314"/>
    </row>
    <row r="259" spans="3:19" ht="13.15" customHeight="1">
      <c r="C259" s="1095"/>
      <c r="K259" s="2625"/>
      <c r="S259" s="314"/>
    </row>
    <row r="260" spans="3:19" ht="13.15" customHeight="1">
      <c r="C260" s="1095"/>
      <c r="K260" s="2625"/>
      <c r="S260" s="314"/>
    </row>
    <row r="261" spans="3:19" ht="13.15" customHeight="1">
      <c r="C261" s="1095"/>
      <c r="K261" s="2625"/>
      <c r="S261" s="314"/>
    </row>
    <row r="262" spans="3:19" ht="13.15" customHeight="1">
      <c r="C262" s="1095"/>
      <c r="K262" s="2625"/>
      <c r="S262" s="314"/>
    </row>
    <row r="263" spans="3:19" ht="13.15" customHeight="1">
      <c r="C263" s="1095"/>
      <c r="K263" s="2625"/>
      <c r="S263" s="314"/>
    </row>
    <row r="264" spans="3:19" ht="13.15" customHeight="1">
      <c r="C264" s="1095"/>
      <c r="K264" s="2625"/>
      <c r="S264" s="314"/>
    </row>
    <row r="265" spans="3:19" ht="13.15" customHeight="1">
      <c r="C265" s="1095"/>
      <c r="K265" s="2625"/>
      <c r="S265" s="314"/>
    </row>
    <row r="266" spans="3:19" ht="13.15" customHeight="1">
      <c r="C266" s="1095"/>
      <c r="K266" s="2625"/>
      <c r="S266" s="314"/>
    </row>
    <row r="267" spans="3:19" ht="13.15" customHeight="1">
      <c r="C267" s="1095" t="s">
        <v>3017</v>
      </c>
      <c r="K267" s="2625"/>
      <c r="S267" s="314"/>
    </row>
    <row r="268" spans="3:19" ht="13.15" customHeight="1">
      <c r="C268" s="1095"/>
      <c r="K268" s="2625"/>
      <c r="S268" s="314"/>
    </row>
    <row r="269" spans="3:19" ht="13.15" customHeight="1">
      <c r="C269" s="1095"/>
      <c r="K269" s="2625"/>
      <c r="S269" s="314"/>
    </row>
    <row r="270" spans="3:19" ht="13.15" customHeight="1">
      <c r="C270" s="1095"/>
      <c r="K270" s="2625"/>
      <c r="S270" s="314"/>
    </row>
    <row r="271" spans="3:19" ht="13.15" customHeight="1">
      <c r="C271" s="1095"/>
      <c r="K271" s="2625"/>
      <c r="S271" s="314"/>
    </row>
    <row r="272" spans="3:19" ht="13.15" customHeight="1">
      <c r="C272" s="1095"/>
      <c r="K272" s="2625"/>
      <c r="S272" s="314"/>
    </row>
    <row r="273" spans="3:19" ht="13.15" customHeight="1">
      <c r="C273" s="1095"/>
      <c r="K273" s="2625"/>
      <c r="S273" s="314"/>
    </row>
    <row r="274" spans="3:19" ht="13.15" customHeight="1">
      <c r="C274" s="1095"/>
      <c r="K274" s="2625"/>
      <c r="S274" s="314"/>
    </row>
    <row r="275" spans="3:19" ht="13.15" customHeight="1">
      <c r="C275" s="1095"/>
      <c r="K275" s="2625"/>
      <c r="S275" s="314"/>
    </row>
    <row r="276" spans="3:19" ht="13.15" customHeight="1">
      <c r="C276" s="1095"/>
      <c r="K276" s="2625"/>
      <c r="S276" s="314"/>
    </row>
    <row r="277" spans="3:19" ht="13.15" customHeight="1">
      <c r="C277" s="1095"/>
      <c r="K277" s="2625"/>
      <c r="S277" s="314"/>
    </row>
    <row r="278" spans="3:19" ht="13.15" customHeight="1">
      <c r="C278" s="1095"/>
      <c r="K278" s="2625"/>
      <c r="S278" s="314"/>
    </row>
    <row r="279" spans="3:19" ht="13.15" customHeight="1">
      <c r="C279" s="1095"/>
      <c r="K279" s="2625"/>
      <c r="S279" s="314"/>
    </row>
    <row r="280" spans="3:19" ht="13.15" customHeight="1">
      <c r="C280" s="1095"/>
      <c r="K280" s="2625"/>
      <c r="S280" s="314"/>
    </row>
    <row r="281" spans="3:19" ht="13.15" customHeight="1">
      <c r="C281" s="1095"/>
      <c r="K281" s="2625"/>
      <c r="S281" s="314"/>
    </row>
    <row r="282" spans="3:19" ht="13.15" customHeight="1">
      <c r="C282" s="1095"/>
      <c r="K282" s="2625"/>
      <c r="S282" s="314"/>
    </row>
    <row r="283" spans="3:19" ht="13.15" customHeight="1">
      <c r="C283" s="1095"/>
      <c r="K283" s="2625"/>
      <c r="S283" s="314"/>
    </row>
    <row r="284" spans="3:19" ht="13.15" customHeight="1">
      <c r="C284" s="1095"/>
      <c r="K284" s="2625"/>
      <c r="S284" s="314"/>
    </row>
    <row r="285" spans="3:19" ht="13.15" customHeight="1">
      <c r="C285" s="1095"/>
      <c r="K285" s="2625"/>
      <c r="S285" s="314"/>
    </row>
    <row r="286" spans="3:19" ht="13.15" customHeight="1">
      <c r="C286" s="1095"/>
      <c r="K286" s="2625"/>
      <c r="S286" s="314"/>
    </row>
    <row r="287" spans="3:19" ht="13.15" customHeight="1">
      <c r="C287" s="1095"/>
      <c r="K287" s="2625"/>
      <c r="S287" s="314"/>
    </row>
    <row r="288" spans="3:19" ht="13.15" customHeight="1">
      <c r="C288" s="1095"/>
      <c r="K288" s="2625"/>
      <c r="S288" s="314"/>
    </row>
    <row r="289" spans="3:19" ht="13.15" customHeight="1">
      <c r="C289" s="1095"/>
      <c r="K289" s="2625"/>
      <c r="S289" s="314"/>
    </row>
    <row r="290" spans="3:19" ht="13.15" customHeight="1">
      <c r="C290" s="1095"/>
      <c r="K290" s="2625"/>
      <c r="S290" s="314"/>
    </row>
    <row r="291" spans="3:19" ht="13.15" customHeight="1">
      <c r="C291" s="1095"/>
      <c r="K291" s="2625"/>
      <c r="S291" s="314"/>
    </row>
    <row r="292" spans="3:19" ht="13.15" customHeight="1">
      <c r="C292" s="1095"/>
      <c r="K292" s="2625"/>
      <c r="S292" s="314"/>
    </row>
    <row r="293" spans="3:19" ht="13.15" customHeight="1">
      <c r="C293" s="1095"/>
      <c r="K293" s="2625"/>
      <c r="S293" s="314"/>
    </row>
    <row r="294" spans="3:19" ht="13.15" customHeight="1">
      <c r="C294" s="1095"/>
      <c r="K294" s="2625"/>
      <c r="S294" s="314"/>
    </row>
    <row r="295" spans="3:19" ht="13.15" customHeight="1">
      <c r="C295" s="1095"/>
      <c r="K295" s="2625"/>
      <c r="S295" s="314"/>
    </row>
    <row r="296" spans="3:19" ht="13.15" customHeight="1">
      <c r="C296" s="1095"/>
      <c r="K296" s="2625"/>
      <c r="S296" s="314"/>
    </row>
    <row r="297" spans="3:19" ht="13.15" customHeight="1">
      <c r="C297" s="1095"/>
      <c r="K297" s="2625"/>
      <c r="S297" s="314"/>
    </row>
    <row r="298" spans="3:19" ht="13.15" customHeight="1">
      <c r="C298" s="1095"/>
      <c r="K298" s="2625"/>
      <c r="S298" s="314"/>
    </row>
    <row r="299" spans="3:19" ht="13.15" customHeight="1">
      <c r="C299" s="1095"/>
      <c r="K299" s="2625"/>
      <c r="S299" s="314"/>
    </row>
    <row r="300" spans="3:19" ht="13.15" customHeight="1">
      <c r="C300" s="1095"/>
      <c r="K300" s="2625"/>
      <c r="S300" s="314"/>
    </row>
    <row r="301" spans="3:19" ht="13.15" customHeight="1">
      <c r="C301" s="1095"/>
      <c r="K301" s="2625"/>
      <c r="S301" s="314"/>
    </row>
    <row r="302" spans="3:19" ht="13.15" customHeight="1">
      <c r="C302" s="1095"/>
      <c r="K302" s="2625"/>
      <c r="S302" s="314"/>
    </row>
    <row r="303" spans="3:19" ht="13.15" customHeight="1">
      <c r="C303" s="1095"/>
      <c r="K303" s="2625"/>
      <c r="S303" s="314"/>
    </row>
    <row r="304" spans="3:19" ht="13.15" customHeight="1">
      <c r="C304" s="1095"/>
      <c r="K304" s="2625"/>
      <c r="S304" s="314"/>
    </row>
    <row r="305" spans="3:19" ht="13.15" customHeight="1">
      <c r="C305" s="1095"/>
      <c r="K305" s="2625"/>
      <c r="S305" s="314"/>
    </row>
    <row r="306" spans="3:19" ht="13.15" customHeight="1">
      <c r="C306" s="1095"/>
      <c r="K306" s="2625"/>
      <c r="S306" s="314"/>
    </row>
    <row r="307" spans="3:19" ht="13.15" customHeight="1">
      <c r="C307" s="1095"/>
      <c r="K307" s="2625"/>
      <c r="S307" s="314"/>
    </row>
    <row r="308" spans="3:19" ht="13.15" customHeight="1">
      <c r="C308" s="1095"/>
      <c r="K308" s="2625"/>
      <c r="S308" s="314"/>
    </row>
    <row r="309" spans="3:19" ht="13.15" customHeight="1">
      <c r="C309" s="1095"/>
      <c r="K309" s="2625"/>
      <c r="S309" s="314"/>
    </row>
    <row r="310" spans="3:19" ht="13.15" customHeight="1">
      <c r="C310" s="1095"/>
      <c r="K310" s="2625"/>
      <c r="S310" s="314"/>
    </row>
    <row r="311" spans="3:19" ht="13.15" customHeight="1">
      <c r="C311" s="1095"/>
      <c r="K311" s="2625"/>
      <c r="S311" s="314"/>
    </row>
    <row r="312" spans="3:19" ht="13.15" customHeight="1">
      <c r="C312" s="1095"/>
      <c r="K312" s="2625"/>
      <c r="S312" s="314"/>
    </row>
    <row r="313" spans="3:19" ht="13.15" customHeight="1">
      <c r="C313" s="1095"/>
      <c r="K313" s="2625"/>
      <c r="S313" s="314"/>
    </row>
    <row r="314" spans="3:19" ht="13.15" customHeight="1">
      <c r="C314" s="1095"/>
      <c r="K314" s="2625"/>
      <c r="S314" s="314"/>
    </row>
    <row r="315" spans="3:19" ht="13.15" customHeight="1">
      <c r="C315" s="1095"/>
      <c r="K315" s="2625"/>
      <c r="S315" s="314"/>
    </row>
    <row r="316" spans="3:19" ht="13.15" customHeight="1">
      <c r="C316" s="1095"/>
      <c r="K316" s="2625"/>
      <c r="S316" s="314"/>
    </row>
    <row r="317" spans="3:19" ht="13.15" customHeight="1">
      <c r="C317" s="1095"/>
      <c r="K317" s="2625"/>
      <c r="S317" s="314"/>
    </row>
    <row r="318" spans="3:19" ht="13.15" customHeight="1">
      <c r="C318" s="1095"/>
      <c r="K318" s="2625"/>
      <c r="S318" s="314"/>
    </row>
    <row r="319" spans="3:19" ht="13.15" customHeight="1">
      <c r="C319" s="1095"/>
      <c r="K319" s="2625"/>
      <c r="S319" s="314"/>
    </row>
    <row r="320" spans="3:19" ht="13.15" customHeight="1">
      <c r="C320" s="1095"/>
      <c r="K320" s="2625"/>
      <c r="S320" s="314"/>
    </row>
    <row r="321" spans="3:19" ht="13.15" customHeight="1">
      <c r="C321" s="1095"/>
      <c r="K321" s="2625"/>
      <c r="S321" s="314"/>
    </row>
    <row r="322" spans="3:19" ht="13.15" customHeight="1">
      <c r="C322" s="1095"/>
      <c r="K322" s="2625"/>
      <c r="S322" s="314"/>
    </row>
    <row r="323" spans="3:19" ht="13.15" customHeight="1">
      <c r="C323" s="1095"/>
      <c r="K323" s="2625"/>
      <c r="S323" s="314"/>
    </row>
    <row r="324" spans="3:19" ht="13.15" customHeight="1">
      <c r="C324" s="1095"/>
      <c r="K324" s="2625"/>
      <c r="S324" s="314"/>
    </row>
    <row r="325" spans="3:19" ht="13.15" customHeight="1">
      <c r="C325" s="1095"/>
      <c r="K325" s="2625"/>
      <c r="S325" s="314"/>
    </row>
    <row r="326" spans="3:19" ht="13.15" customHeight="1">
      <c r="C326" s="1095"/>
      <c r="K326" s="2625"/>
      <c r="S326" s="314"/>
    </row>
    <row r="327" spans="3:19" ht="13.15" customHeight="1">
      <c r="C327" s="1095"/>
      <c r="K327" s="2625"/>
      <c r="S327" s="314"/>
    </row>
    <row r="328" spans="3:19" ht="13.15" customHeight="1">
      <c r="C328" s="1095"/>
      <c r="K328" s="2625"/>
      <c r="S328" s="314"/>
    </row>
    <row r="329" spans="3:19" ht="13.15" customHeight="1">
      <c r="C329" s="1095"/>
      <c r="K329" s="2625"/>
      <c r="S329" s="314"/>
    </row>
    <row r="330" spans="3:19" ht="13.15" customHeight="1">
      <c r="C330" s="1095"/>
      <c r="K330" s="2625"/>
      <c r="S330" s="314"/>
    </row>
    <row r="331" spans="3:19" ht="13.15" customHeight="1">
      <c r="C331" s="1095"/>
      <c r="K331" s="2625"/>
      <c r="S331" s="314"/>
    </row>
    <row r="332" spans="3:19" ht="13.15" customHeight="1">
      <c r="C332" s="1095"/>
      <c r="K332" s="2625"/>
      <c r="S332" s="314"/>
    </row>
    <row r="333" spans="3:19" ht="13.15" customHeight="1">
      <c r="C333" s="1095"/>
      <c r="K333" s="2625"/>
      <c r="S333" s="314"/>
    </row>
    <row r="334" spans="3:19" ht="13.15" customHeight="1">
      <c r="C334" s="1095"/>
      <c r="K334" s="2625"/>
      <c r="S334" s="314"/>
    </row>
    <row r="335" spans="3:19" ht="13.15" customHeight="1">
      <c r="C335" s="1095"/>
      <c r="K335" s="2625"/>
      <c r="S335" s="314"/>
    </row>
    <row r="336" spans="3:19" ht="13.15" customHeight="1">
      <c r="C336" s="1095"/>
      <c r="K336" s="2625"/>
      <c r="S336" s="314"/>
    </row>
    <row r="337" spans="3:19" ht="13.15" customHeight="1">
      <c r="C337" s="1095"/>
      <c r="K337" s="2625"/>
      <c r="S337" s="314"/>
    </row>
    <row r="338" spans="3:19" ht="13.15" customHeight="1">
      <c r="C338" s="1095"/>
      <c r="K338" s="2625"/>
      <c r="S338" s="314"/>
    </row>
    <row r="339" spans="3:19" ht="13.15" customHeight="1">
      <c r="C339" s="1095"/>
      <c r="K339" s="2625"/>
      <c r="S339" s="314"/>
    </row>
    <row r="340" spans="3:19" ht="13.15" customHeight="1">
      <c r="C340" s="1095"/>
      <c r="K340" s="2625"/>
      <c r="S340" s="314"/>
    </row>
    <row r="341" spans="3:19" ht="13.15" customHeight="1">
      <c r="C341" s="1095"/>
      <c r="K341" s="2625"/>
      <c r="S341" s="314"/>
    </row>
    <row r="342" spans="3:19" ht="13.15" customHeight="1">
      <c r="C342" s="1095"/>
      <c r="K342" s="2625"/>
      <c r="S342" s="314"/>
    </row>
    <row r="343" spans="3:19" ht="13.15" customHeight="1">
      <c r="C343" s="1095"/>
      <c r="K343" s="2625"/>
      <c r="S343" s="314"/>
    </row>
    <row r="344" spans="3:19" ht="13.15" customHeight="1">
      <c r="C344" s="1095"/>
      <c r="K344" s="2625"/>
      <c r="S344" s="314"/>
    </row>
    <row r="345" spans="3:19" ht="13.15" customHeight="1">
      <c r="C345" s="1095"/>
      <c r="K345" s="2625"/>
      <c r="S345" s="314"/>
    </row>
    <row r="346" spans="3:19" ht="13.15" customHeight="1">
      <c r="C346" s="1095" t="s">
        <v>3017</v>
      </c>
      <c r="K346" s="2625"/>
      <c r="S346" s="314"/>
    </row>
    <row r="347" spans="3:19" ht="13.15" customHeight="1">
      <c r="C347" s="1095"/>
      <c r="K347" s="2625"/>
      <c r="S347" s="314"/>
    </row>
    <row r="348" spans="3:19" ht="13.15" customHeight="1">
      <c r="C348" s="1095"/>
      <c r="K348" s="2625"/>
      <c r="S348" s="314"/>
    </row>
    <row r="349" spans="3:19" ht="13.15" customHeight="1">
      <c r="C349" s="1095"/>
      <c r="K349" s="2625"/>
      <c r="S349" s="314"/>
    </row>
    <row r="350" spans="3:19" ht="13.15" customHeight="1">
      <c r="C350" s="1095"/>
      <c r="K350" s="2625"/>
      <c r="S350" s="314"/>
    </row>
    <row r="351" spans="3:19" ht="13.15" customHeight="1">
      <c r="C351" s="1095"/>
      <c r="K351" s="2625"/>
      <c r="S351" s="314"/>
    </row>
    <row r="352" spans="3:19" ht="13.15" customHeight="1">
      <c r="C352" s="1095"/>
      <c r="K352" s="2625"/>
      <c r="S352" s="314"/>
    </row>
    <row r="353" spans="3:19" ht="13.15" customHeight="1">
      <c r="C353" s="1095"/>
      <c r="K353" s="2625"/>
      <c r="S353" s="314"/>
    </row>
    <row r="354" spans="3:19" ht="13.15" customHeight="1">
      <c r="C354" s="1095"/>
      <c r="K354" s="2625"/>
      <c r="S354" s="314"/>
    </row>
    <row r="355" spans="3:19" ht="13.15" customHeight="1">
      <c r="C355" s="1095"/>
      <c r="K355" s="2625"/>
      <c r="S355" s="314"/>
    </row>
    <row r="356" spans="3:19" ht="13.15" customHeight="1">
      <c r="C356" s="1095"/>
      <c r="K356" s="2625"/>
      <c r="S356" s="314"/>
    </row>
    <row r="357" spans="3:19" ht="13.15" customHeight="1">
      <c r="C357" s="1095"/>
      <c r="K357" s="2625"/>
      <c r="S357" s="314"/>
    </row>
    <row r="358" spans="3:19" ht="13.15" customHeight="1">
      <c r="C358" s="1095"/>
      <c r="K358" s="2625"/>
      <c r="S358" s="314"/>
    </row>
    <row r="359" spans="3:19" ht="13.15" customHeight="1">
      <c r="C359" s="1095"/>
      <c r="K359" s="2625"/>
      <c r="S359" s="314"/>
    </row>
    <row r="360" spans="3:19" ht="13.15" customHeight="1">
      <c r="C360" s="1095"/>
      <c r="K360" s="2625"/>
      <c r="S360" s="314"/>
    </row>
    <row r="361" spans="3:19" ht="13.15" customHeight="1">
      <c r="C361" s="1095"/>
      <c r="K361" s="2625"/>
      <c r="S361" s="314"/>
    </row>
    <row r="362" spans="3:19" ht="13.15" customHeight="1">
      <c r="C362" s="1095"/>
      <c r="K362" s="2625"/>
      <c r="S362" s="314"/>
    </row>
    <row r="363" spans="3:19" ht="13.15" customHeight="1">
      <c r="C363" s="1095"/>
      <c r="K363" s="2625"/>
      <c r="S363" s="314"/>
    </row>
    <row r="364" spans="3:19" ht="13.15" customHeight="1">
      <c r="C364" s="1095"/>
      <c r="K364" s="2625"/>
      <c r="S364" s="314"/>
    </row>
    <row r="365" spans="3:19" ht="13.15" customHeight="1">
      <c r="C365" s="1095"/>
      <c r="K365" s="2625"/>
      <c r="S365" s="314"/>
    </row>
    <row r="366" spans="3:19" ht="13.15" customHeight="1">
      <c r="C366" s="1095"/>
      <c r="K366" s="2625"/>
      <c r="S366" s="314"/>
    </row>
    <row r="367" spans="3:19" ht="13.15" customHeight="1">
      <c r="C367" s="1095"/>
      <c r="K367" s="2625"/>
      <c r="S367" s="314"/>
    </row>
    <row r="368" spans="3:19" ht="13.15" customHeight="1">
      <c r="C368" s="1095"/>
      <c r="K368" s="2625"/>
      <c r="S368" s="314"/>
    </row>
    <row r="369" spans="3:19" ht="13.15" customHeight="1">
      <c r="C369" s="1095"/>
      <c r="K369" s="2625"/>
      <c r="S369" s="314"/>
    </row>
    <row r="370" spans="3:19" ht="13.15" customHeight="1">
      <c r="C370" s="1095"/>
      <c r="K370" s="2625"/>
      <c r="S370" s="314"/>
    </row>
    <row r="371" spans="3:19" ht="13.15" customHeight="1">
      <c r="C371" s="1095"/>
      <c r="K371" s="2625"/>
      <c r="S371" s="314"/>
    </row>
    <row r="372" spans="3:19" ht="13.15" customHeight="1">
      <c r="C372" s="1095"/>
      <c r="K372" s="2625"/>
      <c r="S372" s="314"/>
    </row>
    <row r="373" spans="3:19" ht="13.15" customHeight="1">
      <c r="C373" s="1095"/>
      <c r="K373" s="2625"/>
      <c r="S373" s="314"/>
    </row>
    <row r="374" spans="3:19" ht="13.15" customHeight="1">
      <c r="C374" s="1095"/>
      <c r="K374" s="2625"/>
      <c r="S374" s="314"/>
    </row>
    <row r="375" spans="3:19" ht="13.15" customHeight="1">
      <c r="C375" s="1095"/>
      <c r="K375" s="2625"/>
      <c r="S375" s="314"/>
    </row>
    <row r="376" spans="3:19" ht="13.15" customHeight="1">
      <c r="C376" s="1095"/>
      <c r="K376" s="2625"/>
      <c r="S376" s="314"/>
    </row>
    <row r="377" spans="3:19" ht="13.15" customHeight="1">
      <c r="C377" s="1095"/>
      <c r="K377" s="2625"/>
      <c r="S377" s="314"/>
    </row>
    <row r="378" spans="3:19" ht="13.15" customHeight="1">
      <c r="C378" s="1095"/>
      <c r="K378" s="2625"/>
      <c r="S378" s="314"/>
    </row>
    <row r="379" spans="3:19" ht="13.15" customHeight="1">
      <c r="C379" s="1095"/>
      <c r="K379" s="2625"/>
      <c r="S379" s="314"/>
    </row>
    <row r="380" spans="3:19" ht="13.15" customHeight="1">
      <c r="C380" s="1095"/>
      <c r="K380" s="2625"/>
      <c r="S380" s="314"/>
    </row>
    <row r="381" spans="3:19" ht="13.15" customHeight="1">
      <c r="C381" s="1095"/>
      <c r="K381" s="2625"/>
      <c r="S381" s="314"/>
    </row>
    <row r="382" spans="3:19" ht="13.15" customHeight="1">
      <c r="C382" s="1095"/>
      <c r="K382" s="2625"/>
      <c r="S382" s="314"/>
    </row>
    <row r="383" spans="3:19" ht="13.15" customHeight="1">
      <c r="C383" s="1095"/>
      <c r="K383" s="2625"/>
      <c r="S383" s="314"/>
    </row>
    <row r="384" spans="3:19" ht="13.15" customHeight="1">
      <c r="C384" s="1095"/>
      <c r="K384" s="2625"/>
      <c r="S384" s="314"/>
    </row>
    <row r="385" spans="3:19" ht="13.15" customHeight="1">
      <c r="C385" s="1095"/>
      <c r="K385" s="2625"/>
      <c r="S385" s="314"/>
    </row>
    <row r="386" spans="3:19" ht="13.15" customHeight="1">
      <c r="C386" s="1095"/>
      <c r="K386" s="2625"/>
      <c r="S386" s="314"/>
    </row>
    <row r="387" spans="3:19" ht="13.15" customHeight="1">
      <c r="C387" s="1095"/>
      <c r="K387" s="2625"/>
      <c r="S387" s="314"/>
    </row>
    <row r="388" spans="3:19" ht="13.15" customHeight="1">
      <c r="C388" s="1095"/>
      <c r="K388" s="2625"/>
      <c r="S388" s="314"/>
    </row>
    <row r="389" spans="3:19" ht="13.15" customHeight="1">
      <c r="C389" s="1095"/>
      <c r="K389" s="2625"/>
      <c r="S389" s="314"/>
    </row>
    <row r="390" spans="3:19" ht="13.15" customHeight="1">
      <c r="C390" s="1095"/>
      <c r="K390" s="2625"/>
      <c r="S390" s="314"/>
    </row>
    <row r="391" spans="3:19" ht="13.15" customHeight="1">
      <c r="C391" s="1095"/>
      <c r="K391" s="2625"/>
      <c r="S391" s="314"/>
    </row>
    <row r="392" spans="3:19" ht="13.15" customHeight="1">
      <c r="C392" s="1095"/>
      <c r="K392" s="2625"/>
      <c r="S392" s="314"/>
    </row>
    <row r="393" spans="3:19" ht="13.15" customHeight="1">
      <c r="C393" s="1095"/>
      <c r="K393" s="2625"/>
      <c r="S393" s="314"/>
    </row>
    <row r="394" spans="3:19" ht="13.15" customHeight="1">
      <c r="C394" s="1095"/>
      <c r="K394" s="2625"/>
      <c r="S394" s="314"/>
    </row>
    <row r="395" spans="3:19" ht="13.15" customHeight="1">
      <c r="C395" s="1095"/>
      <c r="K395" s="2625"/>
      <c r="S395" s="314"/>
    </row>
    <row r="396" spans="3:19" ht="13.15" customHeight="1">
      <c r="C396" s="1095"/>
      <c r="K396" s="2625"/>
      <c r="S396" s="314"/>
    </row>
    <row r="397" spans="3:19" ht="13.15" customHeight="1">
      <c r="C397" s="1095"/>
      <c r="K397" s="2625"/>
      <c r="S397" s="314"/>
    </row>
    <row r="398" spans="3:19" ht="13.15" customHeight="1">
      <c r="C398" s="1095"/>
      <c r="K398" s="2625"/>
      <c r="S398" s="314"/>
    </row>
    <row r="399" spans="3:19" ht="13.15" customHeight="1">
      <c r="C399" s="1095"/>
      <c r="K399" s="2625"/>
      <c r="S399" s="314"/>
    </row>
    <row r="400" spans="3:19" ht="13.15" customHeight="1">
      <c r="C400" s="1095"/>
      <c r="K400" s="2625"/>
      <c r="S400" s="314"/>
    </row>
    <row r="401" spans="3:19" ht="13.15" customHeight="1">
      <c r="C401" s="1095"/>
      <c r="K401" s="2625"/>
      <c r="S401" s="314"/>
    </row>
    <row r="402" spans="3:19" ht="13.15" customHeight="1">
      <c r="C402" s="1095"/>
      <c r="K402" s="2625"/>
      <c r="S402" s="314"/>
    </row>
    <row r="403" spans="3:19" ht="13.15" customHeight="1">
      <c r="C403" s="1095"/>
      <c r="K403" s="2625"/>
      <c r="S403" s="314"/>
    </row>
    <row r="404" spans="3:19" ht="13.15" customHeight="1">
      <c r="C404" s="1095"/>
      <c r="K404" s="2625"/>
      <c r="S404" s="314"/>
    </row>
    <row r="405" spans="3:19" ht="13.15" customHeight="1">
      <c r="C405" s="1095"/>
      <c r="K405" s="2625"/>
      <c r="S405" s="314"/>
    </row>
    <row r="406" spans="3:19" ht="13.15" customHeight="1">
      <c r="C406" s="1095"/>
      <c r="K406" s="2625"/>
      <c r="S406" s="314"/>
    </row>
    <row r="407" spans="3:19" ht="13.15" customHeight="1">
      <c r="C407" s="1095"/>
      <c r="K407" s="2625"/>
      <c r="S407" s="314"/>
    </row>
    <row r="408" spans="3:19" ht="13.15" customHeight="1">
      <c r="C408" s="1095"/>
      <c r="K408" s="2625"/>
      <c r="S408" s="314"/>
    </row>
    <row r="409" spans="3:19" ht="13.15" customHeight="1">
      <c r="C409" s="1095"/>
      <c r="K409" s="2625"/>
      <c r="S409" s="314"/>
    </row>
    <row r="410" spans="3:19" ht="13.15" customHeight="1">
      <c r="C410" s="1095"/>
      <c r="K410" s="2625"/>
      <c r="S410" s="314"/>
    </row>
    <row r="411" spans="3:19" ht="13.15" customHeight="1">
      <c r="C411" s="1095"/>
      <c r="K411" s="2625"/>
      <c r="S411" s="314"/>
    </row>
    <row r="412" spans="3:19" ht="13.15" customHeight="1">
      <c r="C412" s="1095"/>
      <c r="K412" s="2625"/>
      <c r="S412" s="314"/>
    </row>
    <row r="413" spans="3:19" ht="13.15" customHeight="1">
      <c r="C413" s="1095"/>
      <c r="K413" s="2625"/>
      <c r="S413" s="314"/>
    </row>
    <row r="414" spans="3:19" ht="13.15" customHeight="1">
      <c r="C414" s="1095"/>
      <c r="K414" s="2625"/>
      <c r="S414" s="314"/>
    </row>
    <row r="415" spans="3:19" ht="13.15" customHeight="1">
      <c r="C415" s="1095"/>
      <c r="K415" s="2625"/>
      <c r="S415" s="314"/>
    </row>
    <row r="416" spans="3:19" ht="13.15" customHeight="1">
      <c r="C416" s="1095"/>
      <c r="K416" s="2625"/>
      <c r="S416" s="314"/>
    </row>
    <row r="417" spans="3:19" ht="13.15" customHeight="1">
      <c r="C417" s="1095"/>
      <c r="K417" s="2625"/>
      <c r="S417" s="314"/>
    </row>
    <row r="418" spans="3:19" ht="13.15" customHeight="1">
      <c r="C418" s="1095"/>
      <c r="K418" s="2625"/>
      <c r="S418" s="314"/>
    </row>
    <row r="419" spans="3:19" ht="13.15" customHeight="1">
      <c r="C419" s="1095"/>
      <c r="K419" s="2625"/>
      <c r="S419" s="314"/>
    </row>
    <row r="420" spans="3:19" ht="13.15" customHeight="1">
      <c r="C420" s="1095"/>
      <c r="K420" s="2625"/>
      <c r="S420" s="314"/>
    </row>
    <row r="421" spans="3:19" ht="13.15" customHeight="1">
      <c r="C421" s="1095"/>
      <c r="K421" s="2625"/>
      <c r="S421" s="314"/>
    </row>
    <row r="422" spans="3:19" ht="13.15" customHeight="1">
      <c r="C422" s="1095"/>
      <c r="K422" s="2625"/>
      <c r="S422" s="314"/>
    </row>
    <row r="423" spans="3:19" ht="13.15" customHeight="1">
      <c r="C423" s="1095"/>
      <c r="K423" s="2625"/>
      <c r="S423" s="314"/>
    </row>
    <row r="424" spans="3:19" ht="13.15" customHeight="1">
      <c r="C424" s="1095"/>
      <c r="K424" s="2625"/>
      <c r="S424" s="314"/>
    </row>
    <row r="425" spans="3:19" ht="13.15" customHeight="1">
      <c r="C425" s="1095" t="s">
        <v>3017</v>
      </c>
      <c r="K425" s="2625"/>
      <c r="S425" s="314"/>
    </row>
    <row r="426" spans="3:19" ht="13.15" customHeight="1">
      <c r="C426" s="1095"/>
      <c r="K426" s="2625"/>
      <c r="S426" s="314"/>
    </row>
    <row r="427" spans="3:19" ht="13.15" customHeight="1">
      <c r="C427" s="1095"/>
      <c r="K427" s="2625"/>
      <c r="S427" s="314"/>
    </row>
    <row r="428" spans="3:19" ht="13.15" customHeight="1">
      <c r="C428" s="1095"/>
      <c r="K428" s="2625"/>
      <c r="S428" s="314"/>
    </row>
    <row r="429" spans="3:19" ht="9" customHeight="1">
      <c r="C429" s="1095"/>
      <c r="K429" s="2625"/>
      <c r="S429" s="314"/>
    </row>
    <row r="430" spans="3:19" ht="7.5" customHeight="1">
      <c r="C430" s="1095"/>
      <c r="K430" s="2625"/>
      <c r="S430" s="314"/>
    </row>
    <row r="431" spans="3:19">
      <c r="C431" s="1095"/>
      <c r="K431" s="2625"/>
      <c r="S431" s="314"/>
    </row>
  </sheetData>
  <sheetProtection algorithmName="SHA-512" hashValue="okDye1tRnloS3ZJXWZHTzNxAnnCLlsJ/8B/oVhnfFH5GCuxXEvQ7QVD3NHPGQB4eCQsjhsuwdiqTecvxFJzk1Q==" saltValue="c8gsn2z2n9UWZ3NPOGDJy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636" t="s">
        <v>3505</v>
      </c>
      <c r="B2" s="4637"/>
      <c r="C2" s="4637"/>
      <c r="D2" s="4637"/>
      <c r="E2" s="4637"/>
      <c r="F2" s="4637"/>
      <c r="G2" s="4637"/>
      <c r="H2" s="4637"/>
      <c r="I2" s="4637"/>
      <c r="J2" s="4637"/>
      <c r="K2" s="4637"/>
      <c r="L2" s="4637"/>
      <c r="M2" s="4637"/>
      <c r="N2" s="4637"/>
      <c r="O2" s="4637"/>
      <c r="P2" s="4637"/>
      <c r="Q2" s="4637"/>
      <c r="R2" s="4638"/>
      <c r="S2" s="2512"/>
      <c r="T2" s="2512"/>
      <c r="U2" s="2512"/>
      <c r="AA2" s="40"/>
      <c r="AB2" s="40"/>
    </row>
    <row r="3" spans="1:28" s="96" customFormat="1" ht="4.3499999999999996" customHeight="1">
      <c r="A3" s="97"/>
      <c r="B3" s="97"/>
      <c r="C3" s="97"/>
      <c r="D3" s="97"/>
      <c r="E3" s="97"/>
      <c r="F3" s="97"/>
      <c r="G3" s="97"/>
      <c r="H3" s="97"/>
      <c r="I3" s="97"/>
      <c r="J3" s="97"/>
      <c r="K3" s="97"/>
      <c r="L3" s="97"/>
      <c r="M3" s="97"/>
      <c r="N3" s="97"/>
      <c r="O3" s="97"/>
      <c r="P3" s="97"/>
      <c r="Q3" s="2512"/>
      <c r="R3" s="2512"/>
      <c r="S3" s="2512"/>
      <c r="T3" s="2512"/>
      <c r="U3" s="2512"/>
      <c r="AA3" s="40"/>
      <c r="AB3" s="40"/>
    </row>
    <row r="4" spans="1:28" s="96" customFormat="1" ht="12" customHeight="1">
      <c r="A4" s="137" t="s">
        <v>3506</v>
      </c>
      <c r="B4" s="137"/>
      <c r="C4" s="137"/>
      <c r="D4" s="2512"/>
      <c r="E4" s="2512"/>
      <c r="F4" s="137" t="s">
        <v>3507</v>
      </c>
      <c r="G4" s="137"/>
      <c r="H4" s="2512"/>
      <c r="I4" s="2512"/>
      <c r="J4" s="137" t="s">
        <v>3508</v>
      </c>
      <c r="K4" s="137"/>
      <c r="L4" s="137"/>
      <c r="M4" s="137"/>
      <c r="N4" s="137"/>
      <c r="O4" s="137"/>
      <c r="P4" s="2512"/>
      <c r="Q4" s="99" t="s">
        <v>3173</v>
      </c>
      <c r="R4" s="99" t="s">
        <v>3175</v>
      </c>
      <c r="S4" s="2512"/>
      <c r="T4" s="2512"/>
      <c r="U4" s="2512"/>
      <c r="W4" s="140"/>
      <c r="X4" s="140"/>
      <c r="Y4" s="140"/>
      <c r="Z4" s="140"/>
      <c r="AA4" s="40"/>
      <c r="AB4" s="40"/>
    </row>
    <row r="5" spans="1:28" s="96" customFormat="1" ht="4.3499999999999996" customHeight="1">
      <c r="A5" s="137"/>
      <c r="B5" s="137"/>
      <c r="C5" s="137"/>
      <c r="D5" s="137"/>
      <c r="E5" s="2512"/>
      <c r="F5" s="137"/>
      <c r="G5" s="137"/>
      <c r="H5" s="2512"/>
      <c r="I5" s="2512"/>
      <c r="J5" s="137"/>
      <c r="K5" s="137"/>
      <c r="L5" s="137"/>
      <c r="M5" s="137"/>
      <c r="N5" s="137"/>
      <c r="O5" s="137"/>
      <c r="P5" s="2512"/>
      <c r="Q5" s="138"/>
      <c r="R5" s="139"/>
      <c r="S5" s="2512"/>
      <c r="T5" s="2512"/>
      <c r="U5" s="2512"/>
      <c r="W5" s="140"/>
      <c r="X5" s="140"/>
      <c r="Y5" s="140"/>
      <c r="Z5" s="140"/>
      <c r="AA5" s="40"/>
      <c r="AB5" s="40"/>
    </row>
    <row r="6" spans="1:28" s="96" customFormat="1" ht="10.9" customHeight="1">
      <c r="A6" s="137"/>
      <c r="B6" s="137"/>
      <c r="C6" s="137"/>
      <c r="D6" s="137"/>
      <c r="E6" s="2512"/>
      <c r="F6" s="137"/>
      <c r="G6" s="137"/>
      <c r="H6" s="2512"/>
      <c r="I6" s="2512"/>
      <c r="J6" s="137"/>
      <c r="K6" s="137"/>
      <c r="L6" s="137"/>
      <c r="M6" s="137"/>
      <c r="N6" s="137"/>
      <c r="O6" s="137"/>
      <c r="P6" s="2512"/>
      <c r="Q6" s="138"/>
      <c r="R6" s="139"/>
      <c r="S6" s="2512"/>
      <c r="T6" s="2512"/>
      <c r="U6" s="2512"/>
      <c r="W6" s="140"/>
      <c r="X6" s="140"/>
      <c r="Y6" s="140"/>
      <c r="Z6" s="140"/>
      <c r="AA6" s="40"/>
      <c r="AB6" s="40"/>
    </row>
    <row r="7" spans="1:28" s="96" customFormat="1" ht="10.9" customHeight="1">
      <c r="A7" s="141" t="s">
        <v>3509</v>
      </c>
      <c r="B7" s="137"/>
      <c r="C7" s="98"/>
      <c r="D7" s="98"/>
      <c r="E7" s="2512"/>
      <c r="F7" s="98" t="s">
        <v>3510</v>
      </c>
      <c r="G7" s="98"/>
      <c r="H7" s="2512"/>
      <c r="I7" s="2512"/>
      <c r="J7" s="98" t="s">
        <v>3511</v>
      </c>
      <c r="K7" s="98"/>
      <c r="L7" s="98" t="s">
        <v>3512</v>
      </c>
      <c r="M7" s="98"/>
      <c r="N7" s="98"/>
      <c r="O7" s="98"/>
      <c r="P7" s="2512"/>
      <c r="Q7" s="855">
        <v>0</v>
      </c>
      <c r="R7" s="2630">
        <v>4</v>
      </c>
      <c r="S7" s="2512"/>
      <c r="T7" s="2512"/>
      <c r="U7" s="2512"/>
      <c r="W7" s="140"/>
      <c r="X7" s="140"/>
      <c r="Y7" s="140"/>
      <c r="Z7" s="140"/>
      <c r="AA7" s="40"/>
      <c r="AB7" s="40"/>
    </row>
    <row r="8" spans="1:28" s="96" customFormat="1" ht="10.9" customHeight="1">
      <c r="A8" s="137"/>
      <c r="B8" s="137"/>
      <c r="C8" s="137"/>
      <c r="D8" s="137"/>
      <c r="E8" s="2512"/>
      <c r="F8" s="137"/>
      <c r="G8" s="137"/>
      <c r="H8" s="2512"/>
      <c r="I8" s="2512"/>
      <c r="J8" s="137"/>
      <c r="K8" s="137"/>
      <c r="L8" s="137"/>
      <c r="M8" s="137"/>
      <c r="N8" s="137"/>
      <c r="O8" s="137"/>
      <c r="P8" s="2512"/>
      <c r="Q8" s="138"/>
      <c r="R8" s="139"/>
      <c r="S8" s="2512"/>
      <c r="T8" s="2512"/>
      <c r="U8" s="2512"/>
      <c r="W8" s="140"/>
      <c r="X8" s="140"/>
      <c r="Y8" s="140"/>
      <c r="Z8" s="140"/>
      <c r="AA8" s="40"/>
      <c r="AB8" s="40"/>
    </row>
    <row r="9" spans="1:28" s="96" customFormat="1" ht="11.65" customHeight="1">
      <c r="A9" s="141" t="s">
        <v>3513</v>
      </c>
      <c r="B9" s="98"/>
      <c r="C9" s="98"/>
      <c r="D9" s="2512"/>
      <c r="E9" s="2512"/>
      <c r="F9" s="98" t="s">
        <v>3510</v>
      </c>
      <c r="G9" s="98"/>
      <c r="H9" s="2512"/>
      <c r="I9" s="2512"/>
      <c r="J9" s="98" t="s">
        <v>3514</v>
      </c>
      <c r="K9" s="98"/>
      <c r="L9" s="98" t="s">
        <v>3515</v>
      </c>
      <c r="M9" s="98"/>
      <c r="N9" s="98"/>
      <c r="O9" s="98"/>
      <c r="P9" s="2512"/>
      <c r="Q9" s="855">
        <v>0</v>
      </c>
      <c r="R9" s="2630">
        <v>2</v>
      </c>
      <c r="S9" s="2512"/>
      <c r="U9" s="2512"/>
      <c r="V9" s="539"/>
      <c r="W9" s="539"/>
      <c r="X9" s="99"/>
      <c r="AA9" s="40"/>
      <c r="AB9" s="40"/>
    </row>
    <row r="10" spans="1:28" s="96" customFormat="1" ht="11.65" customHeight="1">
      <c r="A10" s="141"/>
      <c r="B10" s="98"/>
      <c r="C10" s="98"/>
      <c r="D10" s="2512"/>
      <c r="E10" s="2512"/>
      <c r="F10" s="98"/>
      <c r="G10" s="98"/>
      <c r="H10" s="2512"/>
      <c r="I10" s="2512"/>
      <c r="J10" s="98" t="s">
        <v>3516</v>
      </c>
      <c r="K10" s="98"/>
      <c r="L10" s="98" t="s">
        <v>3515</v>
      </c>
      <c r="M10" s="98"/>
      <c r="N10" s="98"/>
      <c r="O10" s="98"/>
      <c r="P10" s="2512"/>
      <c r="Q10" s="855">
        <v>0</v>
      </c>
      <c r="R10" s="2630">
        <v>1</v>
      </c>
      <c r="S10" s="2512"/>
      <c r="U10" s="2512"/>
      <c r="V10" s="539"/>
      <c r="W10" s="539"/>
      <c r="X10" s="99"/>
      <c r="AA10" s="40"/>
      <c r="AB10" s="40"/>
    </row>
    <row r="11" spans="1:28" s="96" customFormat="1" ht="11.65" customHeight="1">
      <c r="A11" s="141"/>
      <c r="B11" s="98"/>
      <c r="C11" s="98"/>
      <c r="D11" s="2512"/>
      <c r="E11" s="2512"/>
      <c r="F11" s="98"/>
      <c r="G11" s="98"/>
      <c r="H11" s="2512"/>
      <c r="I11" s="2512"/>
      <c r="J11" s="98"/>
      <c r="K11" s="98"/>
      <c r="L11" s="98"/>
      <c r="M11" s="98"/>
      <c r="N11" s="98"/>
      <c r="O11" s="98"/>
      <c r="P11" s="98"/>
      <c r="Q11" s="98"/>
      <c r="R11" s="98"/>
      <c r="S11" s="98"/>
      <c r="U11" s="2512"/>
      <c r="V11" s="539"/>
      <c r="W11" s="539"/>
      <c r="X11" s="99"/>
      <c r="AA11" s="40"/>
      <c r="AB11" s="40"/>
    </row>
    <row r="12" spans="1:28" s="96" customFormat="1" ht="11.65" customHeight="1">
      <c r="A12" s="141"/>
      <c r="B12" s="98"/>
      <c r="C12" s="98"/>
      <c r="D12" s="2512"/>
      <c r="E12" s="2512"/>
      <c r="F12" s="98"/>
      <c r="G12" s="98"/>
      <c r="H12" s="2512"/>
      <c r="I12" s="2512"/>
      <c r="J12" s="98"/>
      <c r="K12" s="98"/>
      <c r="L12" s="98"/>
      <c r="M12" s="98"/>
      <c r="N12" s="98"/>
      <c r="O12" s="98"/>
      <c r="P12" s="98"/>
      <c r="Q12" s="1701" t="s">
        <v>3517</v>
      </c>
      <c r="R12" s="1701" t="s">
        <v>3518</v>
      </c>
      <c r="S12" s="98"/>
      <c r="U12" s="2512"/>
      <c r="V12" s="539"/>
      <c r="W12" s="539"/>
      <c r="X12" s="99"/>
      <c r="AA12" s="40"/>
      <c r="AB12" s="40"/>
    </row>
    <row r="13" spans="1:28" s="96" customFormat="1" ht="11.65" customHeight="1">
      <c r="A13" s="141"/>
      <c r="B13" s="98"/>
      <c r="C13" s="98"/>
      <c r="D13" s="2512"/>
      <c r="E13" s="2512"/>
      <c r="F13" s="98" t="s">
        <v>3519</v>
      </c>
      <c r="G13" s="98"/>
      <c r="H13" s="2512"/>
      <c r="I13" s="2512"/>
      <c r="J13" s="98" t="s">
        <v>3520</v>
      </c>
      <c r="K13" s="98"/>
      <c r="L13" s="98" t="s">
        <v>1248</v>
      </c>
      <c r="M13" s="98"/>
      <c r="N13" s="98" t="s">
        <v>3521</v>
      </c>
      <c r="O13" s="98"/>
      <c r="P13" s="2512"/>
      <c r="Q13" s="2630">
        <v>1300000</v>
      </c>
      <c r="R13" s="2630">
        <v>1350000</v>
      </c>
      <c r="S13" s="2512"/>
      <c r="U13" s="2512"/>
      <c r="V13" s="539"/>
      <c r="W13" s="539"/>
      <c r="X13" s="99"/>
      <c r="AA13" s="40"/>
      <c r="AB13" s="40"/>
    </row>
    <row r="14" spans="1:28" s="96" customFormat="1" ht="11.65" customHeight="1">
      <c r="A14" s="141"/>
      <c r="B14" s="98"/>
      <c r="C14" s="98"/>
      <c r="D14" s="2512"/>
      <c r="E14" s="2512"/>
      <c r="F14" s="98"/>
      <c r="G14" s="98"/>
      <c r="H14" s="2512"/>
      <c r="I14" s="2512"/>
      <c r="J14" s="98"/>
      <c r="K14" s="98"/>
      <c r="L14" s="98"/>
      <c r="M14" s="98"/>
      <c r="N14" s="98" t="s">
        <v>3522</v>
      </c>
      <c r="O14" s="98"/>
      <c r="P14" s="2512"/>
      <c r="Q14" s="2630">
        <v>1170000</v>
      </c>
      <c r="R14" s="2630">
        <v>1215000</v>
      </c>
      <c r="S14" s="2512"/>
      <c r="U14" s="2512"/>
      <c r="V14" s="539"/>
      <c r="W14" s="539"/>
      <c r="X14" s="99"/>
      <c r="AA14" s="40"/>
      <c r="AB14" s="40"/>
    </row>
    <row r="15" spans="1:28" s="96" customFormat="1" ht="11.65" customHeight="1">
      <c r="A15" s="141"/>
      <c r="B15" s="98"/>
      <c r="C15" s="98"/>
      <c r="D15" s="2512"/>
      <c r="E15" s="2512"/>
      <c r="F15" s="98"/>
      <c r="G15" s="98"/>
      <c r="H15" s="2512"/>
      <c r="I15" s="2512"/>
      <c r="J15" s="98"/>
      <c r="K15" s="98"/>
      <c r="L15" s="98" t="s">
        <v>3523</v>
      </c>
      <c r="M15" s="98"/>
      <c r="N15" s="98"/>
      <c r="O15" s="98"/>
      <c r="P15" s="2512"/>
      <c r="Q15" s="2630">
        <v>1225000</v>
      </c>
      <c r="R15" s="2630">
        <v>1270000</v>
      </c>
      <c r="S15" s="2512"/>
      <c r="U15" s="2512"/>
      <c r="V15" s="539"/>
      <c r="W15" s="539"/>
      <c r="X15" s="99"/>
      <c r="AA15" s="40"/>
      <c r="AB15" s="40"/>
    </row>
    <row r="16" spans="1:28" s="96" customFormat="1" ht="11.65" customHeight="1">
      <c r="A16" s="141"/>
      <c r="B16" s="98"/>
      <c r="C16" s="98"/>
      <c r="D16" s="2512"/>
      <c r="E16" s="2512"/>
      <c r="F16" s="98"/>
      <c r="G16" s="98"/>
      <c r="H16" s="2512"/>
      <c r="I16" s="2512"/>
      <c r="J16" s="98"/>
      <c r="K16" s="98"/>
      <c r="L16" s="98" t="s">
        <v>3524</v>
      </c>
      <c r="M16" s="98"/>
      <c r="N16" s="98"/>
      <c r="O16" s="98"/>
      <c r="P16" s="98"/>
      <c r="Q16" s="2630">
        <v>1105000</v>
      </c>
      <c r="R16" s="2630">
        <v>1145000</v>
      </c>
      <c r="S16" s="98"/>
      <c r="U16" s="2512"/>
      <c r="V16" s="539"/>
      <c r="W16" s="539"/>
      <c r="X16" s="99"/>
      <c r="AA16" s="40"/>
      <c r="AB16" s="40"/>
    </row>
    <row r="17" spans="1:28" s="96" customFormat="1" ht="11.65" customHeight="1">
      <c r="A17" s="141"/>
      <c r="B17" s="98"/>
      <c r="C17" s="98"/>
      <c r="D17" s="2512"/>
      <c r="E17" s="2512"/>
      <c r="F17" s="98"/>
      <c r="G17" s="98"/>
      <c r="H17" s="2512"/>
      <c r="I17" s="2512"/>
      <c r="J17" s="98"/>
      <c r="K17" s="98"/>
      <c r="L17" s="98"/>
      <c r="M17" s="98"/>
      <c r="N17" s="98"/>
      <c r="O17" s="98"/>
      <c r="P17" s="98"/>
      <c r="Q17" s="99" t="s">
        <v>3173</v>
      </c>
      <c r="R17" s="99" t="s">
        <v>3175</v>
      </c>
      <c r="S17" s="98"/>
      <c r="U17" s="2512"/>
      <c r="V17" s="539"/>
      <c r="W17" s="539"/>
      <c r="X17" s="99"/>
      <c r="AA17" s="40"/>
      <c r="AB17" s="40"/>
    </row>
    <row r="18" spans="1:28" s="96" customFormat="1" ht="11.65" customHeight="1">
      <c r="A18" s="141"/>
      <c r="B18" s="98"/>
      <c r="C18" s="98"/>
      <c r="D18" s="2512"/>
      <c r="E18" s="2512"/>
      <c r="F18" s="98"/>
      <c r="G18" s="98"/>
      <c r="H18" s="2512"/>
      <c r="I18" s="2512"/>
      <c r="J18" s="98" t="s">
        <v>3525</v>
      </c>
      <c r="K18" s="98"/>
      <c r="L18" s="98" t="s">
        <v>3526</v>
      </c>
      <c r="M18" s="98"/>
      <c r="N18" s="98"/>
      <c r="O18" s="98"/>
      <c r="P18" s="98"/>
      <c r="Q18" s="2630" t="s">
        <v>3527</v>
      </c>
      <c r="R18" s="2630">
        <v>40000000</v>
      </c>
      <c r="S18" s="2512"/>
      <c r="U18" s="2512"/>
      <c r="V18" s="539"/>
      <c r="W18" s="539"/>
      <c r="X18" s="99"/>
      <c r="AA18" s="40"/>
      <c r="AB18" s="40"/>
    </row>
    <row r="19" spans="1:28" s="96" customFormat="1" ht="11.65" customHeight="1">
      <c r="A19" s="141"/>
      <c r="B19" s="98"/>
      <c r="C19" s="98"/>
      <c r="D19" s="2512"/>
      <c r="E19" s="2512"/>
      <c r="F19" s="98"/>
      <c r="G19" s="98"/>
      <c r="H19" s="2512"/>
      <c r="I19" s="2512"/>
      <c r="J19" s="98"/>
      <c r="K19" s="98"/>
      <c r="L19" s="684" t="s">
        <v>3528</v>
      </c>
      <c r="M19" s="98"/>
      <c r="N19" s="98"/>
      <c r="O19" s="98"/>
      <c r="P19" s="98"/>
      <c r="Q19" s="98"/>
      <c r="R19" s="98"/>
      <c r="S19" s="2512"/>
      <c r="U19" s="2512"/>
      <c r="V19" s="539"/>
      <c r="W19" s="539"/>
      <c r="X19" s="99"/>
      <c r="AA19" s="40"/>
      <c r="AB19" s="40"/>
    </row>
    <row r="20" spans="1:28" s="96" customFormat="1" ht="11.65" customHeight="1">
      <c r="A20" s="98"/>
      <c r="B20" s="98"/>
      <c r="C20" s="98"/>
      <c r="D20" s="2512"/>
      <c r="E20" s="2512"/>
      <c r="L20" s="146" t="s">
        <v>3529</v>
      </c>
      <c r="O20" s="98"/>
      <c r="Q20" s="2830" t="s">
        <v>445</v>
      </c>
      <c r="R20" s="2632">
        <v>0.55000000000000004</v>
      </c>
      <c r="T20" s="142"/>
      <c r="U20" s="2512"/>
      <c r="V20" s="222"/>
      <c r="W20" s="222"/>
      <c r="X20" s="222"/>
      <c r="AA20" s="40"/>
      <c r="AB20" s="40"/>
    </row>
    <row r="21" spans="1:28" s="96" customFormat="1" ht="11.45" customHeight="1">
      <c r="F21" s="98"/>
      <c r="G21" s="98"/>
      <c r="H21" s="2512"/>
      <c r="I21" s="2512"/>
      <c r="J21" s="2512"/>
      <c r="K21" s="2512"/>
      <c r="L21" s="2512"/>
      <c r="M21" s="2512"/>
      <c r="N21" s="2512"/>
      <c r="O21" s="2512"/>
      <c r="P21" s="2512"/>
      <c r="Q21" s="2512"/>
      <c r="R21" s="2512"/>
      <c r="S21" s="2512"/>
      <c r="T21" s="2512"/>
      <c r="U21" s="2512"/>
      <c r="V21" s="539"/>
      <c r="W21" s="539"/>
      <c r="X21" s="99"/>
      <c r="AA21" s="40"/>
      <c r="AB21" s="40"/>
    </row>
    <row r="22" spans="1:28" s="96" customFormat="1" ht="11.45" hidden="1" customHeight="1">
      <c r="F22" s="98" t="s">
        <v>3278</v>
      </c>
      <c r="G22" s="98"/>
      <c r="H22" s="2512"/>
      <c r="I22" s="2512"/>
      <c r="J22" s="98" t="s">
        <v>3530</v>
      </c>
      <c r="K22" s="98"/>
      <c r="L22" s="98"/>
      <c r="M22" s="98"/>
      <c r="N22" s="98"/>
      <c r="O22" s="98"/>
      <c r="P22" s="2512"/>
      <c r="Q22" s="2831">
        <v>1000000</v>
      </c>
      <c r="R22" s="2831">
        <v>2000000</v>
      </c>
      <c r="S22" s="142"/>
      <c r="T22" s="142"/>
      <c r="U22" s="2512"/>
      <c r="V22" s="222"/>
      <c r="W22" s="222"/>
      <c r="X22" s="222"/>
      <c r="AA22" s="40"/>
      <c r="AB22" s="40"/>
    </row>
    <row r="23" spans="1:28" s="96" customFormat="1" ht="11.45" hidden="1" customHeight="1">
      <c r="F23" s="98"/>
      <c r="G23" s="98"/>
      <c r="H23" s="2512"/>
      <c r="I23" s="2512"/>
      <c r="J23" s="98" t="s">
        <v>3531</v>
      </c>
      <c r="K23" s="98"/>
      <c r="L23" s="98"/>
      <c r="M23" s="98"/>
      <c r="N23" s="98"/>
      <c r="O23" s="98"/>
      <c r="P23" s="2512"/>
      <c r="Q23" s="2832" t="s">
        <v>2135</v>
      </c>
      <c r="R23" s="2833">
        <v>0.25</v>
      </c>
      <c r="S23" s="2512"/>
      <c r="T23" s="2512"/>
      <c r="U23" s="2512"/>
      <c r="V23" s="539"/>
      <c r="W23" s="539"/>
      <c r="X23" s="99"/>
      <c r="AA23" s="40"/>
      <c r="AB23" s="40"/>
    </row>
    <row r="24" spans="1:28" s="96" customFormat="1" ht="11.25" hidden="1" customHeight="1">
      <c r="A24" s="98"/>
      <c r="B24" s="98"/>
      <c r="C24" s="98"/>
      <c r="D24" s="2512"/>
      <c r="E24" s="2512"/>
      <c r="F24" s="98" t="s">
        <v>3532</v>
      </c>
      <c r="G24" s="98"/>
      <c r="H24" s="2512"/>
      <c r="I24" s="2512"/>
      <c r="J24" s="323" t="s">
        <v>3533</v>
      </c>
      <c r="K24" s="2599"/>
      <c r="M24" s="2599"/>
      <c r="N24" s="2599"/>
      <c r="O24" s="98"/>
      <c r="Q24" s="4639" t="s">
        <v>3534</v>
      </c>
      <c r="R24" s="4640"/>
      <c r="S24" s="150"/>
      <c r="T24" s="2512"/>
      <c r="U24" s="2512"/>
      <c r="V24" s="222"/>
      <c r="W24" s="222"/>
      <c r="X24" s="222"/>
      <c r="AA24" s="40"/>
      <c r="AB24" s="40"/>
    </row>
    <row r="25" spans="1:28" s="96" customFormat="1" ht="11.25" hidden="1" customHeight="1">
      <c r="A25" s="98"/>
      <c r="B25" s="98"/>
      <c r="C25" s="98"/>
      <c r="D25" s="2512"/>
      <c r="E25" s="2512"/>
      <c r="F25" s="98" t="s">
        <v>3535</v>
      </c>
      <c r="G25" s="98"/>
      <c r="H25" s="2512"/>
      <c r="I25" s="2512"/>
      <c r="J25" s="323" t="s">
        <v>2726</v>
      </c>
      <c r="K25" s="2599"/>
      <c r="M25" s="2599"/>
      <c r="N25" s="2599"/>
      <c r="O25" s="98"/>
      <c r="Q25" s="4641">
        <v>0.1</v>
      </c>
      <c r="R25" s="4642"/>
      <c r="S25" s="150"/>
      <c r="T25" s="2512"/>
      <c r="U25" s="2512"/>
      <c r="V25" s="222"/>
      <c r="W25" s="222"/>
      <c r="X25" s="222"/>
      <c r="AA25" s="40"/>
      <c r="AB25" s="40"/>
    </row>
    <row r="26" spans="1:28" s="96" customFormat="1" ht="12.75" hidden="1" customHeight="1">
      <c r="A26" s="98"/>
      <c r="B26" s="98"/>
      <c r="C26" s="98"/>
      <c r="J26" s="1424" t="s">
        <v>1321</v>
      </c>
      <c r="K26" s="146"/>
      <c r="L26" s="146"/>
      <c r="N26" s="2599"/>
      <c r="O26" s="98"/>
      <c r="Q26" s="4643" t="s">
        <v>3536</v>
      </c>
      <c r="R26" s="4643"/>
      <c r="S26" s="2512"/>
      <c r="T26" s="2512"/>
      <c r="U26" s="2512"/>
      <c r="AA26" s="40"/>
      <c r="AB26" s="40"/>
    </row>
    <row r="27" spans="1:28" s="96" customFormat="1" ht="12.75" hidden="1" customHeight="1">
      <c r="A27" s="98"/>
      <c r="B27" s="98"/>
      <c r="C27" s="98"/>
      <c r="K27" s="146" t="s">
        <v>3537</v>
      </c>
      <c r="L27" s="146"/>
      <c r="N27" s="2599"/>
      <c r="O27" s="98"/>
      <c r="P27" s="2512"/>
      <c r="Q27" s="4644">
        <v>0.2</v>
      </c>
      <c r="R27" s="4645"/>
      <c r="S27" s="2512"/>
      <c r="T27" s="2512"/>
      <c r="U27" s="2512"/>
      <c r="AA27" s="40"/>
      <c r="AB27" s="40"/>
    </row>
    <row r="28" spans="1:28" s="96" customFormat="1" ht="12.75" hidden="1" customHeight="1">
      <c r="A28" s="98"/>
      <c r="B28" s="98"/>
      <c r="C28" s="98"/>
      <c r="K28" s="146" t="s">
        <v>3538</v>
      </c>
      <c r="L28" s="146"/>
      <c r="N28" s="2599"/>
      <c r="O28" s="98"/>
      <c r="P28" s="2512"/>
      <c r="Q28" s="4634">
        <v>0.15</v>
      </c>
      <c r="R28" s="4635"/>
      <c r="S28" s="2512"/>
      <c r="T28" s="2512"/>
      <c r="U28" s="2512"/>
      <c r="AA28" s="40"/>
      <c r="AB28" s="40"/>
    </row>
    <row r="29" spans="1:28" s="96" customFormat="1" ht="12.75" hidden="1" customHeight="1">
      <c r="A29" s="98"/>
      <c r="B29" s="98"/>
      <c r="C29" s="98"/>
      <c r="K29" s="146" t="s">
        <v>3539</v>
      </c>
      <c r="L29" s="146"/>
      <c r="N29" s="2599"/>
      <c r="O29" s="98"/>
      <c r="P29" s="2512"/>
      <c r="Q29" s="4634">
        <v>0.15</v>
      </c>
      <c r="R29" s="4635"/>
      <c r="S29" s="2512"/>
      <c r="T29" s="2512"/>
      <c r="U29" s="2512"/>
      <c r="AA29" s="40"/>
      <c r="AB29" s="40"/>
    </row>
    <row r="30" spans="1:28" s="96" customFormat="1" ht="12.75" hidden="1" customHeight="1">
      <c r="A30" s="98"/>
      <c r="B30" s="98"/>
      <c r="C30" s="98"/>
      <c r="K30" s="146" t="s">
        <v>3540</v>
      </c>
      <c r="L30" s="146"/>
      <c r="N30" s="2599"/>
      <c r="O30" s="98"/>
      <c r="P30" s="2512"/>
      <c r="Q30" s="4634">
        <v>0.1</v>
      </c>
      <c r="R30" s="4635"/>
      <c r="S30" s="2512"/>
      <c r="T30" s="2512"/>
      <c r="U30" s="2512"/>
      <c r="AA30" s="40"/>
      <c r="AB30" s="40"/>
    </row>
    <row r="31" spans="1:28" s="96" customFormat="1" ht="12.75" hidden="1" customHeight="1">
      <c r="A31" s="98"/>
      <c r="B31" s="98"/>
      <c r="C31" s="98"/>
      <c r="K31" s="146" t="s">
        <v>3541</v>
      </c>
      <c r="L31" s="146"/>
      <c r="N31" s="2599"/>
      <c r="O31" s="98"/>
      <c r="P31" s="2512"/>
      <c r="Q31" s="4648">
        <v>0.1</v>
      </c>
      <c r="R31" s="4649"/>
      <c r="S31" s="2512"/>
      <c r="T31" s="2512"/>
      <c r="U31" s="2512"/>
      <c r="AA31" s="40"/>
      <c r="AB31" s="40"/>
    </row>
    <row r="32" spans="1:28" s="96" customFormat="1" ht="11.65" customHeight="1">
      <c r="A32" s="98"/>
      <c r="B32" s="98"/>
      <c r="C32" s="98"/>
      <c r="D32" s="2512"/>
      <c r="E32" s="2512"/>
      <c r="O32" s="98"/>
      <c r="T32" s="142"/>
      <c r="U32" s="2512"/>
      <c r="V32" s="222"/>
      <c r="W32" s="222"/>
      <c r="X32" s="222"/>
      <c r="AA32" s="40"/>
      <c r="AB32" s="40"/>
    </row>
    <row r="33" spans="1:28" s="96" customFormat="1" ht="11.65" customHeight="1">
      <c r="A33" s="137" t="s">
        <v>3506</v>
      </c>
      <c r="B33" s="137"/>
      <c r="C33" s="137"/>
      <c r="D33" s="2512"/>
      <c r="E33" s="2512"/>
      <c r="F33" s="137" t="s">
        <v>3507</v>
      </c>
      <c r="G33" s="137"/>
      <c r="H33" s="2512"/>
      <c r="I33" s="2512"/>
      <c r="J33" s="137" t="s">
        <v>3508</v>
      </c>
      <c r="K33" s="137"/>
      <c r="L33" s="137"/>
      <c r="M33" s="137"/>
      <c r="N33" s="137"/>
      <c r="O33" s="137"/>
      <c r="P33" s="2512"/>
      <c r="Q33" s="99" t="s">
        <v>3173</v>
      </c>
      <c r="R33" s="99" t="s">
        <v>3175</v>
      </c>
      <c r="S33" s="150"/>
      <c r="T33" s="142"/>
      <c r="U33" s="2512"/>
      <c r="V33" s="222"/>
      <c r="W33" s="222"/>
      <c r="X33" s="222"/>
      <c r="AA33" s="40"/>
      <c r="AB33" s="40"/>
    </row>
    <row r="34" spans="1:28" s="96" customFormat="1" ht="3" customHeight="1">
      <c r="A34" s="98"/>
      <c r="B34" s="98"/>
      <c r="C34" s="98"/>
      <c r="D34" s="98"/>
      <c r="E34" s="2512"/>
      <c r="F34" s="98"/>
      <c r="G34" s="98"/>
      <c r="H34" s="145"/>
      <c r="I34" s="2512"/>
      <c r="J34" s="98"/>
      <c r="K34" s="2599"/>
      <c r="L34" s="2599"/>
      <c r="M34" s="2599"/>
      <c r="N34" s="2599"/>
      <c r="O34" s="98"/>
      <c r="P34" s="2512"/>
      <c r="Q34" s="144"/>
      <c r="R34" s="144"/>
      <c r="S34" s="2512"/>
      <c r="T34" s="2512"/>
      <c r="U34" s="2512"/>
      <c r="AA34" s="40"/>
      <c r="AB34" s="40"/>
    </row>
    <row r="35" spans="1:28" s="96" customFormat="1" ht="12" customHeight="1">
      <c r="A35" s="141" t="s">
        <v>3542</v>
      </c>
      <c r="B35" s="137"/>
      <c r="C35" s="137"/>
      <c r="D35" s="137"/>
      <c r="E35" s="2512"/>
      <c r="F35" s="137"/>
      <c r="G35" s="137"/>
      <c r="H35" s="137"/>
      <c r="I35" s="2512"/>
      <c r="J35" s="98"/>
      <c r="K35" s="137"/>
      <c r="L35" s="137"/>
      <c r="M35" s="137"/>
      <c r="N35" s="137"/>
      <c r="O35" s="137"/>
      <c r="P35" s="2512"/>
      <c r="Q35" s="138"/>
      <c r="R35" s="139"/>
      <c r="S35" s="140"/>
      <c r="AA35" s="40"/>
      <c r="AB35" s="40"/>
    </row>
    <row r="36" spans="1:28" s="96" customFormat="1" ht="11.65" customHeight="1">
      <c r="A36" s="2512"/>
      <c r="B36" s="98" t="s">
        <v>3542</v>
      </c>
      <c r="C36" s="98"/>
      <c r="D36" s="2512"/>
      <c r="E36" s="2512"/>
      <c r="F36" s="98" t="s">
        <v>3543</v>
      </c>
      <c r="G36" s="98" t="s">
        <v>3544</v>
      </c>
      <c r="H36" s="2512"/>
      <c r="I36" s="2512"/>
      <c r="J36" s="98" t="s">
        <v>1140</v>
      </c>
      <c r="K36" s="98"/>
      <c r="L36" s="98"/>
      <c r="M36" s="98"/>
      <c r="N36" s="98"/>
      <c r="O36" s="98"/>
      <c r="P36" s="2512"/>
      <c r="Q36" s="1693">
        <v>5000</v>
      </c>
      <c r="R36" s="1691" t="s">
        <v>2135</v>
      </c>
      <c r="S36" s="146"/>
      <c r="AA36" s="40"/>
      <c r="AB36" s="40"/>
    </row>
    <row r="37" spans="1:28" s="96" customFormat="1" ht="11.65" customHeight="1">
      <c r="A37" s="2512"/>
      <c r="B37" s="98"/>
      <c r="C37" s="98"/>
      <c r="D37" s="2512"/>
      <c r="E37" s="2512"/>
      <c r="F37" s="98"/>
      <c r="G37" s="98" t="s">
        <v>3545</v>
      </c>
      <c r="H37" s="2512"/>
      <c r="I37" s="2512"/>
      <c r="J37" s="98" t="s">
        <v>1140</v>
      </c>
      <c r="K37" s="98"/>
      <c r="L37" s="98"/>
      <c r="M37" s="98"/>
      <c r="N37" s="98"/>
      <c r="O37" s="98"/>
      <c r="P37" s="2512"/>
      <c r="Q37" s="1694">
        <v>4500</v>
      </c>
      <c r="R37" s="1692" t="s">
        <v>2135</v>
      </c>
      <c r="S37" s="146"/>
      <c r="AA37" s="40"/>
      <c r="AB37" s="40"/>
    </row>
    <row r="38" spans="1:28" s="96" customFormat="1" ht="11.65" customHeight="1">
      <c r="A38" s="2512"/>
      <c r="B38" s="98"/>
      <c r="C38" s="98"/>
      <c r="D38" s="2512"/>
      <c r="E38" s="2512"/>
      <c r="F38" s="98" t="s">
        <v>3546</v>
      </c>
      <c r="G38" s="98" t="s">
        <v>2727</v>
      </c>
      <c r="H38" s="2512"/>
      <c r="I38" s="2512"/>
      <c r="J38" s="98" t="s">
        <v>1140</v>
      </c>
      <c r="K38" s="98"/>
      <c r="L38" s="98"/>
      <c r="M38" s="98"/>
      <c r="N38" s="98"/>
      <c r="O38" s="98"/>
      <c r="P38" s="2512"/>
      <c r="Q38" s="1693">
        <v>3750</v>
      </c>
      <c r="R38" s="1691" t="s">
        <v>2135</v>
      </c>
      <c r="S38" s="146"/>
      <c r="AA38" s="40"/>
      <c r="AB38" s="40"/>
    </row>
    <row r="39" spans="1:28" s="96" customFormat="1" ht="11.65" customHeight="1">
      <c r="A39" s="98"/>
      <c r="B39" s="98"/>
      <c r="C39" s="98"/>
      <c r="D39" s="2512"/>
      <c r="E39" s="2512"/>
      <c r="G39" s="98" t="s">
        <v>3547</v>
      </c>
      <c r="H39" s="2512"/>
      <c r="I39" s="2512"/>
      <c r="J39" s="98" t="s">
        <v>1140</v>
      </c>
      <c r="K39" s="98"/>
      <c r="L39" s="98"/>
      <c r="M39" s="98"/>
      <c r="N39" s="98"/>
      <c r="O39" s="98"/>
      <c r="P39" s="2512"/>
      <c r="Q39" s="1695">
        <v>3250</v>
      </c>
      <c r="R39" s="1696" t="s">
        <v>2135</v>
      </c>
      <c r="S39" s="146"/>
      <c r="AA39" s="40"/>
      <c r="AB39" s="40"/>
    </row>
    <row r="40" spans="1:28" s="96" customFormat="1" ht="11.65" customHeight="1">
      <c r="A40" s="98"/>
      <c r="B40" s="98"/>
      <c r="C40" s="98"/>
      <c r="D40" s="2512"/>
      <c r="E40" s="2512"/>
      <c r="G40" s="98" t="s">
        <v>3548</v>
      </c>
      <c r="H40" s="2512"/>
      <c r="I40" s="2512"/>
      <c r="J40" s="98" t="s">
        <v>1140</v>
      </c>
      <c r="K40" s="98"/>
      <c r="L40" s="98"/>
      <c r="M40" s="98"/>
      <c r="N40" s="98"/>
      <c r="O40" s="98"/>
      <c r="P40" s="2512"/>
      <c r="Q40" s="1694" t="s">
        <v>1785</v>
      </c>
      <c r="R40" s="1692" t="s">
        <v>2135</v>
      </c>
      <c r="S40" s="146"/>
      <c r="T40" s="146"/>
      <c r="U40" s="146"/>
      <c r="AA40" s="40"/>
      <c r="AB40" s="40"/>
    </row>
    <row r="41" spans="1:28" s="96" customFormat="1" ht="11.65" customHeight="1">
      <c r="A41" s="98"/>
      <c r="B41" s="98" t="s">
        <v>3549</v>
      </c>
      <c r="C41" s="98"/>
      <c r="D41" s="2512"/>
      <c r="E41" s="2512"/>
      <c r="F41" s="98" t="s">
        <v>3550</v>
      </c>
      <c r="G41" s="98"/>
      <c r="H41" s="2512"/>
      <c r="I41" s="2512"/>
      <c r="J41" s="98" t="s">
        <v>1140</v>
      </c>
      <c r="K41" s="98"/>
      <c r="L41" s="98"/>
      <c r="M41" s="98"/>
      <c r="N41" s="98"/>
      <c r="O41" s="98"/>
      <c r="P41" s="2512"/>
      <c r="Q41" s="1693">
        <v>400</v>
      </c>
      <c r="R41" s="1691" t="s">
        <v>2135</v>
      </c>
      <c r="S41" s="146"/>
      <c r="T41" s="146"/>
      <c r="U41" s="146"/>
      <c r="AA41" s="40"/>
      <c r="AB41" s="40"/>
    </row>
    <row r="42" spans="1:28" s="96" customFormat="1" ht="11.65" customHeight="1">
      <c r="A42" s="98"/>
      <c r="B42" s="98"/>
      <c r="C42" s="98"/>
      <c r="D42" s="2512"/>
      <c r="E42" s="2512"/>
      <c r="F42" s="98" t="s">
        <v>3551</v>
      </c>
      <c r="G42" s="98"/>
      <c r="H42" s="2512"/>
      <c r="I42" s="2512"/>
      <c r="J42" s="98" t="s">
        <v>1140</v>
      </c>
      <c r="K42" s="98"/>
      <c r="L42" s="98"/>
      <c r="M42" s="98"/>
      <c r="N42" s="98"/>
      <c r="O42" s="98"/>
      <c r="P42" s="2512"/>
      <c r="Q42" s="1695">
        <v>300</v>
      </c>
      <c r="R42" s="1696" t="s">
        <v>2135</v>
      </c>
      <c r="S42" s="146"/>
      <c r="T42" s="146"/>
      <c r="U42" s="146"/>
      <c r="AA42" s="40"/>
      <c r="AB42" s="40"/>
    </row>
    <row r="43" spans="1:28" s="96" customFormat="1" ht="11.65" customHeight="1">
      <c r="A43" s="98"/>
      <c r="B43" s="98"/>
      <c r="C43" s="98"/>
      <c r="D43" s="98"/>
      <c r="E43" s="2512"/>
      <c r="F43" s="98" t="s">
        <v>3552</v>
      </c>
      <c r="G43" s="98"/>
      <c r="H43" s="2512"/>
      <c r="I43" s="2512"/>
      <c r="J43" s="98" t="s">
        <v>1140</v>
      </c>
      <c r="K43" s="98"/>
      <c r="L43" s="98"/>
      <c r="M43" s="98"/>
      <c r="N43" s="98"/>
      <c r="O43" s="98"/>
      <c r="P43" s="2512"/>
      <c r="Q43" s="1695">
        <v>470</v>
      </c>
      <c r="R43" s="1696" t="s">
        <v>2135</v>
      </c>
      <c r="S43" s="146"/>
      <c r="T43" s="146"/>
      <c r="U43" s="146"/>
      <c r="AA43" s="40"/>
      <c r="AB43" s="40"/>
    </row>
    <row r="44" spans="1:28" s="96" customFormat="1" ht="11.65" customHeight="1">
      <c r="A44" s="98"/>
      <c r="B44" s="98"/>
      <c r="C44" s="98"/>
      <c r="D44" s="98"/>
      <c r="E44" s="2512"/>
      <c r="F44" s="98" t="s">
        <v>3553</v>
      </c>
      <c r="G44" s="98"/>
      <c r="H44" s="2512"/>
      <c r="I44" s="2512"/>
      <c r="J44" s="98" t="s">
        <v>1140</v>
      </c>
      <c r="K44" s="98"/>
      <c r="L44" s="98"/>
      <c r="M44" s="98"/>
      <c r="N44" s="98"/>
      <c r="O44" s="98"/>
      <c r="P44" s="2512"/>
      <c r="Q44" s="1694">
        <v>420</v>
      </c>
      <c r="R44" s="1692" t="s">
        <v>2135</v>
      </c>
      <c r="S44" s="146"/>
      <c r="T44" s="146"/>
      <c r="U44" s="146"/>
      <c r="AA44" s="40"/>
      <c r="AB44" s="40"/>
    </row>
    <row r="45" spans="1:28" s="96" customFormat="1" ht="11.45" customHeight="1">
      <c r="A45" s="2512"/>
      <c r="B45" s="98"/>
      <c r="C45" s="98"/>
      <c r="D45" s="98"/>
      <c r="E45" s="2512"/>
      <c r="F45" s="98"/>
      <c r="G45" s="98"/>
      <c r="H45" s="2512"/>
      <c r="I45" s="2512"/>
      <c r="J45" s="98"/>
      <c r="K45" s="98"/>
      <c r="L45" s="98"/>
      <c r="M45" s="98"/>
      <c r="N45" s="98"/>
      <c r="O45" s="98"/>
      <c r="P45" s="2512"/>
      <c r="Q45" s="98"/>
      <c r="R45" s="143"/>
      <c r="S45" s="146"/>
      <c r="T45" s="146"/>
      <c r="U45" s="146"/>
      <c r="AA45" s="40"/>
      <c r="AB45" s="40"/>
    </row>
    <row r="46" spans="1:28" s="96" customFormat="1" ht="12" customHeight="1">
      <c r="A46" s="141" t="s">
        <v>3554</v>
      </c>
      <c r="B46" s="98"/>
      <c r="C46" s="98"/>
      <c r="D46" s="98"/>
      <c r="E46" s="2512"/>
      <c r="F46" s="98"/>
      <c r="G46" s="98"/>
      <c r="H46" s="2512"/>
      <c r="I46" s="2512"/>
      <c r="J46" s="98"/>
      <c r="K46" s="98"/>
      <c r="L46" s="98"/>
      <c r="M46" s="98"/>
      <c r="N46" s="98"/>
      <c r="O46" s="98"/>
      <c r="P46" s="2512"/>
      <c r="Q46" s="98"/>
      <c r="R46" s="143"/>
      <c r="S46" s="146"/>
      <c r="T46" s="146"/>
      <c r="U46" s="146"/>
      <c r="AA46" s="40"/>
      <c r="AB46" s="40"/>
    </row>
    <row r="47" spans="1:28" s="96" customFormat="1" ht="11.65" customHeight="1">
      <c r="A47" s="98"/>
      <c r="B47" s="98" t="s">
        <v>3555</v>
      </c>
      <c r="C47" s="98"/>
      <c r="D47" s="2512"/>
      <c r="E47" s="2512"/>
      <c r="F47" s="98" t="s">
        <v>3550</v>
      </c>
      <c r="G47" s="98"/>
      <c r="H47" s="2512"/>
      <c r="I47" s="2512"/>
      <c r="J47" s="98" t="s">
        <v>3556</v>
      </c>
      <c r="K47" s="98"/>
      <c r="L47" s="98"/>
      <c r="M47" s="98"/>
      <c r="N47" s="98"/>
      <c r="O47" s="98"/>
      <c r="P47" s="2512"/>
      <c r="Q47" s="2630">
        <v>35000</v>
      </c>
      <c r="R47" s="855" t="s">
        <v>3557</v>
      </c>
      <c r="S47" s="146"/>
      <c r="T47" s="146"/>
      <c r="U47" s="146"/>
      <c r="AA47" s="40"/>
      <c r="AB47" s="40"/>
    </row>
    <row r="48" spans="1:28" s="96" customFormat="1" ht="11.65" customHeight="1">
      <c r="A48" s="98"/>
      <c r="B48" s="98"/>
      <c r="C48" s="98"/>
      <c r="D48" s="2512"/>
      <c r="E48" s="2512"/>
      <c r="F48" s="98" t="s">
        <v>3558</v>
      </c>
      <c r="G48" s="98"/>
      <c r="H48" s="2512"/>
      <c r="I48" s="2512"/>
      <c r="J48" s="98" t="s">
        <v>3559</v>
      </c>
      <c r="K48" s="98"/>
      <c r="L48" s="98"/>
      <c r="M48" s="98"/>
      <c r="N48" s="98"/>
      <c r="O48" s="98"/>
      <c r="P48" s="2512"/>
      <c r="Q48" s="2830" t="s">
        <v>2135</v>
      </c>
      <c r="R48" s="2630">
        <v>1250000</v>
      </c>
      <c r="S48" s="146"/>
      <c r="T48" s="146"/>
      <c r="U48" s="146"/>
      <c r="AA48" s="40"/>
      <c r="AB48" s="40"/>
    </row>
    <row r="49" spans="1:28" s="96" customFormat="1" ht="11.65" customHeight="1">
      <c r="A49" s="98"/>
      <c r="B49" s="98" t="s">
        <v>592</v>
      </c>
      <c r="C49" s="98"/>
      <c r="D49" s="2512"/>
      <c r="E49" s="2512"/>
      <c r="F49" s="98" t="s">
        <v>3551</v>
      </c>
      <c r="G49" s="98"/>
      <c r="H49" s="2512"/>
      <c r="I49" s="2512"/>
      <c r="J49" s="98" t="s">
        <v>3560</v>
      </c>
      <c r="K49" s="98"/>
      <c r="L49" s="98"/>
      <c r="M49" s="98"/>
      <c r="N49" s="98"/>
      <c r="O49" s="98"/>
      <c r="P49" s="2512"/>
      <c r="Q49" s="2631" t="s">
        <v>2135</v>
      </c>
      <c r="R49" s="2629">
        <v>0.05</v>
      </c>
      <c r="S49" s="146"/>
      <c r="T49" s="146"/>
      <c r="U49" s="146"/>
      <c r="AA49" s="40"/>
      <c r="AB49" s="40"/>
    </row>
    <row r="50" spans="1:28" s="96" customFormat="1" ht="11.65" customHeight="1">
      <c r="A50" s="98"/>
      <c r="B50" s="98"/>
      <c r="C50" s="98"/>
      <c r="D50" s="2512"/>
      <c r="E50" s="2512"/>
      <c r="F50" s="98" t="s">
        <v>3550</v>
      </c>
      <c r="G50" s="98"/>
      <c r="H50" s="2512"/>
      <c r="I50" s="2512"/>
      <c r="J50" s="98" t="s">
        <v>3560</v>
      </c>
      <c r="K50" s="98"/>
      <c r="L50" s="98"/>
      <c r="M50" s="98"/>
      <c r="N50" s="98"/>
      <c r="O50" s="98"/>
      <c r="P50" s="2512"/>
      <c r="Q50" s="2626" t="s">
        <v>2135</v>
      </c>
      <c r="R50" s="2628">
        <v>0.1</v>
      </c>
      <c r="S50" s="146"/>
      <c r="T50" s="146"/>
      <c r="U50" s="146"/>
      <c r="AA50" s="40"/>
      <c r="AB50" s="40"/>
    </row>
    <row r="51" spans="1:28" s="96" customFormat="1" ht="11.65" customHeight="1">
      <c r="A51" s="98"/>
      <c r="B51" s="98"/>
      <c r="C51" s="98"/>
      <c r="D51" s="2512"/>
      <c r="E51" s="2512"/>
      <c r="F51" s="98" t="s">
        <v>3561</v>
      </c>
      <c r="G51" s="98"/>
      <c r="H51" s="2512"/>
      <c r="I51" s="2512"/>
      <c r="J51" s="98" t="s">
        <v>3560</v>
      </c>
      <c r="K51" s="98"/>
      <c r="L51" s="98"/>
      <c r="M51" s="98"/>
      <c r="N51" s="98"/>
      <c r="O51" s="98"/>
      <c r="P51" s="2512"/>
      <c r="Q51" s="2627">
        <v>0.03</v>
      </c>
      <c r="R51" s="2627" t="s">
        <v>2135</v>
      </c>
      <c r="S51" s="146"/>
      <c r="T51" s="146"/>
      <c r="U51" s="146"/>
      <c r="AA51" s="40"/>
      <c r="AB51" s="40"/>
    </row>
    <row r="52" spans="1:28" s="96" customFormat="1" ht="11.65" customHeight="1">
      <c r="A52" s="98"/>
      <c r="B52" s="98" t="s">
        <v>3562</v>
      </c>
      <c r="C52" s="98"/>
      <c r="D52" s="2512"/>
      <c r="E52" s="2512"/>
      <c r="F52" s="98" t="s">
        <v>2135</v>
      </c>
      <c r="G52" s="98"/>
      <c r="H52" s="2512"/>
      <c r="I52" s="2512"/>
      <c r="J52" s="98" t="s">
        <v>3563</v>
      </c>
      <c r="K52" s="98"/>
      <c r="L52" s="98"/>
      <c r="M52" s="98"/>
      <c r="N52" s="98"/>
      <c r="O52" s="98"/>
      <c r="P52" s="2512"/>
      <c r="Q52" s="855" t="s">
        <v>2135</v>
      </c>
      <c r="R52" s="2632">
        <v>0.06</v>
      </c>
      <c r="S52" s="146"/>
      <c r="T52" s="146"/>
      <c r="U52" s="146"/>
      <c r="AA52" s="40"/>
      <c r="AB52" s="40"/>
    </row>
    <row r="53" spans="1:28" s="96" customFormat="1" ht="11.65" customHeight="1">
      <c r="A53" s="98"/>
      <c r="B53" s="98" t="s">
        <v>3564</v>
      </c>
      <c r="C53" s="98"/>
      <c r="D53" s="2512"/>
      <c r="E53" s="2512"/>
      <c r="F53" s="98" t="s">
        <v>2135</v>
      </c>
      <c r="G53" s="98"/>
      <c r="H53" s="2512"/>
      <c r="I53" s="2512"/>
      <c r="J53" s="98" t="s">
        <v>3563</v>
      </c>
      <c r="K53" s="98"/>
      <c r="L53" s="98"/>
      <c r="M53" s="98"/>
      <c r="N53" s="98"/>
      <c r="O53" s="98"/>
      <c r="P53" s="2512"/>
      <c r="Q53" s="855" t="s">
        <v>2135</v>
      </c>
      <c r="R53" s="2632">
        <v>0.02</v>
      </c>
      <c r="S53" s="146"/>
      <c r="T53" s="146"/>
      <c r="U53" s="146"/>
      <c r="AA53" s="40"/>
      <c r="AB53" s="40"/>
    </row>
    <row r="54" spans="1:28" s="96" customFormat="1" ht="11.65" customHeight="1">
      <c r="A54" s="98"/>
      <c r="B54" s="98" t="s">
        <v>3565</v>
      </c>
      <c r="C54" s="98"/>
      <c r="D54" s="2512"/>
      <c r="E54" s="2512"/>
      <c r="F54" s="98" t="s">
        <v>2135</v>
      </c>
      <c r="G54" s="98"/>
      <c r="H54" s="2512"/>
      <c r="I54" s="2512"/>
      <c r="J54" s="98" t="s">
        <v>3563</v>
      </c>
      <c r="K54" s="98"/>
      <c r="L54" s="98"/>
      <c r="M54" s="98"/>
      <c r="N54" s="98"/>
      <c r="O54" s="98"/>
      <c r="P54" s="2512"/>
      <c r="Q54" s="855" t="s">
        <v>2135</v>
      </c>
      <c r="R54" s="2632">
        <v>0.06</v>
      </c>
      <c r="S54" s="146"/>
      <c r="T54" s="146"/>
      <c r="U54" s="146"/>
      <c r="AA54" s="40"/>
      <c r="AB54" s="40"/>
    </row>
    <row r="55" spans="1:28" s="96" customFormat="1" ht="11.65" customHeight="1">
      <c r="A55" s="98"/>
      <c r="B55" s="98" t="s">
        <v>1298</v>
      </c>
      <c r="C55" s="98"/>
      <c r="D55" s="2512"/>
      <c r="E55" s="2512"/>
      <c r="F55" s="98" t="s">
        <v>616</v>
      </c>
      <c r="G55" s="98"/>
      <c r="H55" s="2512"/>
      <c r="I55" s="2512"/>
      <c r="J55" s="98"/>
      <c r="K55" s="98"/>
      <c r="L55" s="98"/>
      <c r="M55" s="98"/>
      <c r="N55" s="98"/>
      <c r="O55" s="98"/>
      <c r="P55" s="2512"/>
      <c r="Q55" s="2834" t="s">
        <v>2135</v>
      </c>
      <c r="R55" s="2831"/>
      <c r="S55" s="146"/>
      <c r="T55" s="146"/>
      <c r="U55" s="146"/>
      <c r="AA55" s="40"/>
      <c r="AB55" s="40"/>
    </row>
    <row r="56" spans="1:28" s="96" customFormat="1" ht="11.65" customHeight="1">
      <c r="A56" s="2512"/>
      <c r="B56" s="146" t="s">
        <v>3566</v>
      </c>
      <c r="C56" s="98"/>
      <c r="D56" s="98"/>
      <c r="E56" s="2512"/>
      <c r="F56" s="98"/>
      <c r="G56" s="98"/>
      <c r="H56" s="2512"/>
      <c r="I56" s="2512"/>
      <c r="J56" s="98"/>
      <c r="K56" s="98"/>
      <c r="L56" s="98"/>
      <c r="M56" s="98"/>
      <c r="N56" s="98"/>
      <c r="O56" s="98"/>
      <c r="P56" s="2512"/>
      <c r="S56" s="146"/>
      <c r="T56" s="146"/>
      <c r="U56" s="146"/>
      <c r="AA56" s="40"/>
      <c r="AB56" s="40"/>
    </row>
    <row r="57" spans="1:28" s="96" customFormat="1" ht="11.65" customHeight="1">
      <c r="A57" s="98"/>
      <c r="B57" s="98"/>
      <c r="C57" s="146" t="s">
        <v>3567</v>
      </c>
      <c r="D57" s="98"/>
      <c r="E57" s="2512"/>
      <c r="F57" s="146" t="s">
        <v>3568</v>
      </c>
      <c r="G57" s="98"/>
      <c r="H57" s="2512"/>
      <c r="I57" s="2512"/>
      <c r="K57" s="98"/>
      <c r="L57" s="98"/>
      <c r="M57" s="98"/>
      <c r="N57" s="98"/>
      <c r="O57" s="98"/>
      <c r="P57" s="2512"/>
      <c r="Q57" s="4650">
        <v>2000</v>
      </c>
      <c r="R57" s="4651"/>
      <c r="S57" s="146"/>
      <c r="T57" s="146"/>
      <c r="U57" s="146"/>
      <c r="AA57" s="40"/>
      <c r="AB57" s="40"/>
    </row>
    <row r="58" spans="1:28" s="96" customFormat="1" ht="11.65" customHeight="1">
      <c r="A58" s="98"/>
      <c r="B58" s="98"/>
      <c r="C58" s="146" t="s">
        <v>3569</v>
      </c>
      <c r="D58" s="98"/>
      <c r="E58" s="2512"/>
      <c r="F58" s="98" t="s">
        <v>3570</v>
      </c>
      <c r="G58" s="98"/>
      <c r="H58" s="2512"/>
      <c r="I58" s="2512"/>
      <c r="J58" s="98" t="s">
        <v>3571</v>
      </c>
      <c r="K58" s="98"/>
      <c r="L58" s="98"/>
      <c r="M58" s="98" t="s">
        <v>3572</v>
      </c>
      <c r="N58" s="98"/>
      <c r="O58" s="98"/>
      <c r="P58" s="2512"/>
      <c r="Q58" s="4652">
        <v>10000</v>
      </c>
      <c r="R58" s="4653"/>
      <c r="S58" s="146"/>
      <c r="T58" s="146"/>
      <c r="U58" s="146"/>
      <c r="AA58" s="40"/>
      <c r="AB58" s="40"/>
    </row>
    <row r="59" spans="1:28" s="96" customFormat="1" ht="11.65" customHeight="1">
      <c r="A59" s="98"/>
      <c r="B59" s="98"/>
      <c r="C59" s="98"/>
      <c r="D59" s="98"/>
      <c r="E59" s="2512"/>
      <c r="F59" s="98"/>
      <c r="G59" s="98"/>
      <c r="H59" s="2512"/>
      <c r="I59" s="2512"/>
      <c r="K59" s="98"/>
      <c r="L59" s="98"/>
      <c r="M59" s="98" t="s">
        <v>3573</v>
      </c>
      <c r="N59" s="98"/>
      <c r="O59" s="98"/>
      <c r="P59" s="2512"/>
      <c r="Q59" s="4646">
        <v>8000</v>
      </c>
      <c r="R59" s="4647"/>
      <c r="S59" s="146"/>
      <c r="T59" s="146"/>
      <c r="U59" s="146"/>
      <c r="AA59" s="40"/>
      <c r="AB59" s="40"/>
    </row>
    <row r="60" spans="1:28" s="96" customFormat="1" ht="11.65" customHeight="1">
      <c r="A60" s="98"/>
      <c r="B60" s="98"/>
      <c r="C60" s="98"/>
      <c r="D60" s="98"/>
      <c r="E60" s="2512"/>
      <c r="G60" s="98"/>
      <c r="H60" s="2512"/>
      <c r="I60" s="2512"/>
      <c r="J60" s="146" t="s">
        <v>3574</v>
      </c>
      <c r="K60" s="98"/>
      <c r="L60" s="98"/>
      <c r="M60" s="98" t="s">
        <v>3572</v>
      </c>
      <c r="N60" s="98"/>
      <c r="O60" s="98"/>
      <c r="P60" s="2512"/>
      <c r="Q60" s="4646">
        <v>10000</v>
      </c>
      <c r="R60" s="4647"/>
      <c r="S60" s="146"/>
      <c r="T60" s="146"/>
      <c r="U60" s="146"/>
      <c r="AA60" s="40"/>
      <c r="AB60" s="40"/>
    </row>
    <row r="61" spans="1:28" s="96" customFormat="1" ht="11.65" customHeight="1">
      <c r="A61" s="98"/>
      <c r="B61" s="98"/>
      <c r="C61" s="98"/>
      <c r="D61" s="98"/>
      <c r="E61" s="2512"/>
      <c r="H61" s="2512"/>
      <c r="I61" s="2512"/>
      <c r="J61" s="98"/>
      <c r="K61" s="98"/>
      <c r="L61" s="98"/>
      <c r="M61" s="98" t="s">
        <v>3573</v>
      </c>
      <c r="N61" s="98"/>
      <c r="O61" s="98"/>
      <c r="P61" s="2512"/>
      <c r="Q61" s="4654">
        <v>8000</v>
      </c>
      <c r="R61" s="4655"/>
      <c r="S61" s="146"/>
      <c r="T61" s="146"/>
      <c r="U61" s="146"/>
      <c r="AA61" s="40"/>
      <c r="AB61" s="40"/>
    </row>
    <row r="62" spans="1:28" s="96" customFormat="1" ht="11.65" customHeight="1">
      <c r="A62" s="98"/>
      <c r="B62" s="98"/>
      <c r="C62" s="98" t="s">
        <v>3575</v>
      </c>
      <c r="D62" s="98"/>
      <c r="E62" s="2512"/>
      <c r="F62" s="98" t="s">
        <v>3576</v>
      </c>
      <c r="G62" s="98"/>
      <c r="H62" s="2512"/>
      <c r="I62" s="2512"/>
      <c r="K62" s="98"/>
      <c r="L62" s="98"/>
      <c r="M62" s="98"/>
      <c r="N62" s="98"/>
      <c r="O62" s="98"/>
      <c r="P62" s="2512"/>
      <c r="Q62" s="4652">
        <v>2500</v>
      </c>
      <c r="R62" s="4653"/>
      <c r="S62" s="146"/>
      <c r="T62" s="146"/>
      <c r="U62" s="146"/>
      <c r="AA62" s="40"/>
      <c r="AB62" s="40"/>
    </row>
    <row r="63" spans="1:28" s="96" customFormat="1" ht="11.65" customHeight="1">
      <c r="A63" s="98"/>
      <c r="B63" s="98"/>
      <c r="C63" s="98"/>
      <c r="D63" s="98"/>
      <c r="E63" s="2512"/>
      <c r="F63" s="98" t="s">
        <v>3577</v>
      </c>
      <c r="G63" s="98"/>
      <c r="H63" s="2512"/>
      <c r="I63" s="2512"/>
      <c r="K63" s="98"/>
      <c r="L63" s="98"/>
      <c r="M63" s="98"/>
      <c r="N63" s="98"/>
      <c r="O63" s="98"/>
      <c r="P63" s="2512"/>
      <c r="Q63" s="4646">
        <v>2500</v>
      </c>
      <c r="R63" s="4647"/>
      <c r="S63" s="146"/>
      <c r="T63" s="146"/>
      <c r="U63" s="146"/>
      <c r="AA63" s="40"/>
      <c r="AB63" s="40"/>
    </row>
    <row r="64" spans="1:28" s="96" customFormat="1" ht="11.65" customHeight="1">
      <c r="A64" s="98"/>
      <c r="B64" s="98"/>
      <c r="C64" s="98"/>
      <c r="D64" s="98"/>
      <c r="E64" s="2512"/>
      <c r="F64" s="146" t="s">
        <v>3578</v>
      </c>
      <c r="G64" s="98"/>
      <c r="H64" s="2512"/>
      <c r="I64" s="2512"/>
      <c r="Q64" s="4646">
        <v>1500</v>
      </c>
      <c r="R64" s="4647"/>
      <c r="S64" s="146"/>
      <c r="T64" s="146"/>
      <c r="U64" s="146"/>
      <c r="AA64" s="40"/>
      <c r="AB64" s="40"/>
    </row>
    <row r="65" spans="1:28" s="96" customFormat="1" ht="11.65" customHeight="1">
      <c r="A65" s="2512"/>
      <c r="B65" s="146"/>
      <c r="C65" s="98"/>
      <c r="D65" s="98"/>
      <c r="E65" s="2512"/>
      <c r="F65" s="98" t="s">
        <v>3579</v>
      </c>
      <c r="G65" s="98"/>
      <c r="H65" s="2512"/>
      <c r="I65" s="2512"/>
      <c r="J65" s="98" t="s">
        <v>3580</v>
      </c>
      <c r="K65" s="98"/>
      <c r="L65" s="98"/>
      <c r="M65" s="98"/>
      <c r="N65" s="98"/>
      <c r="O65" s="98"/>
      <c r="P65" s="2512"/>
      <c r="Q65" s="4646">
        <v>15000</v>
      </c>
      <c r="R65" s="4647"/>
      <c r="S65" s="146"/>
      <c r="T65" s="146"/>
      <c r="U65" s="146"/>
      <c r="AA65" s="40"/>
      <c r="AB65" s="40"/>
    </row>
    <row r="66" spans="1:28" s="96" customFormat="1" ht="11.65" customHeight="1">
      <c r="A66" s="98"/>
      <c r="B66" s="98"/>
      <c r="C66" s="98"/>
      <c r="D66" s="98"/>
      <c r="E66" s="2512"/>
      <c r="F66" s="98" t="s">
        <v>3581</v>
      </c>
      <c r="G66" s="98"/>
      <c r="H66" s="2512"/>
      <c r="I66" s="2512"/>
      <c r="K66" s="98"/>
      <c r="L66" s="98"/>
      <c r="M66" s="98"/>
      <c r="N66" s="98"/>
      <c r="O66" s="98"/>
      <c r="P66" s="2512"/>
      <c r="Q66" s="4658">
        <v>1500</v>
      </c>
      <c r="R66" s="4659"/>
      <c r="S66" s="146"/>
      <c r="T66" s="146"/>
      <c r="U66" s="146"/>
      <c r="AA66" s="40"/>
      <c r="AB66" s="40"/>
    </row>
    <row r="67" spans="1:28" s="96" customFormat="1" ht="11.65" customHeight="1">
      <c r="A67" s="2512"/>
      <c r="B67" s="146"/>
      <c r="C67" s="98"/>
      <c r="D67" s="98"/>
      <c r="E67" s="2512"/>
      <c r="F67" s="98" t="s">
        <v>3582</v>
      </c>
      <c r="G67" s="98"/>
      <c r="H67" s="2512"/>
      <c r="I67" s="2512"/>
      <c r="J67" s="98"/>
      <c r="K67" s="98"/>
      <c r="L67" s="98"/>
      <c r="M67" s="98"/>
      <c r="N67" s="98"/>
      <c r="O67" s="98"/>
      <c r="P67" s="2512"/>
      <c r="Q67" s="4660" t="s">
        <v>3583</v>
      </c>
      <c r="R67" s="4661"/>
      <c r="S67" s="146"/>
      <c r="T67" s="146"/>
      <c r="U67" s="146"/>
      <c r="AA67" s="40"/>
      <c r="AB67" s="40"/>
    </row>
    <row r="68" spans="1:28" s="96" customFormat="1" ht="11.65" customHeight="1">
      <c r="A68" s="2512"/>
      <c r="B68" s="146"/>
      <c r="C68" s="98"/>
      <c r="D68" s="98"/>
      <c r="E68" s="2512"/>
      <c r="F68" s="98" t="s">
        <v>3584</v>
      </c>
      <c r="G68" s="98"/>
      <c r="H68" s="2512"/>
      <c r="I68" s="2512"/>
      <c r="J68" s="98"/>
      <c r="K68" s="98"/>
      <c r="L68" s="98"/>
      <c r="M68" s="98"/>
      <c r="N68" s="98"/>
      <c r="O68" s="98"/>
      <c r="P68" s="2512"/>
      <c r="Q68" s="4662" t="s">
        <v>3583</v>
      </c>
      <c r="R68" s="4663"/>
      <c r="S68" s="146"/>
      <c r="T68" s="146"/>
      <c r="U68" s="146"/>
      <c r="AA68" s="40"/>
      <c r="AB68" s="40"/>
    </row>
    <row r="69" spans="1:28" s="96" customFormat="1" ht="11.65" customHeight="1">
      <c r="A69" s="98"/>
      <c r="B69" s="98"/>
      <c r="D69" s="98"/>
      <c r="E69" s="2512"/>
      <c r="F69" s="98" t="s">
        <v>3585</v>
      </c>
      <c r="G69" s="98"/>
      <c r="H69" s="2512"/>
      <c r="I69" s="2512"/>
      <c r="J69" s="98"/>
      <c r="K69" s="98"/>
      <c r="L69" s="98"/>
      <c r="M69" s="98"/>
      <c r="N69" s="98"/>
      <c r="O69" s="98"/>
      <c r="P69" s="2512"/>
      <c r="Q69" s="4664">
        <v>1500</v>
      </c>
      <c r="R69" s="4665"/>
      <c r="S69" s="146"/>
      <c r="T69" s="146"/>
      <c r="U69" s="146"/>
      <c r="AA69" s="40"/>
      <c r="AB69" s="40"/>
    </row>
    <row r="70" spans="1:28" s="96" customFormat="1" ht="11.65" customHeight="1">
      <c r="A70" s="98"/>
      <c r="C70" s="98" t="s">
        <v>3586</v>
      </c>
      <c r="D70" s="2512"/>
      <c r="E70" s="2512"/>
      <c r="F70" s="98" t="s">
        <v>3587</v>
      </c>
      <c r="H70" s="98"/>
      <c r="I70" s="2512"/>
      <c r="J70" s="98" t="s">
        <v>3588</v>
      </c>
      <c r="K70" s="98"/>
      <c r="L70" s="98"/>
      <c r="M70" s="98"/>
      <c r="N70" s="98"/>
      <c r="O70" s="98"/>
      <c r="P70" s="2512"/>
      <c r="Q70" s="4666">
        <v>0.08</v>
      </c>
      <c r="R70" s="4666"/>
      <c r="S70" s="146"/>
      <c r="T70" s="146"/>
      <c r="U70" s="146"/>
      <c r="AA70" s="40"/>
      <c r="AB70" s="40"/>
    </row>
    <row r="71" spans="1:28" s="96" customFormat="1" ht="11.65" customHeight="1">
      <c r="A71" s="98"/>
      <c r="C71" s="98"/>
      <c r="D71" s="2512"/>
      <c r="E71" s="2512"/>
      <c r="F71" s="98" t="s">
        <v>3589</v>
      </c>
      <c r="H71" s="98"/>
      <c r="I71" s="2512"/>
      <c r="J71" s="98" t="s">
        <v>3588</v>
      </c>
      <c r="K71" s="98"/>
      <c r="L71" s="98"/>
      <c r="M71" s="98"/>
      <c r="N71" s="98"/>
      <c r="O71" s="98"/>
      <c r="P71" s="2512"/>
      <c r="Q71" s="4667">
        <v>0.08</v>
      </c>
      <c r="R71" s="4667"/>
      <c r="S71" s="146"/>
      <c r="T71" s="146"/>
      <c r="U71" s="146"/>
      <c r="AA71" s="40"/>
      <c r="AB71" s="40"/>
    </row>
    <row r="72" spans="1:28" s="96" customFormat="1" ht="11.65" customHeight="1">
      <c r="A72" s="98"/>
      <c r="C72" s="98"/>
      <c r="D72" s="2512"/>
      <c r="E72" s="2512"/>
      <c r="F72" s="98" t="s">
        <v>3590</v>
      </c>
      <c r="H72" s="98"/>
      <c r="I72" s="2512"/>
      <c r="J72" s="98"/>
      <c r="K72" s="98"/>
      <c r="L72" s="98"/>
      <c r="M72" s="98"/>
      <c r="N72" s="98"/>
      <c r="O72" s="98"/>
      <c r="P72" s="2512"/>
      <c r="Q72" s="4646">
        <v>2500</v>
      </c>
      <c r="R72" s="4647"/>
      <c r="S72" s="146"/>
      <c r="T72" s="146"/>
      <c r="U72" s="146"/>
      <c r="AA72" s="40"/>
      <c r="AB72" s="40"/>
    </row>
    <row r="73" spans="1:28" s="96" customFormat="1" ht="11.65" customHeight="1">
      <c r="A73" s="98"/>
      <c r="B73" s="98"/>
      <c r="C73" s="98"/>
      <c r="D73" s="2512"/>
      <c r="E73" s="2512"/>
      <c r="F73" s="98" t="s">
        <v>3591</v>
      </c>
      <c r="I73" s="2512"/>
      <c r="J73" s="98" t="s">
        <v>3530</v>
      </c>
      <c r="K73" s="98"/>
      <c r="L73" s="98"/>
      <c r="M73" s="98"/>
      <c r="N73" s="98"/>
      <c r="O73" s="98"/>
      <c r="P73" s="2512"/>
      <c r="Q73" s="4646">
        <v>8000</v>
      </c>
      <c r="R73" s="4647"/>
      <c r="S73" s="146"/>
      <c r="T73" s="146"/>
      <c r="U73" s="146"/>
      <c r="AA73" s="40"/>
      <c r="AB73" s="40"/>
    </row>
    <row r="74" spans="1:28" s="96" customFormat="1" ht="11.65" customHeight="1">
      <c r="A74" s="98"/>
      <c r="C74" s="98" t="s">
        <v>3592</v>
      </c>
      <c r="D74" s="2512"/>
      <c r="E74" s="2512"/>
      <c r="F74" s="98" t="s">
        <v>3593</v>
      </c>
      <c r="H74" s="98" t="s">
        <v>3594</v>
      </c>
      <c r="I74" s="2512"/>
      <c r="J74" s="98" t="s">
        <v>1140</v>
      </c>
      <c r="K74" s="98"/>
      <c r="L74" s="98"/>
      <c r="M74" s="98"/>
      <c r="N74" s="98"/>
      <c r="O74" s="98"/>
      <c r="P74" s="2512"/>
      <c r="Q74" s="4646">
        <v>800</v>
      </c>
      <c r="R74" s="4647"/>
      <c r="S74" s="146"/>
      <c r="T74" s="146"/>
      <c r="U74" s="146"/>
      <c r="AA74" s="40"/>
      <c r="AB74" s="40"/>
    </row>
    <row r="75" spans="1:28" s="96" customFormat="1" ht="11.65" customHeight="1">
      <c r="A75" s="98"/>
      <c r="C75" s="98"/>
      <c r="D75" s="2512"/>
      <c r="E75" s="2512"/>
      <c r="F75" s="98"/>
      <c r="H75" s="98"/>
      <c r="I75" s="98" t="s">
        <v>3595</v>
      </c>
      <c r="J75" s="98" t="s">
        <v>1140</v>
      </c>
      <c r="K75" s="98"/>
      <c r="L75" s="98"/>
      <c r="M75" s="98"/>
      <c r="N75" s="98"/>
      <c r="O75" s="98"/>
      <c r="P75" s="2512"/>
      <c r="Q75" s="4646">
        <v>1000</v>
      </c>
      <c r="R75" s="4647"/>
      <c r="S75" s="146"/>
      <c r="T75" s="146"/>
      <c r="U75" s="146"/>
      <c r="AA75" s="40"/>
      <c r="AB75" s="40"/>
    </row>
    <row r="76" spans="1:28" s="96" customFormat="1" ht="11.65" customHeight="1">
      <c r="A76" s="98"/>
      <c r="B76" s="98"/>
      <c r="C76" s="98"/>
      <c r="D76" s="2512"/>
      <c r="E76" s="2512"/>
      <c r="H76" s="98" t="s">
        <v>3596</v>
      </c>
      <c r="I76" s="2512"/>
      <c r="J76" s="98" t="s">
        <v>1140</v>
      </c>
      <c r="K76" s="98" t="s">
        <v>3597</v>
      </c>
      <c r="L76" s="98"/>
      <c r="M76" s="98"/>
      <c r="N76" s="98"/>
      <c r="O76" s="98"/>
      <c r="P76" s="2512"/>
      <c r="Q76" s="4656">
        <v>800</v>
      </c>
      <c r="R76" s="4657"/>
      <c r="S76" s="146"/>
      <c r="T76" s="146"/>
      <c r="U76" s="146"/>
      <c r="AA76" s="40"/>
      <c r="AB76" s="40"/>
    </row>
    <row r="77" spans="1:28" s="96" customFormat="1" ht="11.65" customHeight="1">
      <c r="A77" s="98"/>
      <c r="B77" s="98"/>
      <c r="C77" s="98"/>
      <c r="D77" s="2512"/>
      <c r="E77" s="2512"/>
      <c r="H77" s="98" t="s">
        <v>3598</v>
      </c>
      <c r="I77" s="2512"/>
      <c r="J77" s="98" t="s">
        <v>3599</v>
      </c>
      <c r="K77" s="98"/>
      <c r="L77" s="98"/>
      <c r="M77" s="98"/>
      <c r="N77" s="98"/>
      <c r="O77" s="98"/>
      <c r="P77" s="2512"/>
      <c r="Q77" s="4656">
        <v>1500</v>
      </c>
      <c r="R77" s="4657"/>
      <c r="S77" s="146"/>
      <c r="T77" s="146"/>
      <c r="U77" s="146"/>
      <c r="AA77" s="40"/>
      <c r="AB77" s="40"/>
    </row>
    <row r="78" spans="1:28" s="96" customFormat="1" ht="11.65" customHeight="1">
      <c r="A78" s="98"/>
      <c r="B78" s="98"/>
      <c r="C78" s="98"/>
      <c r="D78" s="98"/>
      <c r="E78" s="2512"/>
      <c r="F78" s="98" t="s">
        <v>3600</v>
      </c>
      <c r="H78" s="2512"/>
      <c r="I78" s="2512"/>
      <c r="J78" s="98" t="s">
        <v>3601</v>
      </c>
      <c r="K78" s="98"/>
      <c r="L78" s="98"/>
      <c r="M78" s="98"/>
      <c r="N78" s="98"/>
      <c r="O78" s="98"/>
      <c r="P78" s="2512"/>
      <c r="Q78" s="4654">
        <v>1500</v>
      </c>
      <c r="R78" s="4655"/>
      <c r="S78" s="146"/>
      <c r="T78" s="146"/>
      <c r="U78" s="146"/>
      <c r="AA78" s="40"/>
      <c r="AB78" s="40"/>
    </row>
    <row r="79" spans="1:28" s="96" customFormat="1" ht="11.65" customHeight="1">
      <c r="A79" s="98"/>
      <c r="B79" s="98"/>
      <c r="C79" s="98"/>
      <c r="D79" s="2512"/>
      <c r="E79" s="2512"/>
      <c r="F79" s="98" t="s">
        <v>3602</v>
      </c>
      <c r="I79" s="2512"/>
      <c r="J79" s="98" t="s">
        <v>3603</v>
      </c>
      <c r="K79" s="98"/>
      <c r="L79" s="98"/>
      <c r="M79" s="98"/>
      <c r="N79" s="98"/>
      <c r="O79" s="98"/>
      <c r="P79" s="2512"/>
      <c r="Q79" s="4670">
        <v>750</v>
      </c>
      <c r="R79" s="4671"/>
      <c r="S79" s="146"/>
      <c r="T79" s="146"/>
      <c r="U79" s="146"/>
      <c r="AA79" s="40"/>
      <c r="AB79" s="40"/>
    </row>
    <row r="80" spans="1:28" s="96" customFormat="1" ht="11.65" customHeight="1">
      <c r="A80" s="98"/>
      <c r="B80" s="98"/>
      <c r="C80" s="98"/>
      <c r="D80" s="2512"/>
      <c r="E80" s="2512"/>
      <c r="F80" s="98" t="s">
        <v>3604</v>
      </c>
      <c r="I80" s="2512"/>
      <c r="J80" s="98" t="s">
        <v>3605</v>
      </c>
      <c r="K80" s="98"/>
      <c r="L80" s="98" t="s">
        <v>3606</v>
      </c>
      <c r="M80" s="98"/>
      <c r="N80" s="98"/>
      <c r="O80" s="98"/>
      <c r="P80" s="2512"/>
      <c r="Q80" s="4668">
        <v>75</v>
      </c>
      <c r="R80" s="4669"/>
      <c r="S80" s="146"/>
      <c r="T80" s="146"/>
      <c r="U80" s="146"/>
      <c r="AA80" s="40"/>
      <c r="AB80" s="40"/>
    </row>
    <row r="81" spans="1:28" ht="11.25" customHeight="1">
      <c r="B81" s="98" t="s">
        <v>3607</v>
      </c>
      <c r="F81" s="941" t="s">
        <v>682</v>
      </c>
      <c r="G81" s="146"/>
      <c r="H81" s="146"/>
      <c r="J81" s="98" t="s">
        <v>683</v>
      </c>
      <c r="K81" s="98" t="s">
        <v>684</v>
      </c>
      <c r="L81" s="25"/>
      <c r="M81" s="25"/>
      <c r="N81" s="25"/>
      <c r="O81" s="945" t="s">
        <v>3608</v>
      </c>
      <c r="AA81"/>
      <c r="AB81"/>
    </row>
    <row r="82" spans="1:28" ht="11.25" customHeight="1">
      <c r="F82" s="77"/>
      <c r="H82" s="942">
        <v>0.09</v>
      </c>
      <c r="J82" s="284">
        <v>1</v>
      </c>
      <c r="K82" s="284">
        <v>50</v>
      </c>
      <c r="Q82" s="4672">
        <v>27500</v>
      </c>
      <c r="R82" s="4672"/>
      <c r="AA82"/>
      <c r="AB82"/>
    </row>
    <row r="83" spans="1:28" ht="11.25" customHeight="1">
      <c r="F83" s="77"/>
      <c r="H83" s="526"/>
      <c r="J83" s="284">
        <v>51</v>
      </c>
      <c r="K83" s="284">
        <v>70</v>
      </c>
      <c r="Q83" s="4673">
        <v>22000</v>
      </c>
      <c r="R83" s="4673"/>
      <c r="AA83"/>
      <c r="AB83"/>
    </row>
    <row r="84" spans="1:28" ht="11.25" customHeight="1">
      <c r="F84" s="77"/>
      <c r="H84" s="1119"/>
      <c r="I84" s="111"/>
      <c r="J84" s="1120">
        <v>71</v>
      </c>
      <c r="K84" s="1121"/>
      <c r="L84" s="111"/>
      <c r="M84" s="111"/>
      <c r="N84" s="111"/>
      <c r="O84" s="111"/>
      <c r="P84" s="1122"/>
      <c r="Q84" s="4674">
        <v>16500</v>
      </c>
      <c r="R84" s="4674"/>
      <c r="AA84"/>
      <c r="AB84"/>
    </row>
    <row r="85" spans="1:28" ht="11.25" customHeight="1">
      <c r="H85" s="1123">
        <v>0.04</v>
      </c>
      <c r="I85" s="1124"/>
      <c r="J85" s="1125">
        <v>1</v>
      </c>
      <c r="K85" s="1125">
        <v>50</v>
      </c>
      <c r="L85" s="1124"/>
      <c r="M85" s="1124"/>
      <c r="N85" s="1124"/>
      <c r="O85" s="1124"/>
      <c r="P85" s="1126"/>
      <c r="Q85" s="4672">
        <v>27500</v>
      </c>
      <c r="R85" s="4672"/>
      <c r="AA85"/>
      <c r="AB85"/>
    </row>
    <row r="86" spans="1:28" ht="11.25" customHeight="1">
      <c r="H86" s="943"/>
      <c r="J86" s="284">
        <v>51</v>
      </c>
      <c r="K86" s="284">
        <v>70</v>
      </c>
      <c r="Q86" s="4673">
        <v>22000</v>
      </c>
      <c r="R86" s="4673"/>
      <c r="AA86"/>
      <c r="AB86"/>
    </row>
    <row r="87" spans="1:28" ht="11.25" customHeight="1">
      <c r="H87" s="943"/>
      <c r="J87" s="284">
        <v>71</v>
      </c>
      <c r="K87" s="943"/>
      <c r="Q87" s="4674">
        <v>16500</v>
      </c>
      <c r="R87" s="4674"/>
      <c r="AA87"/>
      <c r="AB87"/>
    </row>
    <row r="88" spans="1:28" ht="11.25" customHeight="1">
      <c r="F88" s="146" t="s">
        <v>679</v>
      </c>
      <c r="H88" s="264"/>
      <c r="I88" s="25"/>
      <c r="AA88"/>
      <c r="AB88"/>
    </row>
    <row r="89" spans="1:28" ht="11.25" customHeight="1">
      <c r="H89" s="944">
        <v>0.09</v>
      </c>
      <c r="I89" s="146"/>
      <c r="Q89" s="4672">
        <v>2285000</v>
      </c>
      <c r="R89" s="4672"/>
      <c r="AA89"/>
      <c r="AB89"/>
    </row>
    <row r="90" spans="1:28" ht="11.25" customHeight="1">
      <c r="H90" s="944">
        <v>0.04</v>
      </c>
      <c r="I90" s="146"/>
      <c r="Q90" s="4674">
        <v>4000000</v>
      </c>
      <c r="R90" s="4674"/>
      <c r="AA90"/>
      <c r="AB90"/>
    </row>
    <row r="91" spans="1:28">
      <c r="AA91"/>
      <c r="AB91"/>
    </row>
    <row r="92" spans="1:28" s="96" customFormat="1" ht="13.5">
      <c r="A92" s="98"/>
      <c r="B92" s="98"/>
      <c r="C92" s="98"/>
      <c r="D92" s="2512"/>
      <c r="E92" s="2512"/>
      <c r="F92" s="98"/>
      <c r="G92" s="98"/>
      <c r="H92" s="98"/>
      <c r="I92" s="2512"/>
      <c r="J92" s="98" t="s">
        <v>3609</v>
      </c>
      <c r="K92" s="98"/>
      <c r="L92" s="98"/>
      <c r="M92" s="98"/>
      <c r="N92" s="98"/>
      <c r="O92" s="98"/>
      <c r="P92" s="2512"/>
      <c r="Q92" s="4668">
        <v>3500000</v>
      </c>
      <c r="R92" s="4669"/>
      <c r="S92" s="146"/>
      <c r="T92" s="146"/>
      <c r="U92" s="146"/>
      <c r="AA92" s="40"/>
      <c r="AB92" s="40"/>
    </row>
    <row r="93" spans="1:28" s="96" customFormat="1" ht="13.5" hidden="1">
      <c r="A93" s="98"/>
      <c r="B93" s="98"/>
      <c r="C93" s="98"/>
      <c r="D93" s="2512"/>
      <c r="E93" s="2512"/>
      <c r="F93" s="98" t="s">
        <v>3610</v>
      </c>
      <c r="G93" s="98"/>
      <c r="H93" s="98" t="s">
        <v>1155</v>
      </c>
      <c r="I93" s="2512"/>
      <c r="J93" s="98" t="s">
        <v>3611</v>
      </c>
      <c r="K93" s="98"/>
      <c r="L93" s="98"/>
      <c r="M93" s="98"/>
      <c r="N93" s="98"/>
      <c r="O93" s="98"/>
      <c r="P93" s="2512"/>
      <c r="Q93" s="4675">
        <v>0.15</v>
      </c>
      <c r="R93" s="4676"/>
      <c r="S93" s="146"/>
      <c r="T93" s="146"/>
      <c r="U93" s="146"/>
      <c r="AA93" s="40"/>
      <c r="AB93" s="40"/>
    </row>
    <row r="94" spans="1:28" s="96" customFormat="1" ht="13.5" hidden="1">
      <c r="A94" s="98"/>
      <c r="B94" s="215"/>
      <c r="C94" s="98"/>
      <c r="D94" s="2512"/>
      <c r="E94" s="2512"/>
      <c r="F94" s="98"/>
      <c r="G94" s="98"/>
      <c r="H94" s="98" t="s">
        <v>3612</v>
      </c>
      <c r="I94" s="98" t="s">
        <v>3613</v>
      </c>
      <c r="J94" s="98" t="s">
        <v>3614</v>
      </c>
      <c r="K94" s="98"/>
      <c r="L94" s="98"/>
      <c r="M94" s="98"/>
      <c r="N94" s="98"/>
      <c r="O94" s="98"/>
      <c r="P94" s="2512"/>
      <c r="Q94" s="4675">
        <v>0.15</v>
      </c>
      <c r="R94" s="4676"/>
      <c r="S94" s="146"/>
      <c r="T94" s="146"/>
      <c r="U94" s="146"/>
      <c r="AA94" s="40"/>
      <c r="AB94" s="40"/>
    </row>
    <row r="95" spans="1:28" s="96" customFormat="1" ht="13.5" hidden="1">
      <c r="A95" s="98"/>
      <c r="B95" s="215"/>
      <c r="C95" s="98"/>
      <c r="D95" s="2512"/>
      <c r="E95" s="2512"/>
      <c r="F95" s="98"/>
      <c r="G95" s="98"/>
      <c r="H95" s="98"/>
      <c r="I95" s="98" t="s">
        <v>3615</v>
      </c>
      <c r="J95" s="98" t="s">
        <v>3616</v>
      </c>
      <c r="K95" s="98"/>
      <c r="L95" s="98"/>
      <c r="M95" s="98"/>
      <c r="N95" s="98"/>
      <c r="O95" s="98"/>
      <c r="P95" s="2512"/>
      <c r="Q95" s="4675">
        <v>0.15</v>
      </c>
      <c r="R95" s="4676"/>
      <c r="S95" s="146"/>
      <c r="T95" s="146"/>
      <c r="U95" s="146"/>
      <c r="AA95" s="40"/>
      <c r="AB95" s="40"/>
    </row>
    <row r="96" spans="1:28" s="96" customFormat="1" ht="13.5" hidden="1">
      <c r="A96" s="98"/>
      <c r="B96" s="215"/>
      <c r="C96" s="98"/>
      <c r="D96" s="2512"/>
      <c r="E96" s="2512"/>
      <c r="F96" s="98"/>
      <c r="G96" s="98"/>
      <c r="H96" s="98" t="s">
        <v>3617</v>
      </c>
      <c r="I96" s="2512"/>
      <c r="J96" s="98" t="s">
        <v>3616</v>
      </c>
      <c r="K96" s="98"/>
      <c r="L96" s="98"/>
      <c r="M96" s="98"/>
      <c r="N96" s="98"/>
      <c r="O96" s="98"/>
      <c r="P96" s="2512"/>
      <c r="Q96" s="4675">
        <v>0.15</v>
      </c>
      <c r="R96" s="4676"/>
      <c r="S96" s="146"/>
      <c r="T96" s="146"/>
      <c r="U96" s="146"/>
      <c r="AA96" s="40"/>
      <c r="AB96" s="40"/>
    </row>
    <row r="97" spans="1:28" s="96" customFormat="1" ht="13.5" hidden="1">
      <c r="A97" s="98"/>
      <c r="B97" s="215"/>
      <c r="C97" s="98"/>
      <c r="D97" s="2512"/>
      <c r="E97" s="2512"/>
      <c r="F97" s="98"/>
      <c r="G97" s="98"/>
      <c r="H97" s="98"/>
      <c r="I97" s="98" t="s">
        <v>3618</v>
      </c>
      <c r="J97" s="98" t="s">
        <v>3619</v>
      </c>
      <c r="K97" s="98"/>
      <c r="L97" s="98"/>
      <c r="M97" s="98"/>
      <c r="N97" s="98"/>
      <c r="O97" s="98"/>
      <c r="P97" s="2512"/>
      <c r="Q97" s="4675">
        <v>0.15</v>
      </c>
      <c r="R97" s="4676"/>
      <c r="S97" s="146"/>
      <c r="T97" s="146"/>
      <c r="U97" s="146"/>
      <c r="AA97" s="40"/>
      <c r="AB97" s="40"/>
    </row>
    <row r="98" spans="1:28" s="96" customFormat="1" ht="13.5" hidden="1">
      <c r="A98" s="98"/>
      <c r="B98" s="215"/>
      <c r="C98" s="98"/>
      <c r="D98" s="2512"/>
      <c r="E98" s="2512"/>
      <c r="F98" s="98" t="s">
        <v>3620</v>
      </c>
      <c r="G98" s="98"/>
      <c r="H98" s="98"/>
      <c r="I98" s="2512"/>
      <c r="J98" s="98" t="s">
        <v>3621</v>
      </c>
      <c r="K98" s="98"/>
      <c r="L98" s="98"/>
      <c r="M98" s="98"/>
      <c r="N98" s="98"/>
      <c r="O98" s="98"/>
      <c r="P98" s="2512"/>
      <c r="Q98" s="4675">
        <v>0.15</v>
      </c>
      <c r="R98" s="4676"/>
      <c r="S98" s="146"/>
      <c r="T98" s="146"/>
      <c r="U98" s="146"/>
      <c r="AA98" s="40"/>
      <c r="AB98" s="40"/>
    </row>
    <row r="99" spans="1:28" s="96" customFormat="1" ht="13.5" hidden="1">
      <c r="A99" s="98"/>
      <c r="B99" s="215"/>
      <c r="C99" s="98"/>
      <c r="D99" s="2512"/>
      <c r="E99" s="2512"/>
      <c r="G99" s="98"/>
      <c r="H99" s="98"/>
      <c r="I99" s="2512"/>
      <c r="J99" s="98" t="s">
        <v>3622</v>
      </c>
      <c r="K99" s="98"/>
      <c r="L99" s="98"/>
      <c r="M99" s="98"/>
      <c r="N99" s="98"/>
      <c r="O99" s="98"/>
      <c r="P99" s="2512"/>
      <c r="Q99" s="4675" t="s">
        <v>3623</v>
      </c>
      <c r="R99" s="4676"/>
      <c r="S99" s="146"/>
      <c r="T99" s="146"/>
      <c r="U99" s="146"/>
      <c r="AA99" s="40"/>
      <c r="AB99" s="40"/>
    </row>
    <row r="100" spans="1:28" s="96" customFormat="1" ht="11.25" customHeight="1">
      <c r="A100" s="98"/>
      <c r="B100" s="215"/>
      <c r="C100" s="98"/>
      <c r="D100" s="2512"/>
      <c r="E100" s="2512"/>
      <c r="F100" s="98" t="s">
        <v>3624</v>
      </c>
      <c r="G100" s="98"/>
      <c r="H100" s="98"/>
      <c r="I100" s="2512"/>
      <c r="J100" s="98"/>
      <c r="K100" s="98"/>
      <c r="L100" s="98"/>
      <c r="M100" s="98"/>
      <c r="N100" s="98"/>
      <c r="O100" s="98"/>
      <c r="P100" s="2512"/>
      <c r="Q100" s="2835">
        <v>0</v>
      </c>
      <c r="R100" s="2835">
        <v>15</v>
      </c>
      <c r="S100" s="146"/>
      <c r="T100" s="146"/>
      <c r="U100" s="146"/>
      <c r="AA100" s="40"/>
      <c r="AB100" s="40"/>
    </row>
    <row r="101" spans="1:28" s="96" customFormat="1" ht="11.25" hidden="1" customHeight="1">
      <c r="A101" s="98"/>
      <c r="B101" s="215"/>
      <c r="C101" s="98"/>
      <c r="D101" s="2512"/>
      <c r="E101" s="2512"/>
      <c r="F101" s="98" t="s">
        <v>3625</v>
      </c>
      <c r="G101" s="98"/>
      <c r="I101" s="2512"/>
      <c r="J101" s="98"/>
      <c r="K101" s="98"/>
      <c r="L101" s="98"/>
      <c r="M101" s="98"/>
      <c r="N101" s="98"/>
      <c r="O101" s="98"/>
      <c r="P101" s="2512"/>
      <c r="Q101" s="2833">
        <v>0</v>
      </c>
      <c r="R101" s="2833">
        <v>0.5</v>
      </c>
      <c r="S101" s="146"/>
      <c r="T101" s="146"/>
      <c r="U101" s="146"/>
      <c r="AA101" s="40"/>
      <c r="AB101" s="40"/>
    </row>
    <row r="102" spans="1:28" s="96" customFormat="1" ht="11.25" customHeight="1">
      <c r="A102" s="98"/>
      <c r="B102" s="98" t="s">
        <v>3626</v>
      </c>
      <c r="C102" s="98"/>
      <c r="D102" s="98"/>
      <c r="E102" s="98"/>
      <c r="F102" s="98"/>
      <c r="G102" s="98"/>
      <c r="H102" s="2512"/>
      <c r="I102" s="2512"/>
      <c r="J102" s="98" t="s">
        <v>3627</v>
      </c>
      <c r="K102" s="98"/>
      <c r="L102" s="98"/>
      <c r="M102" s="98"/>
      <c r="N102" s="98"/>
      <c r="O102" s="98"/>
      <c r="P102" s="2512"/>
      <c r="Q102" s="1691">
        <v>6</v>
      </c>
      <c r="R102" s="1691" t="s">
        <v>2135</v>
      </c>
      <c r="S102" s="146"/>
      <c r="T102" s="146"/>
      <c r="U102" s="146"/>
      <c r="AA102" s="40"/>
      <c r="AB102" s="40"/>
    </row>
    <row r="103" spans="1:28" s="96" customFormat="1" ht="11.25" customHeight="1">
      <c r="A103" s="98"/>
      <c r="B103" s="98"/>
      <c r="C103" s="98"/>
      <c r="D103" s="98"/>
      <c r="E103" s="98"/>
      <c r="F103" s="98"/>
      <c r="G103" s="98"/>
      <c r="H103" s="2512"/>
      <c r="I103" s="2512"/>
      <c r="J103" s="98" t="s">
        <v>3628</v>
      </c>
      <c r="K103" s="98"/>
      <c r="L103" s="98"/>
      <c r="M103" s="98"/>
      <c r="N103" s="98"/>
      <c r="O103" s="98"/>
      <c r="P103" s="2512"/>
      <c r="Q103" s="1692">
        <v>6</v>
      </c>
      <c r="R103" s="1692" t="s">
        <v>2135</v>
      </c>
      <c r="S103" s="146"/>
      <c r="T103" s="146"/>
      <c r="U103" s="146"/>
      <c r="AA103" s="40"/>
      <c r="AB103" s="40"/>
    </row>
    <row r="104" spans="1:28" s="96" customFormat="1" ht="11.25" customHeight="1">
      <c r="A104" s="98"/>
      <c r="B104" s="216" t="s">
        <v>3629</v>
      </c>
      <c r="C104" s="98"/>
      <c r="D104" s="2512"/>
      <c r="E104" s="2512"/>
      <c r="F104" s="98"/>
      <c r="G104" s="98"/>
      <c r="I104" s="2512"/>
      <c r="J104" s="98" t="s">
        <v>3630</v>
      </c>
      <c r="K104" s="98"/>
      <c r="L104" s="98"/>
      <c r="M104" s="98"/>
      <c r="N104" s="98"/>
      <c r="O104" s="98"/>
      <c r="P104" s="2512"/>
      <c r="Q104" s="855">
        <v>3</v>
      </c>
      <c r="R104" s="855" t="s">
        <v>2135</v>
      </c>
      <c r="S104" s="146"/>
      <c r="T104" s="146"/>
      <c r="U104" s="146"/>
      <c r="AA104" s="40"/>
      <c r="AB104" s="40"/>
    </row>
    <row r="105" spans="1:28" s="96" customFormat="1" ht="11.65" customHeight="1">
      <c r="A105" s="98"/>
      <c r="B105" s="98" t="s">
        <v>3631</v>
      </c>
      <c r="C105" s="98"/>
      <c r="D105" s="2512"/>
      <c r="E105" s="98"/>
      <c r="F105" s="98"/>
      <c r="G105" s="98"/>
      <c r="H105" s="2512"/>
      <c r="I105" s="2512"/>
      <c r="J105" s="98" t="s">
        <v>3530</v>
      </c>
      <c r="K105" s="98"/>
      <c r="L105" s="98"/>
      <c r="M105" s="98"/>
      <c r="N105" s="98"/>
      <c r="O105" s="98"/>
      <c r="P105" s="2512"/>
      <c r="Q105" s="4668">
        <v>3000</v>
      </c>
      <c r="R105" s="4669"/>
      <c r="S105" s="146"/>
      <c r="T105" s="146"/>
      <c r="U105" s="146"/>
      <c r="AA105" s="40"/>
      <c r="AB105" s="40"/>
    </row>
    <row r="106" spans="1:28" s="96" customFormat="1" ht="11.65" customHeight="1">
      <c r="A106" s="98"/>
      <c r="B106" s="98"/>
      <c r="C106" s="98"/>
      <c r="D106" s="2512"/>
      <c r="E106" s="2512"/>
      <c r="O106" s="98"/>
      <c r="T106" s="142"/>
      <c r="U106" s="2512"/>
      <c r="V106" s="222"/>
      <c r="W106" s="222"/>
      <c r="X106" s="222"/>
      <c r="AA106" s="40"/>
      <c r="AB106" s="40"/>
    </row>
    <row r="107" spans="1:28" s="96" customFormat="1" ht="11.65" customHeight="1">
      <c r="A107" s="137" t="s">
        <v>3506</v>
      </c>
      <c r="B107" s="137"/>
      <c r="C107" s="137"/>
      <c r="D107" s="2512"/>
      <c r="E107" s="2512"/>
      <c r="F107" s="137" t="s">
        <v>3507</v>
      </c>
      <c r="G107" s="137"/>
      <c r="H107" s="2512"/>
      <c r="I107" s="2512"/>
      <c r="J107" s="137" t="s">
        <v>3508</v>
      </c>
      <c r="K107" s="137"/>
      <c r="L107" s="137"/>
      <c r="M107" s="137"/>
      <c r="N107" s="137"/>
      <c r="O107" s="137"/>
      <c r="P107" s="2512"/>
      <c r="Q107" s="99" t="s">
        <v>3173</v>
      </c>
      <c r="R107" s="99" t="s">
        <v>3175</v>
      </c>
      <c r="S107" s="150"/>
      <c r="T107" s="142"/>
      <c r="U107" s="2512"/>
      <c r="V107" s="222"/>
      <c r="W107" s="222"/>
      <c r="X107" s="222"/>
      <c r="AA107" s="40"/>
      <c r="AB107" s="40"/>
    </row>
    <row r="108" spans="1:28" s="96" customFormat="1" ht="3" customHeight="1">
      <c r="A108" s="98"/>
      <c r="B108" s="98"/>
      <c r="C108" s="98"/>
      <c r="D108" s="98"/>
      <c r="E108" s="2512"/>
      <c r="F108" s="98"/>
      <c r="G108" s="98"/>
      <c r="H108" s="145"/>
      <c r="I108" s="2512"/>
      <c r="J108" s="98"/>
      <c r="K108" s="2599"/>
      <c r="L108" s="2599"/>
      <c r="M108" s="2599"/>
      <c r="N108" s="2599"/>
      <c r="O108" s="98"/>
      <c r="P108" s="2512"/>
      <c r="Q108" s="144"/>
      <c r="R108" s="144"/>
      <c r="S108" s="2512"/>
      <c r="T108" s="2512"/>
      <c r="U108" s="2512"/>
      <c r="AA108" s="40"/>
      <c r="AB108" s="40"/>
    </row>
    <row r="109" spans="1:28" s="96" customFormat="1" ht="3" customHeight="1">
      <c r="A109" s="2512"/>
      <c r="B109" s="98"/>
      <c r="C109" s="98"/>
      <c r="D109" s="98"/>
      <c r="E109" s="98"/>
      <c r="F109" s="98"/>
      <c r="G109" s="98"/>
      <c r="H109" s="98"/>
      <c r="I109" s="2512"/>
      <c r="J109" s="98"/>
      <c r="K109" s="98"/>
      <c r="L109" s="98"/>
      <c r="M109" s="98"/>
      <c r="N109" s="98"/>
      <c r="O109" s="98"/>
      <c r="P109" s="2512"/>
      <c r="Q109" s="98"/>
      <c r="R109" s="98"/>
      <c r="S109" s="146"/>
      <c r="T109" s="146"/>
      <c r="U109" s="146"/>
      <c r="AA109" s="40"/>
      <c r="AB109" s="40"/>
    </row>
    <row r="110" spans="1:28" s="96" customFormat="1" ht="12" customHeight="1">
      <c r="A110" s="141" t="s">
        <v>3632</v>
      </c>
      <c r="B110" s="98"/>
      <c r="C110" s="98"/>
      <c r="D110" s="98"/>
      <c r="E110" s="98"/>
      <c r="F110" s="98"/>
      <c r="G110" s="98"/>
      <c r="H110" s="98"/>
      <c r="I110" s="2512"/>
      <c r="J110" s="98"/>
      <c r="K110" s="98"/>
      <c r="L110" s="98"/>
      <c r="M110" s="98"/>
      <c r="N110" s="98"/>
      <c r="O110" s="98"/>
      <c r="P110" s="2512"/>
      <c r="Q110" s="98"/>
      <c r="R110" s="98"/>
      <c r="S110" s="146"/>
      <c r="T110" s="146"/>
      <c r="U110" s="146"/>
      <c r="AA110" s="40"/>
      <c r="AB110" s="40"/>
    </row>
    <row r="111" spans="1:28" ht="11.65" customHeight="1">
      <c r="B111" s="147" t="s">
        <v>3633</v>
      </c>
      <c r="C111" s="78"/>
      <c r="D111" s="78"/>
      <c r="E111" s="78"/>
      <c r="F111" s="78"/>
      <c r="G111" s="78"/>
      <c r="J111" s="2836">
        <v>1</v>
      </c>
      <c r="K111" s="2836">
        <v>2</v>
      </c>
      <c r="L111" s="2836">
        <v>3</v>
      </c>
      <c r="M111" s="2836">
        <v>4</v>
      </c>
      <c r="N111" s="2836">
        <v>5</v>
      </c>
      <c r="O111" s="2836">
        <v>6</v>
      </c>
      <c r="P111" s="2836">
        <v>7</v>
      </c>
      <c r="Q111" s="2836">
        <v>8</v>
      </c>
    </row>
    <row r="112" spans="1:28" ht="11.1" customHeight="1">
      <c r="B112" s="78"/>
      <c r="C112" s="78"/>
      <c r="D112" s="78"/>
      <c r="E112" s="78"/>
      <c r="F112" s="78"/>
      <c r="G112" s="78"/>
      <c r="J112" s="2837">
        <v>0.7</v>
      </c>
      <c r="K112" s="2837">
        <v>0.8</v>
      </c>
      <c r="L112" s="2837">
        <v>0.9</v>
      </c>
      <c r="M112" s="2838" t="s">
        <v>3634</v>
      </c>
      <c r="N112" s="2837">
        <v>1.08</v>
      </c>
      <c r="O112" s="2837">
        <v>1.1599999999999999</v>
      </c>
      <c r="P112" s="2837">
        <v>1.24</v>
      </c>
      <c r="Q112" s="2837">
        <v>1.32</v>
      </c>
    </row>
    <row r="113" spans="1:28" s="96" customFormat="1" ht="11.65" customHeight="1">
      <c r="A113" s="98"/>
      <c r="B113" s="98" t="s">
        <v>1272</v>
      </c>
      <c r="C113" s="98"/>
      <c r="D113" s="2512"/>
      <c r="E113" s="2512"/>
      <c r="F113" s="2512"/>
      <c r="G113" s="98"/>
      <c r="H113" s="2512"/>
      <c r="I113" s="2512"/>
      <c r="J113" s="98" t="s">
        <v>3635</v>
      </c>
      <c r="K113" s="98"/>
      <c r="L113" s="98"/>
      <c r="M113" s="98"/>
      <c r="N113" s="98"/>
      <c r="O113" s="98"/>
      <c r="P113" s="2512"/>
      <c r="Q113" s="4677">
        <v>0.02</v>
      </c>
      <c r="R113" s="4677"/>
      <c r="S113" s="146"/>
      <c r="T113" s="146"/>
      <c r="U113" s="146"/>
      <c r="AA113" s="40"/>
      <c r="AB113" s="40"/>
    </row>
    <row r="114" spans="1:28" s="146" customFormat="1" ht="11.65" customHeight="1">
      <c r="A114" s="98"/>
      <c r="B114" s="98" t="s">
        <v>3636</v>
      </c>
      <c r="C114" s="98"/>
      <c r="D114" s="98"/>
      <c r="E114" s="98"/>
      <c r="F114" s="98"/>
      <c r="G114" s="98"/>
      <c r="H114" s="98"/>
      <c r="J114" s="98" t="s">
        <v>3637</v>
      </c>
      <c r="K114" s="98"/>
      <c r="L114" s="98"/>
      <c r="M114" s="98"/>
      <c r="N114" s="98"/>
      <c r="O114" s="98"/>
      <c r="Q114" s="4666">
        <v>0.02</v>
      </c>
      <c r="R114" s="4666"/>
      <c r="AA114" s="40"/>
      <c r="AB114" s="40"/>
    </row>
    <row r="115" spans="1:28" s="146" customFormat="1" ht="11.65" customHeight="1">
      <c r="A115" s="98"/>
      <c r="B115" s="98" t="s">
        <v>3638</v>
      </c>
      <c r="C115" s="98"/>
      <c r="D115" s="98"/>
      <c r="E115" s="98"/>
      <c r="F115" s="98" t="s">
        <v>3639</v>
      </c>
      <c r="G115" s="98"/>
      <c r="H115" s="98"/>
      <c r="J115" s="98" t="s">
        <v>3637</v>
      </c>
      <c r="K115" s="98"/>
      <c r="L115" s="98"/>
      <c r="M115" s="98"/>
      <c r="N115" s="98"/>
      <c r="O115" s="98"/>
      <c r="Q115" s="1689">
        <v>7.0000000000000007E-2</v>
      </c>
      <c r="R115" s="1690" t="s">
        <v>1785</v>
      </c>
      <c r="AA115" s="40"/>
      <c r="AB115" s="40"/>
    </row>
    <row r="116" spans="1:28" s="146" customFormat="1" ht="11.65" customHeight="1">
      <c r="A116" s="98"/>
      <c r="B116" s="98"/>
      <c r="C116" s="98"/>
      <c r="D116" s="98"/>
      <c r="E116" s="98"/>
      <c r="F116" s="98" t="s">
        <v>3640</v>
      </c>
      <c r="G116" s="98"/>
      <c r="H116" s="98"/>
      <c r="J116" s="98" t="s">
        <v>3637</v>
      </c>
      <c r="K116" s="98"/>
      <c r="L116" s="98"/>
      <c r="M116" s="98"/>
      <c r="N116" s="98"/>
      <c r="O116" s="98"/>
      <c r="Q116" s="1689">
        <v>7.0000000000000007E-2</v>
      </c>
      <c r="R116" s="1690" t="s">
        <v>1785</v>
      </c>
      <c r="AA116" s="40"/>
      <c r="AB116" s="40"/>
    </row>
    <row r="117" spans="1:28" s="96" customFormat="1" ht="11.65" customHeight="1">
      <c r="A117" s="98"/>
      <c r="B117" s="98" t="s">
        <v>3641</v>
      </c>
      <c r="C117" s="98"/>
      <c r="D117" s="2512"/>
      <c r="E117" s="2512"/>
      <c r="F117" s="2512"/>
      <c r="G117" s="98"/>
      <c r="H117" s="2512"/>
      <c r="I117" s="2512"/>
      <c r="J117" s="98" t="s">
        <v>3637</v>
      </c>
      <c r="K117" s="98"/>
      <c r="L117" s="98"/>
      <c r="M117" s="98"/>
      <c r="N117" s="98"/>
      <c r="O117" s="98"/>
      <c r="P117" s="2512"/>
      <c r="Q117" s="4667">
        <v>0.03</v>
      </c>
      <c r="R117" s="4667"/>
      <c r="S117" s="146"/>
      <c r="T117" s="146"/>
      <c r="U117" s="146"/>
      <c r="AA117" s="40"/>
      <c r="AB117" s="40"/>
    </row>
    <row r="118" spans="1:28" s="96" customFormat="1" ht="11.65" customHeight="1">
      <c r="A118" s="98"/>
      <c r="B118" s="98" t="s">
        <v>3642</v>
      </c>
      <c r="C118" s="98"/>
      <c r="D118" s="2512"/>
      <c r="E118" s="2512"/>
      <c r="F118" s="2512"/>
      <c r="G118" s="98"/>
      <c r="H118" s="2512"/>
      <c r="I118" s="2512"/>
      <c r="J118" s="98" t="s">
        <v>3637</v>
      </c>
      <c r="K118" s="98"/>
      <c r="L118" s="98"/>
      <c r="M118" s="98"/>
      <c r="N118" s="98"/>
      <c r="O118" s="98"/>
      <c r="P118" s="2512"/>
      <c r="Q118" s="4667">
        <v>0.03</v>
      </c>
      <c r="R118" s="4667"/>
      <c r="S118" s="146"/>
      <c r="T118" s="146"/>
      <c r="U118" s="146"/>
      <c r="AA118" s="40"/>
      <c r="AB118" s="40"/>
    </row>
    <row r="119" spans="1:28" s="96" customFormat="1" ht="11.65" customHeight="1">
      <c r="A119" s="98"/>
      <c r="B119" s="98" t="s">
        <v>3643</v>
      </c>
      <c r="C119" s="98"/>
      <c r="D119" s="2512"/>
      <c r="E119" s="2512"/>
      <c r="F119" s="2512"/>
      <c r="G119" s="98"/>
      <c r="H119" s="2512"/>
      <c r="I119" s="2512"/>
      <c r="J119" s="98" t="s">
        <v>3637</v>
      </c>
      <c r="K119" s="98"/>
      <c r="L119" s="98"/>
      <c r="M119" s="98"/>
      <c r="N119" s="98"/>
      <c r="O119" s="98"/>
      <c r="P119" s="2512"/>
      <c r="Q119" s="4683">
        <v>0</v>
      </c>
      <c r="R119" s="4683"/>
      <c r="S119" s="146"/>
      <c r="T119" s="146"/>
      <c r="U119" s="146"/>
      <c r="AA119" s="40"/>
      <c r="AB119" s="40"/>
    </row>
    <row r="120" spans="1:28" s="96" customFormat="1" ht="11.45" customHeight="1">
      <c r="A120" s="2512"/>
      <c r="B120" s="98" t="s">
        <v>3644</v>
      </c>
      <c r="C120" s="98"/>
      <c r="D120" s="98"/>
      <c r="E120" s="2512"/>
      <c r="F120" s="98" t="s">
        <v>3645</v>
      </c>
      <c r="G120" s="98"/>
      <c r="H120" s="2512"/>
      <c r="I120" s="2512"/>
      <c r="J120" s="98" t="s">
        <v>1155</v>
      </c>
      <c r="K120" s="98"/>
      <c r="L120" s="98"/>
      <c r="M120" s="98"/>
      <c r="N120" s="98"/>
      <c r="O120" s="98"/>
      <c r="P120" s="2512"/>
      <c r="Q120" s="1697">
        <v>1.2</v>
      </c>
      <c r="R120" s="1698"/>
      <c r="S120" s="146"/>
      <c r="T120" s="146"/>
      <c r="U120" s="146"/>
      <c r="AA120" s="40"/>
      <c r="AB120" s="40"/>
    </row>
    <row r="121" spans="1:28" s="96" customFormat="1" ht="11.45" customHeight="1">
      <c r="A121" s="2512"/>
      <c r="B121" s="98"/>
      <c r="C121" s="98"/>
      <c r="D121" s="98"/>
      <c r="E121" s="2512"/>
      <c r="F121" s="98"/>
      <c r="G121" s="98"/>
      <c r="H121" s="2512"/>
      <c r="I121" s="2512"/>
      <c r="J121" s="98" t="s">
        <v>3550</v>
      </c>
      <c r="K121" s="98"/>
      <c r="L121" s="98"/>
      <c r="M121" s="98"/>
      <c r="N121" s="98"/>
      <c r="O121" s="98"/>
      <c r="P121" s="2512"/>
      <c r="Q121" s="1699">
        <v>1.25</v>
      </c>
      <c r="R121" s="1700"/>
      <c r="S121" s="146"/>
      <c r="T121" s="146"/>
      <c r="U121" s="146"/>
      <c r="AA121" s="40"/>
      <c r="AB121" s="40"/>
    </row>
    <row r="122" spans="1:28" s="96" customFormat="1" ht="11.45" customHeight="1">
      <c r="A122" s="2512"/>
      <c r="B122" s="98" t="s">
        <v>3646</v>
      </c>
      <c r="C122" s="98"/>
      <c r="D122" s="98"/>
      <c r="E122" s="2512"/>
      <c r="F122" s="98"/>
      <c r="G122" s="98"/>
      <c r="H122" s="2512"/>
      <c r="I122" s="2512"/>
      <c r="J122" s="98" t="s">
        <v>1155</v>
      </c>
      <c r="K122" s="98"/>
      <c r="L122" s="98"/>
      <c r="M122" s="98"/>
      <c r="N122" s="98"/>
      <c r="O122" s="98"/>
      <c r="P122" s="2512"/>
      <c r="Q122" s="1697">
        <v>1.1000000000000001</v>
      </c>
      <c r="R122" s="1698"/>
      <c r="S122" s="146"/>
      <c r="T122" s="146"/>
      <c r="U122" s="146"/>
      <c r="AA122" s="40"/>
      <c r="AB122" s="40"/>
    </row>
    <row r="123" spans="1:28" s="96" customFormat="1" ht="11.45" customHeight="1">
      <c r="A123" s="2512"/>
      <c r="B123" s="98"/>
      <c r="C123" s="98"/>
      <c r="D123" s="98"/>
      <c r="E123" s="2512"/>
      <c r="F123" s="98"/>
      <c r="G123" s="98"/>
      <c r="H123" s="2512"/>
      <c r="I123" s="2512"/>
      <c r="J123" s="98" t="s">
        <v>3550</v>
      </c>
      <c r="K123" s="98"/>
      <c r="L123" s="98"/>
      <c r="M123" s="98"/>
      <c r="N123" s="98"/>
      <c r="O123" s="98"/>
      <c r="P123" s="2512"/>
      <c r="Q123" s="1699">
        <v>1.1499999999999999</v>
      </c>
      <c r="R123" s="1700"/>
      <c r="S123" s="146"/>
      <c r="T123" s="146"/>
      <c r="U123" s="146"/>
      <c r="AA123" s="40"/>
      <c r="AB123" s="40"/>
    </row>
    <row r="124" spans="1:28" s="96" customFormat="1" ht="4.3499999999999996" customHeight="1">
      <c r="A124" s="137"/>
      <c r="B124" s="137"/>
      <c r="C124" s="137"/>
      <c r="D124" s="137"/>
      <c r="E124" s="2512"/>
      <c r="F124" s="137"/>
      <c r="G124" s="137"/>
      <c r="H124" s="2512"/>
      <c r="I124" s="2512"/>
      <c r="J124" s="137"/>
      <c r="K124" s="137"/>
      <c r="L124" s="137"/>
      <c r="M124" s="137"/>
      <c r="N124" s="137"/>
      <c r="O124" s="137"/>
      <c r="P124" s="2512"/>
      <c r="Q124" s="138"/>
      <c r="R124" s="139"/>
      <c r="S124" s="2512"/>
      <c r="T124" s="2512"/>
      <c r="U124" s="2512"/>
      <c r="W124" s="140"/>
      <c r="X124" s="140"/>
      <c r="Y124" s="140"/>
      <c r="Z124" s="140"/>
      <c r="AA124" s="40"/>
      <c r="AB124" s="40"/>
    </row>
    <row r="125" spans="1:28" s="96" customFormat="1" ht="11.65" customHeight="1">
      <c r="A125" s="141" t="s">
        <v>3647</v>
      </c>
      <c r="B125" s="98"/>
      <c r="C125" s="98"/>
      <c r="D125" s="98" t="s">
        <v>3648</v>
      </c>
      <c r="G125" s="98" t="s">
        <v>2116</v>
      </c>
      <c r="I125" s="2512"/>
      <c r="J125" s="150" t="s">
        <v>3649</v>
      </c>
      <c r="K125" s="98"/>
      <c r="L125" s="98"/>
      <c r="M125" s="98"/>
      <c r="N125" s="98"/>
      <c r="P125" s="2512"/>
      <c r="Q125" s="4678"/>
      <c r="R125" s="4678"/>
      <c r="S125" s="4678"/>
      <c r="T125" s="4678"/>
      <c r="U125" s="2512"/>
      <c r="V125" s="539"/>
      <c r="W125" s="539"/>
      <c r="X125" s="99"/>
      <c r="AA125" s="40"/>
      <c r="AB125" s="40"/>
    </row>
    <row r="126" spans="1:28" s="96" customFormat="1" ht="11.65" customHeight="1">
      <c r="A126" s="141"/>
      <c r="B126" s="98"/>
      <c r="C126" s="98"/>
      <c r="D126" s="2512"/>
      <c r="F126" s="98"/>
      <c r="G126" s="98" t="s">
        <v>3650</v>
      </c>
      <c r="I126" s="2512"/>
      <c r="J126" s="150" t="s">
        <v>3651</v>
      </c>
      <c r="K126" s="98"/>
      <c r="L126" s="98"/>
      <c r="M126" s="98"/>
      <c r="P126" s="2512"/>
      <c r="Q126" s="4678"/>
      <c r="R126" s="4678"/>
      <c r="S126" s="4678"/>
      <c r="T126" s="4678"/>
      <c r="U126" s="2512"/>
      <c r="V126" s="539"/>
      <c r="W126" s="539"/>
      <c r="X126" s="99"/>
      <c r="AA126" s="40"/>
      <c r="AB126" s="40"/>
    </row>
    <row r="127" spans="1:28" s="96" customFormat="1" ht="11.25" customHeight="1">
      <c r="A127" s="141"/>
      <c r="B127" s="98"/>
      <c r="C127" s="98"/>
      <c r="D127" s="2512"/>
      <c r="E127" s="2512"/>
      <c r="G127" s="98"/>
      <c r="I127" s="2512"/>
      <c r="S127" s="2512"/>
      <c r="T127" s="2512"/>
      <c r="U127" s="2512"/>
      <c r="V127" s="539"/>
      <c r="W127" s="539"/>
      <c r="X127" s="99"/>
      <c r="AA127" s="40"/>
      <c r="AB127" s="40"/>
    </row>
    <row r="128" spans="1:28" s="96" customFormat="1" ht="11.65" customHeight="1">
      <c r="A128" s="141"/>
      <c r="B128" s="98"/>
      <c r="C128" s="98"/>
      <c r="D128" s="98" t="s">
        <v>3652</v>
      </c>
      <c r="F128" s="98" t="s">
        <v>3519</v>
      </c>
      <c r="G128" s="98" t="s">
        <v>3653</v>
      </c>
      <c r="I128" s="2512"/>
      <c r="J128" s="98" t="s">
        <v>3654</v>
      </c>
      <c r="K128" s="98"/>
      <c r="L128" s="98"/>
      <c r="M128" s="98"/>
      <c r="N128" s="98"/>
      <c r="O128" s="98"/>
      <c r="P128" s="2512"/>
      <c r="Q128" s="4679">
        <v>0.15</v>
      </c>
      <c r="R128" s="4679"/>
      <c r="S128" s="2512"/>
      <c r="T128" s="2512"/>
      <c r="U128" s="2512"/>
      <c r="V128" s="539"/>
      <c r="W128" s="539"/>
      <c r="X128" s="99"/>
      <c r="AA128" s="40"/>
      <c r="AB128" s="40"/>
    </row>
    <row r="129" spans="1:28" s="96" customFormat="1" ht="11.65" customHeight="1">
      <c r="A129" s="98"/>
      <c r="B129" s="98"/>
      <c r="C129" s="98"/>
      <c r="D129" s="2512"/>
      <c r="E129" s="2512"/>
      <c r="F129" s="98"/>
      <c r="G129" s="98" t="s">
        <v>2092</v>
      </c>
      <c r="H129" s="98" t="s">
        <v>3655</v>
      </c>
      <c r="J129" s="98" t="s">
        <v>3656</v>
      </c>
      <c r="K129" s="98"/>
      <c r="L129" s="98"/>
      <c r="M129" s="98"/>
      <c r="O129" s="143" t="s">
        <v>3657</v>
      </c>
      <c r="P129" s="2512"/>
      <c r="Q129" s="4680">
        <v>1105000</v>
      </c>
      <c r="R129" s="4680"/>
      <c r="S129" s="142"/>
      <c r="T129" s="142"/>
      <c r="U129" s="2512"/>
      <c r="V129" s="222"/>
      <c r="W129" s="222"/>
      <c r="X129" s="222"/>
      <c r="AA129" s="40"/>
      <c r="AB129" s="40"/>
    </row>
    <row r="130" spans="1:28" s="96" customFormat="1" ht="11.65" customHeight="1">
      <c r="A130" s="98"/>
      <c r="B130" s="98"/>
      <c r="C130" s="98"/>
      <c r="D130" s="2512"/>
      <c r="E130" s="2512"/>
      <c r="F130" s="98"/>
      <c r="G130" s="98"/>
      <c r="H130" s="98" t="s">
        <v>3658</v>
      </c>
      <c r="J130" s="98" t="s">
        <v>3656</v>
      </c>
      <c r="K130" s="98"/>
      <c r="L130" s="98"/>
      <c r="M130" s="98"/>
      <c r="O130" s="143" t="s">
        <v>3659</v>
      </c>
      <c r="P130" s="2512"/>
      <c r="Q130" s="4684">
        <v>1225000</v>
      </c>
      <c r="R130" s="4684"/>
      <c r="S130" s="142"/>
      <c r="T130" s="142"/>
      <c r="U130" s="2512"/>
      <c r="V130" s="222"/>
      <c r="W130" s="222"/>
      <c r="X130" s="222"/>
      <c r="AA130" s="40"/>
      <c r="AB130" s="40"/>
    </row>
    <row r="131" spans="1:28" s="96" customFormat="1" ht="11.65" customHeight="1">
      <c r="A131" s="98"/>
      <c r="B131" s="98"/>
      <c r="C131" s="98"/>
      <c r="D131" s="2512"/>
      <c r="E131" s="2512"/>
      <c r="F131" s="98"/>
      <c r="G131" s="98"/>
      <c r="H131" s="98" t="s">
        <v>3660</v>
      </c>
      <c r="I131" s="2512"/>
      <c r="J131" s="98" t="s">
        <v>3656</v>
      </c>
      <c r="K131" s="98"/>
      <c r="O131" s="143" t="s">
        <v>3661</v>
      </c>
      <c r="Q131" s="4684">
        <v>1105000</v>
      </c>
      <c r="R131" s="4684"/>
      <c r="S131" s="142"/>
      <c r="T131" s="142"/>
      <c r="U131" s="2512"/>
      <c r="V131" s="222"/>
      <c r="W131" s="222"/>
      <c r="X131" s="222"/>
      <c r="AA131" s="40"/>
      <c r="AB131" s="40"/>
    </row>
    <row r="132" spans="1:28" s="96" customFormat="1" ht="11.65" customHeight="1">
      <c r="A132" s="98"/>
      <c r="B132" s="98"/>
      <c r="C132" s="98"/>
      <c r="D132" s="2512"/>
      <c r="E132" s="2512"/>
      <c r="F132" s="98"/>
      <c r="G132" s="98"/>
      <c r="H132" s="98" t="s">
        <v>3662</v>
      </c>
      <c r="I132" s="2512"/>
      <c r="J132" s="98" t="s">
        <v>3656</v>
      </c>
      <c r="K132" s="98"/>
      <c r="O132" s="143" t="s">
        <v>3659</v>
      </c>
      <c r="Q132" s="4685">
        <v>1105000</v>
      </c>
      <c r="R132" s="4686"/>
      <c r="S132" s="142"/>
      <c r="T132" s="142"/>
      <c r="U132" s="2512"/>
      <c r="V132" s="222"/>
      <c r="W132" s="222"/>
      <c r="X132" s="222"/>
      <c r="AA132" s="40"/>
      <c r="AB132" s="40"/>
    </row>
    <row r="133" spans="1:28" s="96" customFormat="1" ht="11.65" customHeight="1">
      <c r="A133" s="98"/>
      <c r="B133" s="98"/>
      <c r="C133" s="98"/>
      <c r="D133" s="2512"/>
      <c r="E133" s="2512"/>
      <c r="F133" s="98"/>
      <c r="G133" s="98" t="s">
        <v>1248</v>
      </c>
      <c r="H133" s="137" t="s">
        <v>3663</v>
      </c>
      <c r="I133" s="2512"/>
      <c r="J133" s="137" t="s">
        <v>3654</v>
      </c>
      <c r="K133" s="98"/>
      <c r="L133" s="98"/>
      <c r="M133" s="98"/>
      <c r="O133" s="98"/>
      <c r="P133" s="98"/>
      <c r="Q133" s="98"/>
      <c r="R133" s="98"/>
      <c r="S133" s="142"/>
      <c r="T133" s="142"/>
      <c r="U133" s="2512"/>
      <c r="V133" s="222"/>
      <c r="W133" s="222"/>
      <c r="X133" s="222"/>
      <c r="AA133" s="40"/>
      <c r="AB133" s="40"/>
    </row>
    <row r="134" spans="1:28" ht="12.75" customHeight="1">
      <c r="G134" s="1554"/>
      <c r="H134" s="98" t="s">
        <v>3546</v>
      </c>
      <c r="J134" s="4666">
        <v>0.35</v>
      </c>
      <c r="K134" s="4666"/>
      <c r="L134" s="98"/>
      <c r="M134" s="98"/>
      <c r="N134" s="98"/>
      <c r="O134" s="98"/>
      <c r="P134" s="98"/>
      <c r="Q134" s="98"/>
      <c r="R134" s="98"/>
    </row>
    <row r="135" spans="1:28" ht="11.25" customHeight="1">
      <c r="G135" s="98"/>
      <c r="H135" s="98" t="s">
        <v>3664</v>
      </c>
      <c r="I135" s="2512"/>
      <c r="J135" s="4667">
        <v>0.35</v>
      </c>
      <c r="K135" s="4667"/>
      <c r="L135" s="98"/>
      <c r="M135" s="98"/>
      <c r="N135" s="98"/>
      <c r="O135" s="98"/>
      <c r="P135" s="98"/>
      <c r="Q135" s="98"/>
      <c r="R135" s="98"/>
    </row>
    <row r="136" spans="1:28" ht="11.25" customHeight="1">
      <c r="A136" s="141"/>
      <c r="G136" s="98"/>
      <c r="H136" s="98" t="s">
        <v>1760</v>
      </c>
      <c r="I136" s="2512"/>
      <c r="J136" s="4697">
        <v>0.3</v>
      </c>
      <c r="K136" s="4697"/>
      <c r="L136" s="98"/>
      <c r="M136" s="98"/>
      <c r="N136" s="98"/>
      <c r="O136" s="98"/>
      <c r="P136" s="98"/>
      <c r="Q136" s="98"/>
      <c r="R136" s="98"/>
    </row>
    <row r="137" spans="1:28" s="96" customFormat="1" ht="11.25" customHeight="1">
      <c r="A137" s="141"/>
      <c r="B137" s="98"/>
      <c r="C137" s="98"/>
      <c r="D137" s="2512"/>
      <c r="E137" s="2512"/>
      <c r="G137" s="98"/>
      <c r="I137" s="2512"/>
      <c r="S137" s="2512"/>
      <c r="T137" s="2512"/>
      <c r="U137" s="2512"/>
      <c r="V137" s="539"/>
      <c r="W137" s="539"/>
      <c r="X137" s="99"/>
      <c r="AA137" s="40"/>
      <c r="AB137" s="40"/>
    </row>
    <row r="138" spans="1:28" s="96" customFormat="1" ht="11.25" customHeight="1">
      <c r="A138" s="141"/>
      <c r="B138" s="98"/>
      <c r="C138" s="98"/>
      <c r="D138" s="98" t="s">
        <v>3665</v>
      </c>
      <c r="E138" s="2512"/>
      <c r="G138" s="98" t="s">
        <v>3666</v>
      </c>
      <c r="I138" s="2512"/>
      <c r="J138" s="98" t="s">
        <v>3667</v>
      </c>
      <c r="Q138" s="1688"/>
      <c r="R138" s="1688"/>
      <c r="S138" s="2512"/>
      <c r="T138" s="2512"/>
      <c r="U138" s="2512"/>
      <c r="V138" s="539"/>
      <c r="W138" s="539"/>
      <c r="X138" s="99"/>
      <c r="AA138" s="40"/>
      <c r="AB138" s="40"/>
    </row>
    <row r="139" spans="1:28" s="96" customFormat="1" ht="11.25" customHeight="1">
      <c r="A139" s="141"/>
      <c r="B139" s="98"/>
      <c r="C139" s="98"/>
      <c r="D139" s="2512"/>
      <c r="E139" s="2512"/>
      <c r="G139" s="98" t="s">
        <v>3668</v>
      </c>
      <c r="I139" s="2512"/>
      <c r="J139" s="98" t="s">
        <v>3669</v>
      </c>
      <c r="P139" s="497" t="s">
        <v>3670</v>
      </c>
      <c r="Q139" s="4687">
        <v>30000000</v>
      </c>
      <c r="R139" s="4687"/>
      <c r="S139" s="2512"/>
      <c r="T139" s="2512"/>
      <c r="U139" s="2512"/>
      <c r="V139" s="539"/>
      <c r="W139" s="539"/>
      <c r="X139" s="99"/>
      <c r="AA139" s="40"/>
      <c r="AB139" s="40"/>
    </row>
    <row r="140" spans="1:28" s="96" customFormat="1" ht="11.25" customHeight="1">
      <c r="A140" s="141"/>
      <c r="B140" s="98"/>
      <c r="C140" s="98"/>
      <c r="D140" s="2512"/>
      <c r="E140" s="2512"/>
      <c r="G140" s="98" t="s">
        <v>3671</v>
      </c>
      <c r="I140" s="2512"/>
      <c r="J140" s="98" t="s">
        <v>3672</v>
      </c>
      <c r="S140" s="2512"/>
      <c r="T140" s="2512"/>
      <c r="U140" s="2512"/>
      <c r="V140" s="539"/>
      <c r="W140" s="539"/>
      <c r="X140" s="99"/>
      <c r="AA140" s="40"/>
      <c r="AB140" s="40"/>
    </row>
    <row r="141" spans="1:28" s="96" customFormat="1" ht="11.25" customHeight="1">
      <c r="A141" s="141"/>
      <c r="B141" s="98"/>
      <c r="C141" s="98"/>
      <c r="D141" s="2512"/>
      <c r="E141" s="2512"/>
      <c r="G141" s="98"/>
      <c r="I141" s="2512"/>
      <c r="J141" s="684" t="s">
        <v>3673</v>
      </c>
      <c r="S141" s="2512"/>
      <c r="T141" s="2512"/>
      <c r="U141" s="2512"/>
      <c r="V141" s="539"/>
      <c r="W141" s="539"/>
      <c r="X141" s="99"/>
      <c r="AA141" s="40"/>
      <c r="AB141" s="40"/>
    </row>
    <row r="142" spans="1:28" s="96" customFormat="1" ht="11.25" customHeight="1">
      <c r="A142" s="141"/>
      <c r="B142" s="98"/>
      <c r="C142" s="98"/>
      <c r="D142" s="2512"/>
      <c r="E142" s="2512"/>
      <c r="G142" s="98"/>
      <c r="I142" s="2512"/>
      <c r="S142" s="2512"/>
      <c r="T142" s="2512"/>
      <c r="U142" s="2512"/>
      <c r="V142" s="539"/>
      <c r="W142" s="539"/>
      <c r="X142" s="99"/>
      <c r="AA142" s="40"/>
      <c r="AB142" s="40"/>
    </row>
    <row r="143" spans="1:28" s="96" customFormat="1" ht="11.65" customHeight="1">
      <c r="A143" s="98"/>
      <c r="B143" s="98"/>
      <c r="C143" s="98"/>
      <c r="D143" s="2512"/>
      <c r="E143" s="2512"/>
      <c r="G143" s="98" t="s">
        <v>3674</v>
      </c>
      <c r="H143" s="98"/>
      <c r="I143" s="2512"/>
      <c r="J143" s="98" t="s">
        <v>3675</v>
      </c>
      <c r="K143" s="98"/>
      <c r="L143" s="98"/>
      <c r="M143" s="98"/>
      <c r="N143" s="98"/>
      <c r="O143" s="98"/>
      <c r="P143" s="2512"/>
      <c r="Q143" s="4688"/>
      <c r="R143" s="4689"/>
      <c r="S143" s="142"/>
      <c r="T143" s="142"/>
      <c r="U143" s="2512"/>
      <c r="V143" s="222"/>
      <c r="W143" s="222"/>
      <c r="X143" s="222"/>
      <c r="AA143" s="40"/>
      <c r="AB143" s="40"/>
    </row>
    <row r="144" spans="1:28" s="96" customFormat="1" ht="11.65" customHeight="1">
      <c r="A144" s="98"/>
      <c r="B144" s="98"/>
      <c r="C144" s="98"/>
      <c r="D144" s="2512"/>
      <c r="E144" s="2512"/>
      <c r="F144" s="98" t="s">
        <v>3278</v>
      </c>
      <c r="G144" s="98" t="s">
        <v>2140</v>
      </c>
      <c r="I144" s="2512"/>
      <c r="J144" s="98" t="s">
        <v>3676</v>
      </c>
      <c r="K144" s="98"/>
      <c r="L144" s="98"/>
      <c r="M144" s="98"/>
      <c r="N144" s="98"/>
      <c r="O144" s="98"/>
      <c r="P144" s="2512"/>
      <c r="Q144" s="4690">
        <v>4000000</v>
      </c>
      <c r="R144" s="4690"/>
      <c r="S144" s="142"/>
      <c r="T144" s="142"/>
      <c r="U144" s="2512"/>
      <c r="V144" s="222"/>
      <c r="W144" s="222"/>
      <c r="X144" s="222"/>
      <c r="AA144" s="40"/>
      <c r="AB144" s="40"/>
    </row>
    <row r="145" spans="1:28" s="96" customFormat="1" ht="11.65" customHeight="1">
      <c r="A145" s="98"/>
      <c r="B145" s="98"/>
      <c r="C145" s="98"/>
      <c r="D145" s="2512"/>
      <c r="E145" s="2512"/>
      <c r="F145" s="98"/>
      <c r="G145" s="98" t="s">
        <v>3677</v>
      </c>
      <c r="H145" s="2512"/>
      <c r="I145" s="2512"/>
      <c r="J145" s="98" t="s">
        <v>3656</v>
      </c>
      <c r="K145" s="98"/>
      <c r="O145" s="98" t="s">
        <v>3678</v>
      </c>
      <c r="Q145" s="4685">
        <v>1035000</v>
      </c>
      <c r="R145" s="4686"/>
      <c r="S145" s="142"/>
      <c r="T145" s="142"/>
      <c r="U145" s="2512"/>
      <c r="V145" s="222"/>
      <c r="W145" s="222"/>
      <c r="X145" s="222"/>
      <c r="AA145" s="40"/>
      <c r="AB145" s="40"/>
    </row>
    <row r="146" spans="1:28" s="96" customFormat="1" ht="12.75" customHeight="1">
      <c r="A146" s="141"/>
      <c r="B146" s="98"/>
      <c r="C146" s="98"/>
      <c r="D146" s="2512"/>
      <c r="E146" s="2512"/>
      <c r="F146" s="98"/>
      <c r="G146" s="98"/>
      <c r="H146" s="2512"/>
      <c r="I146" s="2512"/>
      <c r="J146" s="98"/>
      <c r="K146" s="98"/>
      <c r="L146" s="98"/>
      <c r="M146" s="98"/>
      <c r="N146" s="98"/>
      <c r="O146" s="98"/>
      <c r="P146" s="2512"/>
      <c r="Q146" s="215"/>
      <c r="R146" s="215"/>
      <c r="S146" s="2512"/>
      <c r="T146" s="2512"/>
      <c r="U146" s="2512"/>
      <c r="V146" s="539"/>
      <c r="W146" s="539"/>
      <c r="X146" s="99"/>
      <c r="AA146" s="40"/>
      <c r="AB146" s="40"/>
    </row>
    <row r="147" spans="1:28" s="96" customFormat="1" ht="12.75" customHeight="1">
      <c r="A147" s="141" t="s">
        <v>3679</v>
      </c>
      <c r="B147" s="98"/>
      <c r="C147" s="98"/>
      <c r="D147" s="2512"/>
      <c r="E147" s="2512"/>
      <c r="F147" s="98" t="s">
        <v>3680</v>
      </c>
      <c r="G147" s="98"/>
      <c r="H147" s="2512"/>
      <c r="I147" s="2512"/>
      <c r="J147" s="98" t="s">
        <v>3681</v>
      </c>
      <c r="K147" s="98"/>
      <c r="L147" s="98"/>
      <c r="M147" s="98"/>
      <c r="N147" s="98"/>
      <c r="O147" s="98"/>
      <c r="P147" s="2512"/>
      <c r="Q147" s="4691">
        <v>0.05</v>
      </c>
      <c r="R147" s="4691"/>
      <c r="S147" s="2512"/>
      <c r="T147" s="2512"/>
      <c r="U147" s="2512"/>
      <c r="V147" s="539"/>
      <c r="W147" s="539"/>
      <c r="X147" s="99"/>
      <c r="AA147" s="40"/>
      <c r="AB147" s="40"/>
    </row>
    <row r="148" spans="1:28" s="96" customFormat="1" ht="12.75" customHeight="1">
      <c r="A148" s="141"/>
      <c r="B148" s="98"/>
      <c r="C148" s="98"/>
      <c r="D148" s="2512"/>
      <c r="E148" s="2512"/>
      <c r="F148" s="98"/>
      <c r="G148" s="98" t="s">
        <v>3682</v>
      </c>
      <c r="H148" s="2512"/>
      <c r="I148" s="2512"/>
      <c r="J148" s="98" t="s">
        <v>3683</v>
      </c>
      <c r="K148" s="98"/>
      <c r="L148" s="98"/>
      <c r="M148" s="98"/>
      <c r="N148" s="98"/>
      <c r="O148" s="98"/>
      <c r="P148" s="2512"/>
      <c r="Q148" s="4681">
        <v>0.4</v>
      </c>
      <c r="R148" s="4681"/>
      <c r="S148" s="2512"/>
      <c r="T148" s="2512"/>
      <c r="U148" s="2512"/>
      <c r="V148" s="539"/>
      <c r="W148" s="539"/>
      <c r="X148" s="99"/>
      <c r="AA148" s="40"/>
      <c r="AB148" s="40"/>
    </row>
    <row r="149" spans="1:28" s="96" customFormat="1" ht="12.75" customHeight="1">
      <c r="A149" s="141"/>
      <c r="B149" s="98"/>
      <c r="C149" s="98"/>
      <c r="E149" s="2512"/>
      <c r="F149" s="98" t="s">
        <v>3684</v>
      </c>
      <c r="G149" s="98"/>
      <c r="H149" s="2512"/>
      <c r="I149" s="2512"/>
      <c r="J149" s="98" t="s">
        <v>3681</v>
      </c>
      <c r="K149" s="98"/>
      <c r="L149" s="98"/>
      <c r="M149" s="98"/>
      <c r="N149" s="98"/>
      <c r="O149" s="98"/>
      <c r="P149" s="2512"/>
      <c r="Q149" s="4682">
        <v>0.02</v>
      </c>
      <c r="R149" s="4682"/>
      <c r="S149" s="2512"/>
      <c r="T149" s="2512"/>
      <c r="U149" s="2512"/>
      <c r="V149" s="539"/>
      <c r="W149" s="539"/>
      <c r="X149" s="99"/>
      <c r="AA149" s="40"/>
      <c r="AB149" s="40"/>
    </row>
    <row r="150" spans="1:28" s="96" customFormat="1" ht="12.75" customHeight="1">
      <c r="A150" s="4692" t="s">
        <v>3685</v>
      </c>
      <c r="B150" s="4692"/>
      <c r="C150" s="1551"/>
      <c r="D150" s="4693" t="s">
        <v>3686</v>
      </c>
      <c r="E150" s="2512"/>
      <c r="F150" s="98"/>
      <c r="G150" s="98"/>
      <c r="H150" s="2512"/>
      <c r="I150" s="2512"/>
      <c r="J150" s="98"/>
      <c r="K150" s="98"/>
      <c r="L150" s="98"/>
      <c r="M150" s="98"/>
      <c r="N150" s="98"/>
      <c r="O150" s="98"/>
      <c r="P150" s="2512"/>
      <c r="Q150" s="215"/>
      <c r="R150" s="215"/>
      <c r="S150" s="2512"/>
      <c r="T150" s="2512"/>
      <c r="U150" s="2512"/>
      <c r="V150" s="539"/>
      <c r="W150" s="539"/>
      <c r="X150" s="99"/>
      <c r="AA150" s="40"/>
      <c r="AB150" s="40"/>
    </row>
    <row r="151" spans="1:28" ht="13.35" customHeight="1">
      <c r="A151" s="4692"/>
      <c r="B151" s="4692"/>
      <c r="C151" s="1687">
        <v>2024</v>
      </c>
      <c r="D151" s="4694"/>
      <c r="E151" s="148"/>
      <c r="F151" s="148"/>
      <c r="G151" s="148"/>
      <c r="H151" s="148"/>
      <c r="I151" s="148"/>
    </row>
    <row r="152" spans="1:28" ht="13.5">
      <c r="A152" s="4692"/>
      <c r="B152" s="4692"/>
      <c r="C152" s="98"/>
      <c r="D152" s="4694"/>
      <c r="H152" s="4695" t="s">
        <v>3687</v>
      </c>
      <c r="J152" s="93" t="s">
        <v>3688</v>
      </c>
      <c r="K152" s="93"/>
      <c r="L152" s="135"/>
    </row>
    <row r="153" spans="1:28" ht="13.5">
      <c r="A153" s="4692"/>
      <c r="B153" s="4692"/>
      <c r="C153" s="539" t="s">
        <v>3689</v>
      </c>
      <c r="D153" s="948" t="s">
        <v>1262</v>
      </c>
      <c r="F153" s="539" t="s">
        <v>3690</v>
      </c>
      <c r="H153" s="4696"/>
      <c r="J153" s="214" t="s">
        <v>3689</v>
      </c>
      <c r="K153" s="214" t="s">
        <v>3691</v>
      </c>
      <c r="L153" s="2514" t="s">
        <v>3692</v>
      </c>
    </row>
    <row r="154" spans="1:28" ht="10.5" customHeight="1">
      <c r="C154" s="222">
        <v>0</v>
      </c>
      <c r="D154" s="501">
        <v>72088</v>
      </c>
      <c r="E154" s="2579" t="s">
        <v>3693</v>
      </c>
      <c r="F154" s="1550">
        <v>2.4</v>
      </c>
      <c r="G154" s="2584" t="s">
        <v>750</v>
      </c>
      <c r="H154" s="1552">
        <f>D154*F154</f>
        <v>173011.19999999998</v>
      </c>
      <c r="J154" s="222">
        <v>0</v>
      </c>
      <c r="K154" s="222">
        <v>0.7</v>
      </c>
      <c r="L154" s="222">
        <v>1</v>
      </c>
    </row>
    <row r="155" spans="1:28" ht="10.5" customHeight="1">
      <c r="C155" s="222">
        <v>1</v>
      </c>
      <c r="D155" s="501">
        <v>82638</v>
      </c>
      <c r="E155" s="2579" t="s">
        <v>3693</v>
      </c>
      <c r="F155" s="1550">
        <v>2.4</v>
      </c>
      <c r="G155" s="2584" t="s">
        <v>750</v>
      </c>
      <c r="H155" s="1552">
        <f t="shared" ref="H155:H158" si="0">D155*F155</f>
        <v>198331.19999999998</v>
      </c>
      <c r="J155" s="222">
        <v>1</v>
      </c>
      <c r="K155" s="222">
        <v>0.75</v>
      </c>
      <c r="L155" s="222">
        <v>1.5</v>
      </c>
    </row>
    <row r="156" spans="1:28" ht="10.5" customHeight="1">
      <c r="C156" s="222">
        <v>2</v>
      </c>
      <c r="D156" s="501">
        <v>100490</v>
      </c>
      <c r="E156" s="2579" t="s">
        <v>3693</v>
      </c>
      <c r="F156" s="1550">
        <v>2.4</v>
      </c>
      <c r="G156" s="2584" t="s">
        <v>750</v>
      </c>
      <c r="H156" s="1552">
        <f t="shared" si="0"/>
        <v>241176</v>
      </c>
      <c r="J156" s="222">
        <v>2</v>
      </c>
      <c r="K156" s="222">
        <v>0.9</v>
      </c>
      <c r="L156" s="222">
        <v>3</v>
      </c>
    </row>
    <row r="157" spans="1:28" ht="10.5" customHeight="1">
      <c r="C157" s="222">
        <v>3</v>
      </c>
      <c r="D157" s="501">
        <v>130002</v>
      </c>
      <c r="E157" s="2579" t="s">
        <v>3693</v>
      </c>
      <c r="F157" s="1550">
        <v>2.4</v>
      </c>
      <c r="G157" s="2584" t="s">
        <v>750</v>
      </c>
      <c r="H157" s="1552">
        <f t="shared" si="0"/>
        <v>312004.8</v>
      </c>
      <c r="J157" s="222">
        <v>3</v>
      </c>
      <c r="K157" s="222">
        <v>1.04</v>
      </c>
      <c r="L157" s="222">
        <v>4.5</v>
      </c>
    </row>
    <row r="158" spans="1:28" ht="10.5" customHeight="1">
      <c r="C158" s="222" t="s">
        <v>2729</v>
      </c>
      <c r="D158" s="501">
        <v>142701</v>
      </c>
      <c r="E158" s="2579" t="s">
        <v>3693</v>
      </c>
      <c r="F158" s="1550">
        <v>2.4</v>
      </c>
      <c r="G158" s="2584" t="s">
        <v>750</v>
      </c>
      <c r="H158" s="1553">
        <f t="shared" si="0"/>
        <v>342482.39999999997</v>
      </c>
      <c r="J158" s="222">
        <v>4</v>
      </c>
      <c r="K158" s="222">
        <v>1.1599999999999999</v>
      </c>
      <c r="L158" s="222">
        <v>6</v>
      </c>
    </row>
    <row r="159" spans="1:28" ht="10.5" customHeight="1">
      <c r="E159" s="222"/>
      <c r="F159" s="501"/>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3218" t="s">
        <v>3694</v>
      </c>
      <c r="E162" s="146"/>
      <c r="F162" s="146"/>
    </row>
    <row r="163" spans="2:37" ht="10.5" customHeight="1">
      <c r="C163" s="3218"/>
      <c r="E163" s="146"/>
      <c r="F163" s="146"/>
    </row>
    <row r="164" spans="2:37" ht="10.5" customHeight="1">
      <c r="C164" s="3218"/>
      <c r="D164" s="703"/>
      <c r="E164" s="342"/>
      <c r="F164" s="146"/>
    </row>
    <row r="165" spans="2:37" ht="39.75" customHeight="1">
      <c r="C165" s="275" t="s">
        <v>1137</v>
      </c>
      <c r="D165" s="213"/>
      <c r="E165" s="146"/>
      <c r="F165" s="315" t="s">
        <v>204</v>
      </c>
      <c r="G165" s="315" t="s">
        <v>2065</v>
      </c>
      <c r="H165" s="315" t="s">
        <v>3695</v>
      </c>
      <c r="I165" s="315" t="s">
        <v>3696</v>
      </c>
      <c r="J165" s="315" t="s">
        <v>3697</v>
      </c>
      <c r="K165" s="315" t="s">
        <v>3698</v>
      </c>
      <c r="L165" s="316" t="s">
        <v>3699</v>
      </c>
      <c r="M165" s="1515" t="s">
        <v>3700</v>
      </c>
      <c r="N165" s="316" t="s">
        <v>3701</v>
      </c>
      <c r="O165" s="316" t="s">
        <v>3702</v>
      </c>
      <c r="P165" s="315" t="s">
        <v>3703</v>
      </c>
      <c r="Q165" s="315"/>
      <c r="R165" s="98"/>
      <c r="S165" s="146"/>
      <c r="T165" s="850" t="s">
        <v>57</v>
      </c>
      <c r="U165" s="317" t="s">
        <v>59</v>
      </c>
      <c r="W165" s="335"/>
      <c r="Z165" s="25"/>
      <c r="AA165" s="25"/>
      <c r="AB165" s="77"/>
      <c r="AC165" s="40"/>
      <c r="AD165" s="40"/>
      <c r="AE165" s="77"/>
      <c r="AF165" s="77"/>
      <c r="AG165" s="77"/>
      <c r="AH165" s="77"/>
      <c r="AI165" s="77"/>
      <c r="AJ165" s="77"/>
      <c r="AK165" s="77"/>
    </row>
    <row r="166" spans="2:37" ht="10.5" customHeight="1">
      <c r="B166" s="146"/>
      <c r="C166" s="211" t="s">
        <v>2130</v>
      </c>
      <c r="D166" s="247"/>
      <c r="E166" s="146"/>
      <c r="F166" s="146" t="s">
        <v>302</v>
      </c>
      <c r="G166" s="599" t="s">
        <v>3704</v>
      </c>
      <c r="H166" s="599" t="s">
        <v>3705</v>
      </c>
      <c r="I166" s="600" t="s">
        <v>3706</v>
      </c>
      <c r="J166" s="600" t="s">
        <v>3547</v>
      </c>
      <c r="K166" s="601" t="s">
        <v>3707</v>
      </c>
      <c r="L166" s="602" t="s">
        <v>3708</v>
      </c>
      <c r="M166" s="1516" t="s">
        <v>3546</v>
      </c>
      <c r="N166" s="602" t="s">
        <v>2737</v>
      </c>
      <c r="O166" s="753" t="s">
        <v>3709</v>
      </c>
      <c r="P166" s="150" t="s">
        <v>3710</v>
      </c>
      <c r="Q166" s="150"/>
      <c r="R166" s="98"/>
      <c r="S166" s="146"/>
      <c r="T166" s="284" t="s">
        <v>3711</v>
      </c>
      <c r="U166" s="284" t="s">
        <v>3712</v>
      </c>
      <c r="W166" s="25"/>
      <c r="X166" s="25"/>
      <c r="Z166" s="25"/>
      <c r="AA166" s="77"/>
      <c r="AB166" s="77"/>
      <c r="AC166" s="274"/>
      <c r="AD166" s="40"/>
      <c r="AE166" s="77"/>
      <c r="AF166" s="77"/>
      <c r="AG166" s="77"/>
      <c r="AH166" s="77"/>
      <c r="AI166" s="77"/>
      <c r="AJ166" s="77"/>
      <c r="AK166" s="77"/>
    </row>
    <row r="167" spans="2:37" ht="10.5" customHeight="1">
      <c r="B167" s="146"/>
      <c r="C167" s="211" t="s">
        <v>3706</v>
      </c>
      <c r="D167" s="247"/>
      <c r="E167" s="146"/>
      <c r="F167" s="146" t="s">
        <v>301</v>
      </c>
      <c r="G167" s="599" t="s">
        <v>3713</v>
      </c>
      <c r="H167" s="599" t="s">
        <v>3705</v>
      </c>
      <c r="I167" s="600" t="s">
        <v>3714</v>
      </c>
      <c r="J167" s="600" t="s">
        <v>3547</v>
      </c>
      <c r="K167" s="601" t="s">
        <v>3715</v>
      </c>
      <c r="L167" s="602" t="s">
        <v>3708</v>
      </c>
      <c r="M167" s="1516" t="s">
        <v>3546</v>
      </c>
      <c r="N167" s="602" t="s">
        <v>2216</v>
      </c>
      <c r="O167" s="753" t="s">
        <v>3716</v>
      </c>
      <c r="P167" s="150" t="s">
        <v>3717</v>
      </c>
      <c r="Q167" s="150"/>
      <c r="R167" s="98"/>
      <c r="S167" s="146"/>
      <c r="T167" s="284" t="s">
        <v>3718</v>
      </c>
      <c r="U167" s="284" t="s">
        <v>3719</v>
      </c>
      <c r="W167" s="25"/>
      <c r="X167" s="25"/>
      <c r="Z167" s="25"/>
      <c r="AA167" s="77"/>
      <c r="AB167" s="77"/>
      <c r="AC167" s="274"/>
      <c r="AD167" s="40"/>
      <c r="AE167" s="77"/>
      <c r="AF167" s="77"/>
      <c r="AG167" s="77"/>
      <c r="AH167" s="77"/>
      <c r="AI167" s="77"/>
      <c r="AJ167" s="77"/>
      <c r="AK167" s="77"/>
    </row>
    <row r="168" spans="2:37" ht="10.5" customHeight="1">
      <c r="B168" s="146"/>
      <c r="C168" s="211" t="s">
        <v>2138</v>
      </c>
      <c r="D168" s="247"/>
      <c r="E168" s="146"/>
      <c r="F168" s="146" t="s">
        <v>304</v>
      </c>
      <c r="G168" s="599" t="s">
        <v>3720</v>
      </c>
      <c r="H168" s="599" t="s">
        <v>3705</v>
      </c>
      <c r="I168" s="600" t="s">
        <v>3721</v>
      </c>
      <c r="J168" s="600" t="s">
        <v>3547</v>
      </c>
      <c r="K168" s="601" t="s">
        <v>3722</v>
      </c>
      <c r="L168" s="602" t="s">
        <v>3708</v>
      </c>
      <c r="M168" s="1516" t="s">
        <v>3546</v>
      </c>
      <c r="N168" s="602" t="s">
        <v>2216</v>
      </c>
      <c r="O168" s="753" t="s">
        <v>3723</v>
      </c>
      <c r="P168" s="150" t="s">
        <v>3724</v>
      </c>
      <c r="Q168" s="150"/>
      <c r="R168" s="98"/>
      <c r="S168" s="146"/>
      <c r="T168" s="284" t="s">
        <v>3725</v>
      </c>
      <c r="U168" s="284" t="s">
        <v>121</v>
      </c>
      <c r="W168" s="25"/>
      <c r="X168" s="25"/>
      <c r="Z168" s="25"/>
      <c r="AA168" s="77"/>
      <c r="AB168" s="77"/>
      <c r="AC168" s="274"/>
      <c r="AD168" s="40"/>
      <c r="AE168" s="77"/>
      <c r="AF168" s="77"/>
      <c r="AG168" s="77"/>
      <c r="AH168" s="77"/>
      <c r="AI168" s="77"/>
      <c r="AJ168" s="77"/>
      <c r="AK168" s="77"/>
    </row>
    <row r="169" spans="2:37" ht="10.5" customHeight="1">
      <c r="B169" s="146"/>
      <c r="C169" s="211" t="s">
        <v>3714</v>
      </c>
      <c r="D169" s="247"/>
      <c r="E169" s="146"/>
      <c r="F169" s="146" t="s">
        <v>303</v>
      </c>
      <c r="G169" s="599" t="s">
        <v>3726</v>
      </c>
      <c r="H169" s="599" t="s">
        <v>3705</v>
      </c>
      <c r="I169" s="603" t="s">
        <v>3727</v>
      </c>
      <c r="J169" s="603" t="s">
        <v>3547</v>
      </c>
      <c r="K169" s="601" t="s">
        <v>3728</v>
      </c>
      <c r="L169" s="602" t="s">
        <v>3729</v>
      </c>
      <c r="M169" s="1516" t="s">
        <v>3543</v>
      </c>
      <c r="N169" s="602" t="s">
        <v>2130</v>
      </c>
      <c r="O169" s="753" t="s">
        <v>3730</v>
      </c>
      <c r="P169" s="150" t="s">
        <v>3731</v>
      </c>
      <c r="Q169" s="150"/>
      <c r="R169" s="98"/>
      <c r="S169" s="146"/>
      <c r="T169" s="284" t="s">
        <v>3732</v>
      </c>
      <c r="U169" s="284" t="s">
        <v>3733</v>
      </c>
      <c r="W169" s="25"/>
      <c r="X169" s="25"/>
      <c r="Z169" s="25"/>
      <c r="AA169" s="77"/>
      <c r="AB169" s="77"/>
      <c r="AC169" s="274"/>
      <c r="AD169" s="40"/>
      <c r="AE169" s="77"/>
      <c r="AF169" s="77"/>
      <c r="AG169" s="77"/>
      <c r="AH169" s="77"/>
      <c r="AI169" s="77"/>
      <c r="AJ169" s="77"/>
      <c r="AK169" s="77"/>
    </row>
    <row r="170" spans="2:37" ht="10.5" customHeight="1">
      <c r="B170" s="146"/>
      <c r="C170" s="211" t="s">
        <v>3734</v>
      </c>
      <c r="D170" s="247"/>
      <c r="E170" s="146"/>
      <c r="F170" s="146" t="s">
        <v>305</v>
      </c>
      <c r="G170" s="599" t="s">
        <v>3735</v>
      </c>
      <c r="H170" s="599" t="s">
        <v>3705</v>
      </c>
      <c r="I170" s="603" t="s">
        <v>3736</v>
      </c>
      <c r="J170" s="603" t="s">
        <v>3547</v>
      </c>
      <c r="K170" s="601" t="s">
        <v>3737</v>
      </c>
      <c r="L170" s="602" t="s">
        <v>3708</v>
      </c>
      <c r="M170" s="1516" t="s">
        <v>3546</v>
      </c>
      <c r="N170" s="602" t="s">
        <v>2736</v>
      </c>
      <c r="O170" s="753" t="s">
        <v>3738</v>
      </c>
      <c r="P170" s="150" t="s">
        <v>3739</v>
      </c>
      <c r="Q170" s="150"/>
      <c r="R170" s="98"/>
      <c r="S170" s="146"/>
      <c r="T170" s="284" t="s">
        <v>2126</v>
      </c>
      <c r="U170" s="284" t="s">
        <v>3740</v>
      </c>
      <c r="W170" s="25"/>
      <c r="X170" s="25"/>
      <c r="Z170" s="25"/>
      <c r="AA170" s="77"/>
      <c r="AB170" s="77"/>
      <c r="AC170" s="274"/>
      <c r="AD170" s="40"/>
      <c r="AE170" s="77"/>
      <c r="AF170" s="77"/>
      <c r="AG170" s="77"/>
      <c r="AH170" s="77"/>
      <c r="AI170" s="77"/>
      <c r="AJ170" s="77"/>
      <c r="AK170" s="77"/>
    </row>
    <row r="171" spans="2:37" ht="10.5" customHeight="1">
      <c r="B171" s="146"/>
      <c r="C171" s="211" t="s">
        <v>3741</v>
      </c>
      <c r="D171" s="247"/>
      <c r="E171" s="146"/>
      <c r="F171" s="146" t="s">
        <v>306</v>
      </c>
      <c r="G171" s="599" t="s">
        <v>3742</v>
      </c>
      <c r="H171" s="599" t="s">
        <v>3743</v>
      </c>
      <c r="I171" s="600" t="s">
        <v>3744</v>
      </c>
      <c r="J171" s="600" t="s">
        <v>3547</v>
      </c>
      <c r="K171" s="601" t="s">
        <v>3745</v>
      </c>
      <c r="L171" s="602" t="s">
        <v>3708</v>
      </c>
      <c r="M171" s="1516" t="s">
        <v>3546</v>
      </c>
      <c r="N171" s="602" t="s">
        <v>2731</v>
      </c>
      <c r="O171" s="753" t="s">
        <v>3746</v>
      </c>
      <c r="P171" s="150" t="s">
        <v>3747</v>
      </c>
      <c r="Q171" s="150"/>
      <c r="R171" s="98"/>
      <c r="S171" s="146"/>
      <c r="T171" s="284" t="s">
        <v>3748</v>
      </c>
      <c r="U171" s="284" t="s">
        <v>3749</v>
      </c>
      <c r="W171" s="25"/>
      <c r="X171" s="25"/>
      <c r="Z171" s="25"/>
      <c r="AA171" s="77"/>
      <c r="AB171" s="77"/>
      <c r="AC171" s="274"/>
      <c r="AD171" s="40"/>
      <c r="AE171" s="77"/>
      <c r="AF171" s="77"/>
      <c r="AG171" s="77"/>
      <c r="AH171" s="77"/>
      <c r="AI171" s="77"/>
      <c r="AJ171" s="77"/>
      <c r="AK171" s="77"/>
    </row>
    <row r="172" spans="2:37" ht="10.5" customHeight="1">
      <c r="B172" s="146"/>
      <c r="C172" s="211" t="s">
        <v>3721</v>
      </c>
      <c r="D172" s="247"/>
      <c r="E172" s="146"/>
      <c r="F172" s="146" t="s">
        <v>307</v>
      </c>
      <c r="G172" s="599" t="s">
        <v>171</v>
      </c>
      <c r="H172" s="599" t="s">
        <v>3743</v>
      </c>
      <c r="I172" s="603" t="s">
        <v>3734</v>
      </c>
      <c r="J172" s="603" t="s">
        <v>2727</v>
      </c>
      <c r="K172" s="601" t="s">
        <v>3750</v>
      </c>
      <c r="L172" s="602" t="s">
        <v>3729</v>
      </c>
      <c r="M172" s="1516" t="s">
        <v>3543</v>
      </c>
      <c r="N172" s="602" t="s">
        <v>2732</v>
      </c>
      <c r="O172" s="753" t="s">
        <v>3751</v>
      </c>
      <c r="P172" s="150" t="s">
        <v>3752</v>
      </c>
      <c r="Q172" s="150"/>
      <c r="R172" s="98"/>
      <c r="S172" s="146"/>
      <c r="T172" s="284" t="s">
        <v>3753</v>
      </c>
      <c r="U172" s="284" t="s">
        <v>150</v>
      </c>
      <c r="W172" s="25"/>
      <c r="X172" s="25"/>
      <c r="Z172" s="25"/>
      <c r="AA172" s="77"/>
      <c r="AB172" s="77"/>
      <c r="AC172" s="274"/>
      <c r="AD172" s="40"/>
      <c r="AE172" s="77"/>
      <c r="AF172" s="77"/>
      <c r="AG172" s="77"/>
      <c r="AH172" s="77"/>
      <c r="AI172" s="77"/>
      <c r="AJ172" s="77"/>
      <c r="AK172" s="77"/>
    </row>
    <row r="173" spans="2:37" ht="10.5" customHeight="1">
      <c r="B173" s="146"/>
      <c r="C173" s="211" t="s">
        <v>3736</v>
      </c>
      <c r="D173" s="247"/>
      <c r="E173" s="146"/>
      <c r="F173" s="146" t="s">
        <v>309</v>
      </c>
      <c r="G173" s="599" t="s">
        <v>3733</v>
      </c>
      <c r="H173" s="599" t="s">
        <v>3743</v>
      </c>
      <c r="I173" s="603" t="s">
        <v>3734</v>
      </c>
      <c r="J173" s="603" t="s">
        <v>2727</v>
      </c>
      <c r="K173" s="601" t="s">
        <v>3750</v>
      </c>
      <c r="L173" s="602" t="s">
        <v>3729</v>
      </c>
      <c r="M173" s="1516" t="s">
        <v>3543</v>
      </c>
      <c r="N173" s="602" t="s">
        <v>2732</v>
      </c>
      <c r="O173" s="753" t="s">
        <v>3754</v>
      </c>
      <c r="P173" s="150" t="s">
        <v>3755</v>
      </c>
      <c r="Q173" s="150"/>
      <c r="R173" s="98"/>
      <c r="S173" s="146"/>
      <c r="T173" s="284" t="s">
        <v>3756</v>
      </c>
      <c r="U173" s="284" t="s">
        <v>3757</v>
      </c>
      <c r="W173" s="25"/>
      <c r="X173" s="25"/>
      <c r="Z173" s="25"/>
      <c r="AA173" s="77"/>
      <c r="AB173" s="77"/>
      <c r="AC173" s="274"/>
      <c r="AD173" s="40"/>
      <c r="AE173" s="77"/>
      <c r="AF173" s="77"/>
      <c r="AG173" s="77"/>
      <c r="AH173" s="77"/>
      <c r="AI173" s="77"/>
      <c r="AJ173" s="77"/>
      <c r="AK173" s="77"/>
    </row>
    <row r="174" spans="2:37" ht="10.5" customHeight="1">
      <c r="B174" s="146"/>
      <c r="C174" s="211" t="s">
        <v>3744</v>
      </c>
      <c r="D174" s="247"/>
      <c r="E174" s="146"/>
      <c r="F174" s="146" t="s">
        <v>308</v>
      </c>
      <c r="G174" s="599" t="s">
        <v>3758</v>
      </c>
      <c r="H174" s="599" t="s">
        <v>3705</v>
      </c>
      <c r="I174" s="600" t="s">
        <v>3759</v>
      </c>
      <c r="J174" s="600" t="s">
        <v>3547</v>
      </c>
      <c r="K174" s="601" t="s">
        <v>3760</v>
      </c>
      <c r="L174" s="602" t="s">
        <v>3708</v>
      </c>
      <c r="M174" s="1516" t="s">
        <v>3546</v>
      </c>
      <c r="N174" s="602" t="s">
        <v>2130</v>
      </c>
      <c r="O174" s="753" t="s">
        <v>3761</v>
      </c>
      <c r="P174" s="150" t="s">
        <v>3762</v>
      </c>
      <c r="Q174" s="284"/>
      <c r="R174" s="98"/>
      <c r="S174" s="146"/>
      <c r="T174" s="284" t="s">
        <v>3763</v>
      </c>
      <c r="U174" s="284" t="s">
        <v>3764</v>
      </c>
      <c r="W174" s="25"/>
      <c r="X174" s="25"/>
      <c r="Z174" s="25"/>
      <c r="AA174" s="77"/>
      <c r="AB174" s="77"/>
      <c r="AC174" s="274"/>
      <c r="AD174" s="40"/>
      <c r="AE174" s="77"/>
      <c r="AF174" s="77"/>
      <c r="AG174" s="77"/>
      <c r="AH174" s="77"/>
      <c r="AI174" s="77"/>
      <c r="AJ174" s="77"/>
      <c r="AK174" s="77"/>
    </row>
    <row r="175" spans="2:37" ht="10.5" customHeight="1">
      <c r="B175" s="146"/>
      <c r="C175" s="212" t="s">
        <v>3765</v>
      </c>
      <c r="D175" s="247"/>
      <c r="E175" s="146"/>
      <c r="F175" s="146" t="s">
        <v>310</v>
      </c>
      <c r="G175" s="599" t="s">
        <v>3764</v>
      </c>
      <c r="H175" s="599" t="s">
        <v>3705</v>
      </c>
      <c r="I175" s="600" t="s">
        <v>3766</v>
      </c>
      <c r="J175" s="600" t="s">
        <v>3547</v>
      </c>
      <c r="K175" s="601" t="s">
        <v>3767</v>
      </c>
      <c r="L175" s="602" t="s">
        <v>3708</v>
      </c>
      <c r="M175" s="1516" t="s">
        <v>3546</v>
      </c>
      <c r="N175" s="602" t="s">
        <v>2216</v>
      </c>
      <c r="O175" s="753" t="s">
        <v>3768</v>
      </c>
      <c r="P175" s="150" t="s">
        <v>3769</v>
      </c>
      <c r="Q175" s="284"/>
      <c r="R175" s="146"/>
      <c r="S175" s="146"/>
      <c r="T175" s="284" t="s">
        <v>2130</v>
      </c>
      <c r="U175" s="284" t="s">
        <v>162</v>
      </c>
      <c r="W175" s="25"/>
      <c r="X175" s="25"/>
      <c r="Z175" s="25"/>
      <c r="AA175" s="77"/>
      <c r="AB175" s="77"/>
      <c r="AC175" s="274"/>
      <c r="AD175" s="40"/>
      <c r="AE175" s="77"/>
      <c r="AF175" s="77"/>
      <c r="AG175" s="77"/>
      <c r="AH175" s="77"/>
      <c r="AI175" s="77"/>
      <c r="AJ175" s="77"/>
      <c r="AK175" s="77"/>
    </row>
    <row r="176" spans="2:37" ht="10.5" customHeight="1">
      <c r="B176" s="146"/>
      <c r="C176" s="212" t="s">
        <v>3766</v>
      </c>
      <c r="D176" s="247"/>
      <c r="E176" s="146"/>
      <c r="F176" s="146" t="s">
        <v>311</v>
      </c>
      <c r="G176" s="599" t="s">
        <v>3770</v>
      </c>
      <c r="H176" s="599" t="s">
        <v>778</v>
      </c>
      <c r="I176" s="603" t="s">
        <v>2736</v>
      </c>
      <c r="J176" s="603" t="s">
        <v>2727</v>
      </c>
      <c r="K176" s="601" t="s">
        <v>3771</v>
      </c>
      <c r="L176" s="602" t="s">
        <v>3729</v>
      </c>
      <c r="M176" s="1516" t="s">
        <v>3543</v>
      </c>
      <c r="N176" s="602" t="s">
        <v>2736</v>
      </c>
      <c r="O176" s="753" t="s">
        <v>3772</v>
      </c>
      <c r="P176" s="150" t="s">
        <v>3773</v>
      </c>
      <c r="Q176" s="284"/>
      <c r="R176" s="98"/>
      <c r="S176" s="146"/>
      <c r="T176" s="284" t="s">
        <v>3774</v>
      </c>
      <c r="U176" s="284" t="s">
        <v>3775</v>
      </c>
      <c r="W176" s="25"/>
      <c r="X176" s="25"/>
      <c r="Z176" s="25"/>
      <c r="AA176" s="77"/>
      <c r="AB176" s="77"/>
      <c r="AC176" s="274"/>
      <c r="AD176" s="40"/>
      <c r="AE176" s="77"/>
      <c r="AF176" s="77"/>
      <c r="AG176" s="77"/>
      <c r="AH176" s="77"/>
      <c r="AI176" s="77"/>
      <c r="AJ176" s="77"/>
      <c r="AK176" s="77"/>
    </row>
    <row r="177" spans="2:37" ht="10.5" customHeight="1">
      <c r="B177" s="146"/>
      <c r="C177" s="212" t="s">
        <v>3776</v>
      </c>
      <c r="D177" s="247"/>
      <c r="E177" s="146"/>
      <c r="F177" s="146" t="s">
        <v>312</v>
      </c>
      <c r="G177" s="599" t="s">
        <v>3777</v>
      </c>
      <c r="H177" s="599" t="s">
        <v>3705</v>
      </c>
      <c r="I177" s="603" t="s">
        <v>3776</v>
      </c>
      <c r="J177" s="603" t="s">
        <v>3547</v>
      </c>
      <c r="K177" s="601" t="s">
        <v>3778</v>
      </c>
      <c r="L177" s="602" t="s">
        <v>3708</v>
      </c>
      <c r="M177" s="1516" t="s">
        <v>3546</v>
      </c>
      <c r="N177" s="602" t="s">
        <v>2736</v>
      </c>
      <c r="O177" s="753" t="s">
        <v>3779</v>
      </c>
      <c r="P177" s="150" t="s">
        <v>3780</v>
      </c>
      <c r="Q177" s="150"/>
      <c r="R177" s="98"/>
      <c r="S177" s="146"/>
      <c r="T177" s="284" t="s">
        <v>3781</v>
      </c>
      <c r="U177" s="284" t="s">
        <v>124</v>
      </c>
      <c r="W177" s="25"/>
      <c r="X177" s="25"/>
      <c r="Z177" s="25"/>
      <c r="AA177" s="77"/>
      <c r="AB177" s="77"/>
      <c r="AC177" s="274"/>
      <c r="AD177" s="40"/>
      <c r="AE177" s="77"/>
      <c r="AF177" s="77"/>
      <c r="AG177" s="77"/>
      <c r="AH177" s="77"/>
      <c r="AI177" s="77"/>
      <c r="AJ177" s="77"/>
      <c r="AK177" s="77"/>
    </row>
    <row r="178" spans="2:37" ht="10.5" customHeight="1">
      <c r="B178" s="146"/>
      <c r="C178" s="211" t="s">
        <v>3782</v>
      </c>
      <c r="D178" s="247"/>
      <c r="E178" s="146"/>
      <c r="F178" s="146" t="s">
        <v>316</v>
      </c>
      <c r="G178" s="599" t="s">
        <v>3783</v>
      </c>
      <c r="H178" s="599" t="s">
        <v>3705</v>
      </c>
      <c r="I178" s="600" t="s">
        <v>3782</v>
      </c>
      <c r="J178" s="600" t="s">
        <v>2727</v>
      </c>
      <c r="K178" s="601" t="s">
        <v>3784</v>
      </c>
      <c r="L178" s="602" t="s">
        <v>3729</v>
      </c>
      <c r="M178" s="1516" t="s">
        <v>3543</v>
      </c>
      <c r="N178" s="602" t="s">
        <v>2216</v>
      </c>
      <c r="O178" s="753" t="s">
        <v>3785</v>
      </c>
      <c r="P178" s="150" t="s">
        <v>3786</v>
      </c>
      <c r="Q178" s="150"/>
      <c r="R178" s="98"/>
      <c r="S178" s="146"/>
      <c r="T178" s="284" t="s">
        <v>3787</v>
      </c>
      <c r="U178" s="284" t="s">
        <v>3788</v>
      </c>
      <c r="W178" s="25"/>
      <c r="X178" s="25"/>
      <c r="Z178" s="25"/>
      <c r="AA178" s="77"/>
      <c r="AB178" s="77"/>
      <c r="AC178" s="274"/>
      <c r="AD178" s="40"/>
      <c r="AE178" s="77"/>
      <c r="AF178" s="77"/>
      <c r="AG178" s="77"/>
      <c r="AH178" s="77"/>
      <c r="AI178" s="77"/>
      <c r="AJ178" s="77"/>
      <c r="AK178" s="77"/>
    </row>
    <row r="179" spans="2:37" ht="10.5" customHeight="1">
      <c r="B179" s="146"/>
      <c r="C179" s="212" t="s">
        <v>3789</v>
      </c>
      <c r="D179" s="247"/>
      <c r="E179" s="146"/>
      <c r="F179" s="146" t="s">
        <v>313</v>
      </c>
      <c r="G179" s="599" t="s">
        <v>3790</v>
      </c>
      <c r="H179" s="599" t="s">
        <v>3705</v>
      </c>
      <c r="I179" s="600" t="s">
        <v>2216</v>
      </c>
      <c r="J179" s="600" t="s">
        <v>2727</v>
      </c>
      <c r="K179" s="601" t="s">
        <v>3791</v>
      </c>
      <c r="L179" s="602" t="s">
        <v>3729</v>
      </c>
      <c r="M179" s="1516" t="s">
        <v>3543</v>
      </c>
      <c r="N179" s="602" t="s">
        <v>2216</v>
      </c>
      <c r="O179" s="753" t="s">
        <v>3792</v>
      </c>
      <c r="P179" s="150" t="s">
        <v>3793</v>
      </c>
      <c r="Q179" s="150"/>
      <c r="R179" s="98"/>
      <c r="S179" s="146"/>
      <c r="T179" s="284" t="s">
        <v>3794</v>
      </c>
      <c r="U179" s="284" t="s">
        <v>3720</v>
      </c>
      <c r="W179" s="25"/>
      <c r="X179" s="25"/>
      <c r="Z179" s="25"/>
      <c r="AA179" s="77"/>
      <c r="AB179" s="77"/>
      <c r="AC179" s="274"/>
      <c r="AD179" s="40"/>
      <c r="AE179" s="77"/>
      <c r="AF179" s="77"/>
      <c r="AG179" s="77"/>
      <c r="AH179" s="77"/>
      <c r="AI179" s="77"/>
      <c r="AJ179" s="77"/>
      <c r="AK179" s="77"/>
    </row>
    <row r="180" spans="2:37" ht="10.5" customHeight="1">
      <c r="B180" s="146"/>
      <c r="C180" s="211" t="s">
        <v>3795</v>
      </c>
      <c r="D180" s="247"/>
      <c r="E180" s="146"/>
      <c r="F180" s="146" t="s">
        <v>314</v>
      </c>
      <c r="G180" s="599" t="s">
        <v>3796</v>
      </c>
      <c r="H180" s="599" t="s">
        <v>3705</v>
      </c>
      <c r="I180" s="603" t="s">
        <v>2737</v>
      </c>
      <c r="J180" s="603" t="s">
        <v>2727</v>
      </c>
      <c r="K180" s="601" t="s">
        <v>3797</v>
      </c>
      <c r="L180" s="602" t="s">
        <v>3729</v>
      </c>
      <c r="M180" s="1516" t="s">
        <v>3543</v>
      </c>
      <c r="N180" s="602" t="s">
        <v>2737</v>
      </c>
      <c r="O180" s="753" t="s">
        <v>3798</v>
      </c>
      <c r="P180" s="150" t="s">
        <v>3799</v>
      </c>
      <c r="Q180" s="150"/>
      <c r="R180" s="98"/>
      <c r="S180" s="146"/>
      <c r="T180" s="284" t="s">
        <v>3800</v>
      </c>
      <c r="U180" s="284" t="s">
        <v>154</v>
      </c>
      <c r="W180" s="25"/>
      <c r="X180" s="25"/>
      <c r="Z180" s="25"/>
      <c r="AA180" s="77"/>
      <c r="AB180" s="77"/>
      <c r="AC180" s="274"/>
      <c r="AD180" s="40"/>
      <c r="AE180" s="77"/>
      <c r="AF180" s="77"/>
      <c r="AG180" s="77"/>
      <c r="AH180" s="77"/>
      <c r="AI180" s="77"/>
      <c r="AJ180" s="77"/>
      <c r="AK180" s="77"/>
    </row>
    <row r="181" spans="2:37" ht="10.5" customHeight="1">
      <c r="B181" s="146"/>
      <c r="C181" s="212" t="s">
        <v>3801</v>
      </c>
      <c r="D181" s="247"/>
      <c r="E181" s="146"/>
      <c r="F181" s="146" t="s">
        <v>315</v>
      </c>
      <c r="G181" s="599" t="s">
        <v>107</v>
      </c>
      <c r="H181" s="599" t="s">
        <v>3705</v>
      </c>
      <c r="I181" s="603" t="s">
        <v>3789</v>
      </c>
      <c r="J181" s="603" t="s">
        <v>3547</v>
      </c>
      <c r="K181" s="601" t="s">
        <v>3802</v>
      </c>
      <c r="L181" s="602" t="s">
        <v>3708</v>
      </c>
      <c r="M181" s="1516" t="s">
        <v>3546</v>
      </c>
      <c r="N181" s="602" t="s">
        <v>2737</v>
      </c>
      <c r="O181" s="753" t="s">
        <v>3803</v>
      </c>
      <c r="P181" s="150" t="s">
        <v>3804</v>
      </c>
      <c r="Q181" s="150"/>
      <c r="R181" s="98"/>
      <c r="S181" s="146"/>
      <c r="T181" s="284" t="s">
        <v>3805</v>
      </c>
      <c r="U181" s="284" t="s">
        <v>150</v>
      </c>
      <c r="W181" s="25"/>
      <c r="X181" s="25"/>
      <c r="Z181" s="25"/>
      <c r="AA181" s="77"/>
      <c r="AB181" s="77"/>
      <c r="AC181" s="274"/>
      <c r="AD181" s="40"/>
      <c r="AE181" s="77"/>
      <c r="AF181" s="77"/>
      <c r="AG181" s="77"/>
      <c r="AH181" s="77"/>
      <c r="AI181" s="77"/>
      <c r="AJ181" s="77"/>
      <c r="AK181" s="77"/>
    </row>
    <row r="182" spans="2:37" ht="10.5" customHeight="1">
      <c r="B182" s="146"/>
      <c r="C182" s="212" t="s">
        <v>3806</v>
      </c>
      <c r="D182" s="247"/>
      <c r="E182" s="146"/>
      <c r="F182" s="146" t="s">
        <v>317</v>
      </c>
      <c r="G182" s="599" t="s">
        <v>3807</v>
      </c>
      <c r="H182" s="599" t="s">
        <v>3705</v>
      </c>
      <c r="I182" s="603" t="s">
        <v>3741</v>
      </c>
      <c r="J182" s="603" t="s">
        <v>2727</v>
      </c>
      <c r="K182" s="601" t="s">
        <v>3808</v>
      </c>
      <c r="L182" s="602" t="s">
        <v>3729</v>
      </c>
      <c r="M182" s="1516" t="s">
        <v>3546</v>
      </c>
      <c r="N182" s="602" t="s">
        <v>2733</v>
      </c>
      <c r="O182" s="753" t="s">
        <v>3809</v>
      </c>
      <c r="P182" s="150" t="s">
        <v>3810</v>
      </c>
      <c r="Q182" s="150"/>
      <c r="R182" s="98"/>
      <c r="S182" s="146"/>
      <c r="T182" s="284" t="s">
        <v>3811</v>
      </c>
      <c r="U182" s="284" t="s">
        <v>164</v>
      </c>
      <c r="W182" s="25"/>
      <c r="X182" s="25"/>
      <c r="Z182" s="25"/>
      <c r="AA182" s="77"/>
      <c r="AB182" s="77"/>
      <c r="AC182" s="274"/>
      <c r="AD182" s="40"/>
      <c r="AE182" s="77"/>
      <c r="AF182" s="77"/>
      <c r="AG182" s="77"/>
      <c r="AH182" s="77"/>
      <c r="AI182" s="77"/>
      <c r="AJ182" s="77"/>
      <c r="AK182" s="77"/>
    </row>
    <row r="183" spans="2:37" ht="10.5" customHeight="1">
      <c r="B183" s="146"/>
      <c r="C183" s="212" t="s">
        <v>3812</v>
      </c>
      <c r="D183" s="247"/>
      <c r="E183" s="146"/>
      <c r="F183" s="146" t="s">
        <v>318</v>
      </c>
      <c r="G183" s="599" t="s">
        <v>3813</v>
      </c>
      <c r="H183" s="599" t="s">
        <v>3743</v>
      </c>
      <c r="I183" s="603" t="s">
        <v>3795</v>
      </c>
      <c r="J183" s="603" t="s">
        <v>2727</v>
      </c>
      <c r="K183" s="601" t="s">
        <v>3814</v>
      </c>
      <c r="L183" s="602" t="s">
        <v>3729</v>
      </c>
      <c r="M183" s="1516" t="s">
        <v>3546</v>
      </c>
      <c r="N183" s="602" t="s">
        <v>2732</v>
      </c>
      <c r="O183" s="753" t="s">
        <v>3815</v>
      </c>
      <c r="P183" s="150" t="s">
        <v>3816</v>
      </c>
      <c r="Q183" s="150"/>
      <c r="R183" s="98"/>
      <c r="S183" s="146"/>
      <c r="T183" s="284" t="s">
        <v>3817</v>
      </c>
      <c r="U183" s="284" t="s">
        <v>3818</v>
      </c>
      <c r="W183" s="25"/>
      <c r="X183" s="25"/>
      <c r="Z183" s="25"/>
      <c r="AA183" s="77"/>
      <c r="AB183" s="77"/>
      <c r="AC183" s="274"/>
      <c r="AD183" s="40"/>
      <c r="AE183" s="77"/>
      <c r="AF183" s="77"/>
      <c r="AG183" s="77"/>
      <c r="AH183" s="77"/>
      <c r="AI183" s="77"/>
      <c r="AJ183" s="77"/>
      <c r="AK183" s="77"/>
    </row>
    <row r="184" spans="2:37" ht="10.5" customHeight="1">
      <c r="B184" s="146"/>
      <c r="C184" s="211" t="s">
        <v>3819</v>
      </c>
      <c r="D184" s="247"/>
      <c r="E184" s="146"/>
      <c r="F184" s="146" t="s">
        <v>319</v>
      </c>
      <c r="G184" s="599" t="s">
        <v>3820</v>
      </c>
      <c r="H184" s="599" t="s">
        <v>3705</v>
      </c>
      <c r="I184" s="600" t="s">
        <v>3801</v>
      </c>
      <c r="J184" s="600" t="s">
        <v>3547</v>
      </c>
      <c r="K184" s="601" t="s">
        <v>3821</v>
      </c>
      <c r="L184" s="602" t="s">
        <v>3708</v>
      </c>
      <c r="M184" s="1516" t="s">
        <v>3546</v>
      </c>
      <c r="N184" s="602" t="s">
        <v>2130</v>
      </c>
      <c r="O184" s="753" t="s">
        <v>3822</v>
      </c>
      <c r="P184" s="150" t="s">
        <v>3823</v>
      </c>
      <c r="Q184" s="150"/>
      <c r="R184" s="98"/>
      <c r="S184" s="146"/>
      <c r="T184" s="284" t="s">
        <v>3824</v>
      </c>
      <c r="U184" s="284" t="s">
        <v>3825</v>
      </c>
      <c r="W184" s="25"/>
      <c r="X184" s="25"/>
      <c r="Z184" s="25"/>
      <c r="AA184" s="77"/>
      <c r="AB184" s="77"/>
      <c r="AC184" s="274"/>
      <c r="AD184" s="40"/>
      <c r="AE184" s="77"/>
      <c r="AF184" s="77"/>
      <c r="AG184" s="77"/>
      <c r="AH184" s="77"/>
      <c r="AI184" s="77"/>
      <c r="AJ184" s="77"/>
      <c r="AK184" s="77"/>
    </row>
    <row r="185" spans="2:37" ht="10.5" customHeight="1">
      <c r="B185" s="146"/>
      <c r="C185" s="211" t="s">
        <v>2734</v>
      </c>
      <c r="D185" s="247"/>
      <c r="E185" s="146"/>
      <c r="F185" s="146" t="s">
        <v>322</v>
      </c>
      <c r="G185" s="599" t="s">
        <v>140</v>
      </c>
      <c r="H185" s="599" t="s">
        <v>3705</v>
      </c>
      <c r="I185" s="603" t="s">
        <v>3806</v>
      </c>
      <c r="J185" s="603" t="s">
        <v>3547</v>
      </c>
      <c r="K185" s="601" t="s">
        <v>3826</v>
      </c>
      <c r="L185" s="602" t="s">
        <v>3708</v>
      </c>
      <c r="M185" s="1516" t="s">
        <v>3546</v>
      </c>
      <c r="N185" s="602" t="s">
        <v>2216</v>
      </c>
      <c r="O185" s="753" t="s">
        <v>3827</v>
      </c>
      <c r="P185" s="150" t="s">
        <v>3828</v>
      </c>
      <c r="Q185" s="150"/>
      <c r="R185" s="98"/>
      <c r="S185" s="146"/>
      <c r="T185" s="284" t="s">
        <v>3829</v>
      </c>
      <c r="U185" s="284" t="s">
        <v>3825</v>
      </c>
      <c r="W185" s="25"/>
      <c r="X185" s="25"/>
      <c r="Z185" s="25"/>
      <c r="AA185" s="77"/>
      <c r="AB185" s="77"/>
      <c r="AC185" s="274"/>
      <c r="AD185" s="40"/>
      <c r="AE185" s="77"/>
      <c r="AF185" s="77"/>
      <c r="AG185" s="77"/>
      <c r="AH185" s="77"/>
      <c r="AI185" s="77"/>
      <c r="AJ185" s="77"/>
      <c r="AK185" s="77"/>
    </row>
    <row r="186" spans="2:37" ht="10.5" customHeight="1">
      <c r="B186" s="146"/>
      <c r="C186" s="211" t="s">
        <v>3830</v>
      </c>
      <c r="D186" s="247"/>
      <c r="E186" s="146"/>
      <c r="F186" s="146" t="s">
        <v>321</v>
      </c>
      <c r="G186" s="599" t="s">
        <v>3831</v>
      </c>
      <c r="H186" s="599" t="s">
        <v>3705</v>
      </c>
      <c r="I186" s="600" t="s">
        <v>3812</v>
      </c>
      <c r="J186" s="600" t="s">
        <v>3547</v>
      </c>
      <c r="K186" s="601" t="s">
        <v>3832</v>
      </c>
      <c r="L186" s="602" t="s">
        <v>3708</v>
      </c>
      <c r="M186" s="1516" t="s">
        <v>3546</v>
      </c>
      <c r="N186" s="602" t="s">
        <v>2737</v>
      </c>
      <c r="O186" s="753" t="s">
        <v>3833</v>
      </c>
      <c r="P186" s="150" t="s">
        <v>3834</v>
      </c>
      <c r="Q186" s="150"/>
      <c r="R186" s="98"/>
      <c r="S186" s="146"/>
      <c r="T186" s="284" t="s">
        <v>3704</v>
      </c>
      <c r="U186" s="284" t="s">
        <v>118</v>
      </c>
      <c r="W186" s="25"/>
      <c r="X186" s="25"/>
      <c r="Z186" s="25"/>
      <c r="AA186" s="77"/>
      <c r="AB186" s="77"/>
      <c r="AC186" s="274"/>
      <c r="AD186" s="40"/>
      <c r="AE186" s="77"/>
      <c r="AF186" s="77"/>
      <c r="AG186" s="77"/>
      <c r="AH186" s="77"/>
      <c r="AI186" s="77"/>
      <c r="AJ186" s="77"/>
      <c r="AK186" s="77"/>
    </row>
    <row r="187" spans="2:37" ht="10.5" customHeight="1">
      <c r="B187" s="146"/>
      <c r="C187" s="211" t="s">
        <v>3835</v>
      </c>
      <c r="D187" s="247"/>
      <c r="E187" s="146"/>
      <c r="F187" s="146" t="s">
        <v>320</v>
      </c>
      <c r="G187" s="599" t="s">
        <v>3836</v>
      </c>
      <c r="H187" s="599" t="s">
        <v>3743</v>
      </c>
      <c r="I187" s="603" t="s">
        <v>3734</v>
      </c>
      <c r="J187" s="603" t="s">
        <v>2727</v>
      </c>
      <c r="K187" s="601" t="s">
        <v>3750</v>
      </c>
      <c r="L187" s="602" t="s">
        <v>3729</v>
      </c>
      <c r="M187" s="1516" t="s">
        <v>3543</v>
      </c>
      <c r="N187" s="602" t="s">
        <v>2732</v>
      </c>
      <c r="O187" s="753" t="s">
        <v>3837</v>
      </c>
      <c r="P187" s="150" t="s">
        <v>3838</v>
      </c>
      <c r="Q187" s="150"/>
      <c r="R187" s="98"/>
      <c r="S187" s="146"/>
      <c r="T187" s="284" t="s">
        <v>3839</v>
      </c>
      <c r="U187" s="284" t="s">
        <v>3840</v>
      </c>
      <c r="W187" s="25"/>
      <c r="X187" s="25"/>
      <c r="Z187" s="25"/>
      <c r="AA187" s="77"/>
      <c r="AB187" s="77"/>
      <c r="AC187" s="274"/>
      <c r="AD187" s="40"/>
      <c r="AE187" s="77"/>
      <c r="AF187" s="77"/>
      <c r="AG187" s="77"/>
      <c r="AH187" s="77"/>
      <c r="AI187" s="77"/>
      <c r="AJ187" s="77"/>
      <c r="AK187" s="77"/>
    </row>
    <row r="188" spans="2:37" ht="10.5" customHeight="1">
      <c r="B188" s="146"/>
      <c r="C188" s="212" t="s">
        <v>3841</v>
      </c>
      <c r="D188" s="247"/>
      <c r="E188" s="146"/>
      <c r="F188" s="146" t="s">
        <v>323</v>
      </c>
      <c r="G188" s="599" t="s">
        <v>135</v>
      </c>
      <c r="H188" s="599" t="s">
        <v>3743</v>
      </c>
      <c r="I188" s="603" t="s">
        <v>2734</v>
      </c>
      <c r="J188" s="603" t="s">
        <v>2727</v>
      </c>
      <c r="K188" s="601" t="s">
        <v>3842</v>
      </c>
      <c r="L188" s="602" t="s">
        <v>3729</v>
      </c>
      <c r="M188" s="1516" t="s">
        <v>3546</v>
      </c>
      <c r="N188" s="602" t="s">
        <v>2734</v>
      </c>
      <c r="O188" s="753" t="s">
        <v>3843</v>
      </c>
      <c r="P188" s="150" t="s">
        <v>3844</v>
      </c>
      <c r="Q188" s="150"/>
      <c r="R188" s="98"/>
      <c r="S188" s="146"/>
      <c r="T188" s="284" t="s">
        <v>3845</v>
      </c>
      <c r="U188" s="284" t="s">
        <v>3846</v>
      </c>
      <c r="W188" s="25"/>
      <c r="X188" s="25"/>
      <c r="Z188" s="25"/>
      <c r="AA188" s="77"/>
      <c r="AB188" s="77"/>
      <c r="AC188" s="274"/>
      <c r="AD188" s="40"/>
      <c r="AE188" s="77"/>
      <c r="AF188" s="77"/>
      <c r="AG188" s="77"/>
      <c r="AH188" s="77"/>
      <c r="AI188" s="77"/>
      <c r="AJ188" s="77"/>
      <c r="AK188" s="77"/>
    </row>
    <row r="189" spans="2:37" ht="10.5" customHeight="1">
      <c r="B189" s="146"/>
      <c r="C189" s="212" t="s">
        <v>3847</v>
      </c>
      <c r="D189" s="247"/>
      <c r="E189" s="146"/>
      <c r="F189" s="146" t="s">
        <v>324</v>
      </c>
      <c r="G189" s="599" t="s">
        <v>3848</v>
      </c>
      <c r="H189" s="599" t="s">
        <v>3705</v>
      </c>
      <c r="I189" s="600" t="s">
        <v>3819</v>
      </c>
      <c r="J189" s="600" t="s">
        <v>3547</v>
      </c>
      <c r="K189" s="601" t="s">
        <v>3849</v>
      </c>
      <c r="L189" s="602" t="s">
        <v>3708</v>
      </c>
      <c r="M189" s="1516" t="s">
        <v>3546</v>
      </c>
      <c r="N189" s="602" t="s">
        <v>2216</v>
      </c>
      <c r="O189" s="753" t="s">
        <v>3850</v>
      </c>
      <c r="P189" s="150" t="s">
        <v>3851</v>
      </c>
      <c r="Q189" s="150"/>
      <c r="R189" s="98"/>
      <c r="S189" s="146"/>
      <c r="T189" s="284" t="s">
        <v>3852</v>
      </c>
      <c r="U189" s="284" t="s">
        <v>3853</v>
      </c>
      <c r="W189" s="25"/>
      <c r="X189" s="25"/>
      <c r="Z189" s="25"/>
      <c r="AA189" s="77"/>
      <c r="AB189" s="77"/>
      <c r="AC189" s="274"/>
      <c r="AD189" s="40"/>
      <c r="AE189" s="77"/>
      <c r="AF189" s="77"/>
      <c r="AG189" s="77"/>
      <c r="AH189" s="77"/>
      <c r="AI189" s="77"/>
      <c r="AJ189" s="77"/>
      <c r="AK189" s="77"/>
    </row>
    <row r="190" spans="2:37" ht="10.5" customHeight="1">
      <c r="B190" s="146"/>
      <c r="C190" s="212" t="s">
        <v>3854</v>
      </c>
      <c r="D190" s="247"/>
      <c r="E190" s="146"/>
      <c r="F190" s="146" t="s">
        <v>326</v>
      </c>
      <c r="G190" s="599" t="s">
        <v>138</v>
      </c>
      <c r="H190" s="599" t="s">
        <v>778</v>
      </c>
      <c r="I190" s="603" t="s">
        <v>2737</v>
      </c>
      <c r="J190" s="603" t="s">
        <v>2727</v>
      </c>
      <c r="K190" s="601" t="s">
        <v>3797</v>
      </c>
      <c r="L190" s="602" t="s">
        <v>3729</v>
      </c>
      <c r="M190" s="1516" t="s">
        <v>3543</v>
      </c>
      <c r="N190" s="602" t="s">
        <v>2737</v>
      </c>
      <c r="O190" s="753" t="s">
        <v>3855</v>
      </c>
      <c r="P190" s="150" t="s">
        <v>3856</v>
      </c>
      <c r="Q190" s="150"/>
      <c r="R190" s="98"/>
      <c r="S190" s="146"/>
      <c r="T190" s="284" t="s">
        <v>3857</v>
      </c>
      <c r="U190" s="284" t="s">
        <v>3858</v>
      </c>
      <c r="W190" s="25"/>
      <c r="X190" s="25"/>
      <c r="Z190" s="25"/>
      <c r="AA190" s="77"/>
      <c r="AB190" s="77"/>
      <c r="AC190" s="274"/>
      <c r="AD190" s="40"/>
      <c r="AE190" s="77"/>
      <c r="AF190" s="77"/>
      <c r="AG190" s="77"/>
      <c r="AH190" s="77"/>
      <c r="AI190" s="77"/>
      <c r="AJ190" s="77"/>
      <c r="AK190" s="77"/>
    </row>
    <row r="191" spans="2:37" ht="10.5" customHeight="1">
      <c r="B191" s="146"/>
      <c r="C191" s="211" t="s">
        <v>2735</v>
      </c>
      <c r="D191" s="247"/>
      <c r="E191" s="146"/>
      <c r="F191" s="146" t="s">
        <v>325</v>
      </c>
      <c r="G191" s="599" t="s">
        <v>3859</v>
      </c>
      <c r="H191" s="599" t="s">
        <v>3705</v>
      </c>
      <c r="I191" s="603" t="s">
        <v>2735</v>
      </c>
      <c r="J191" s="603" t="s">
        <v>2727</v>
      </c>
      <c r="K191" s="601" t="s">
        <v>3860</v>
      </c>
      <c r="L191" s="602" t="s">
        <v>3729</v>
      </c>
      <c r="M191" s="1516" t="s">
        <v>3546</v>
      </c>
      <c r="N191" s="602" t="s">
        <v>2735</v>
      </c>
      <c r="O191" s="753" t="s">
        <v>3861</v>
      </c>
      <c r="P191" s="150" t="s">
        <v>3862</v>
      </c>
      <c r="Q191" s="150"/>
      <c r="R191" s="98"/>
      <c r="S191" s="146"/>
      <c r="T191" s="284" t="s">
        <v>2134</v>
      </c>
      <c r="U191" s="284" t="s">
        <v>3820</v>
      </c>
      <c r="W191" s="25"/>
      <c r="X191" s="25"/>
      <c r="Z191" s="25"/>
      <c r="AA191" s="77"/>
      <c r="AB191" s="77"/>
      <c r="AC191" s="274"/>
      <c r="AD191" s="40"/>
      <c r="AE191" s="77"/>
      <c r="AF191" s="77"/>
      <c r="AG191" s="77"/>
      <c r="AH191" s="77"/>
      <c r="AI191" s="77"/>
      <c r="AJ191" s="77"/>
      <c r="AK191" s="77"/>
    </row>
    <row r="192" spans="2:37" ht="10.5" customHeight="1">
      <c r="B192" s="146"/>
      <c r="C192" s="212" t="s">
        <v>3863</v>
      </c>
      <c r="D192" s="247"/>
      <c r="E192" s="146"/>
      <c r="F192" s="146" t="s">
        <v>327</v>
      </c>
      <c r="G192" s="599" t="s">
        <v>3864</v>
      </c>
      <c r="H192" s="599" t="s">
        <v>3743</v>
      </c>
      <c r="I192" s="600" t="s">
        <v>3830</v>
      </c>
      <c r="J192" s="600" t="s">
        <v>3547</v>
      </c>
      <c r="K192" s="601" t="s">
        <v>3865</v>
      </c>
      <c r="L192" s="602" t="s">
        <v>3708</v>
      </c>
      <c r="M192" s="1516" t="s">
        <v>3546</v>
      </c>
      <c r="N192" s="602" t="s">
        <v>2734</v>
      </c>
      <c r="O192" s="753" t="s">
        <v>3866</v>
      </c>
      <c r="P192" s="150" t="s">
        <v>3867</v>
      </c>
      <c r="Q192" s="150"/>
      <c r="R192" s="98"/>
      <c r="S192" s="146"/>
      <c r="T192" s="284" t="s">
        <v>3868</v>
      </c>
      <c r="U192" s="284" t="s">
        <v>3869</v>
      </c>
      <c r="W192" s="25"/>
      <c r="X192" s="25"/>
      <c r="Z192" s="25"/>
      <c r="AA192" s="77"/>
      <c r="AB192" s="77"/>
      <c r="AC192" s="274"/>
      <c r="AD192" s="40"/>
      <c r="AE192" s="77"/>
      <c r="AF192" s="77"/>
      <c r="AG192" s="77"/>
      <c r="AH192" s="77"/>
      <c r="AI192" s="77"/>
      <c r="AJ192" s="77"/>
      <c r="AK192" s="77"/>
    </row>
    <row r="193" spans="2:37" ht="10.5" customHeight="1">
      <c r="B193" s="146"/>
      <c r="C193" s="212" t="s">
        <v>3870</v>
      </c>
      <c r="D193" s="247"/>
      <c r="E193" s="146"/>
      <c r="F193" s="146" t="s">
        <v>334</v>
      </c>
      <c r="G193" s="599" t="s">
        <v>3871</v>
      </c>
      <c r="H193" s="599" t="s">
        <v>3743</v>
      </c>
      <c r="I193" s="603" t="s">
        <v>3734</v>
      </c>
      <c r="J193" s="603" t="s">
        <v>2727</v>
      </c>
      <c r="K193" s="601" t="s">
        <v>3750</v>
      </c>
      <c r="L193" s="602" t="s">
        <v>3729</v>
      </c>
      <c r="M193" s="1516" t="s">
        <v>3543</v>
      </c>
      <c r="N193" s="602" t="s">
        <v>2732</v>
      </c>
      <c r="O193" s="753" t="s">
        <v>3872</v>
      </c>
      <c r="P193" s="150" t="s">
        <v>3873</v>
      </c>
      <c r="Q193" s="150"/>
      <c r="R193" s="98"/>
      <c r="S193" s="146"/>
      <c r="T193" s="284" t="s">
        <v>3874</v>
      </c>
      <c r="U193" s="284" t="s">
        <v>3875</v>
      </c>
      <c r="W193" s="25"/>
      <c r="X193" s="25"/>
      <c r="Z193" s="25"/>
      <c r="AA193" s="77"/>
      <c r="AB193" s="77"/>
      <c r="AC193" s="274"/>
      <c r="AD193" s="40"/>
      <c r="AE193" s="77"/>
      <c r="AF193" s="77"/>
      <c r="AG193" s="77"/>
      <c r="AH193" s="77"/>
      <c r="AI193" s="77"/>
      <c r="AJ193" s="77"/>
      <c r="AK193" s="77"/>
    </row>
    <row r="194" spans="2:37" ht="10.5" customHeight="1">
      <c r="B194" s="146"/>
      <c r="C194" s="212" t="s">
        <v>2170</v>
      </c>
      <c r="D194" s="247"/>
      <c r="E194" s="146"/>
      <c r="F194" s="146" t="s">
        <v>335</v>
      </c>
      <c r="G194" s="599" t="s">
        <v>3876</v>
      </c>
      <c r="H194" s="599" t="s">
        <v>3743</v>
      </c>
      <c r="I194" s="600" t="s">
        <v>3877</v>
      </c>
      <c r="J194" s="600" t="s">
        <v>2727</v>
      </c>
      <c r="K194" s="601" t="s">
        <v>3878</v>
      </c>
      <c r="L194" s="602" t="s">
        <v>3729</v>
      </c>
      <c r="M194" s="1516" t="s">
        <v>3543</v>
      </c>
      <c r="N194" s="602" t="s">
        <v>2731</v>
      </c>
      <c r="O194" s="753" t="s">
        <v>3879</v>
      </c>
      <c r="P194" s="150" t="s">
        <v>3880</v>
      </c>
      <c r="Q194" s="150"/>
      <c r="R194" s="146"/>
      <c r="S194" s="146"/>
      <c r="T194" s="284" t="s">
        <v>2731</v>
      </c>
      <c r="U194" s="284" t="s">
        <v>3876</v>
      </c>
      <c r="W194" s="25"/>
      <c r="X194" s="25"/>
      <c r="Z194" s="25"/>
      <c r="AA194" s="77"/>
      <c r="AB194" s="77"/>
      <c r="AC194" s="274"/>
      <c r="AD194" s="40"/>
      <c r="AE194" s="77"/>
      <c r="AF194" s="77"/>
      <c r="AG194" s="77"/>
      <c r="AH194" s="77"/>
      <c r="AI194" s="77"/>
      <c r="AJ194" s="77"/>
      <c r="AK194" s="77"/>
    </row>
    <row r="195" spans="2:37" ht="10.5" customHeight="1">
      <c r="B195" s="146"/>
      <c r="C195" s="211" t="s">
        <v>3881</v>
      </c>
      <c r="D195" s="247"/>
      <c r="E195" s="146"/>
      <c r="F195" s="146" t="s">
        <v>328</v>
      </c>
      <c r="G195" s="599" t="s">
        <v>3882</v>
      </c>
      <c r="H195" s="599" t="s">
        <v>3705</v>
      </c>
      <c r="I195" s="600" t="s">
        <v>3835</v>
      </c>
      <c r="J195" s="600" t="s">
        <v>3547</v>
      </c>
      <c r="K195" s="601" t="s">
        <v>3883</v>
      </c>
      <c r="L195" s="602" t="s">
        <v>3708</v>
      </c>
      <c r="M195" s="1516" t="s">
        <v>3546</v>
      </c>
      <c r="N195" s="602" t="s">
        <v>2130</v>
      </c>
      <c r="O195" s="753" t="s">
        <v>3884</v>
      </c>
      <c r="P195" s="150" t="s">
        <v>3885</v>
      </c>
      <c r="Q195" s="284"/>
      <c r="R195" s="98"/>
      <c r="S195" s="146"/>
      <c r="T195" s="284" t="s">
        <v>2732</v>
      </c>
      <c r="U195" s="284" t="s">
        <v>154</v>
      </c>
      <c r="W195" s="25"/>
      <c r="X195" s="25"/>
      <c r="Z195" s="25"/>
      <c r="AA195" s="77"/>
      <c r="AB195" s="77"/>
      <c r="AC195" s="274"/>
      <c r="AD195" s="40"/>
      <c r="AE195" s="77"/>
      <c r="AF195" s="77"/>
      <c r="AG195" s="77"/>
      <c r="AH195" s="77"/>
      <c r="AI195" s="77"/>
      <c r="AJ195" s="77"/>
      <c r="AK195" s="77"/>
    </row>
    <row r="196" spans="2:37" ht="10.5" customHeight="1">
      <c r="B196" s="146"/>
      <c r="C196" s="211" t="s">
        <v>3886</v>
      </c>
      <c r="D196" s="247"/>
      <c r="E196" s="146"/>
      <c r="F196" s="146" t="s">
        <v>330</v>
      </c>
      <c r="G196" s="599" t="s">
        <v>101</v>
      </c>
      <c r="H196" s="599" t="s">
        <v>778</v>
      </c>
      <c r="I196" s="603" t="s">
        <v>3734</v>
      </c>
      <c r="J196" s="603" t="s">
        <v>2727</v>
      </c>
      <c r="K196" s="601" t="s">
        <v>3750</v>
      </c>
      <c r="L196" s="602" t="s">
        <v>3729</v>
      </c>
      <c r="M196" s="1516" t="s">
        <v>3543</v>
      </c>
      <c r="N196" s="602" t="s">
        <v>2732</v>
      </c>
      <c r="O196" s="753" t="s">
        <v>3887</v>
      </c>
      <c r="P196" s="150" t="s">
        <v>3888</v>
      </c>
      <c r="Q196" s="284"/>
      <c r="R196" s="98"/>
      <c r="S196" s="146"/>
      <c r="T196" s="284" t="s">
        <v>3889</v>
      </c>
      <c r="U196" s="284" t="s">
        <v>3890</v>
      </c>
      <c r="W196" s="25"/>
      <c r="X196" s="25"/>
      <c r="Z196" s="25"/>
      <c r="AA196" s="77"/>
      <c r="AB196" s="77"/>
      <c r="AC196" s="274"/>
      <c r="AD196" s="40"/>
      <c r="AE196" s="77"/>
      <c r="AF196" s="77"/>
      <c r="AG196" s="77"/>
      <c r="AH196" s="77"/>
      <c r="AI196" s="77"/>
      <c r="AJ196" s="77"/>
      <c r="AK196" s="77"/>
    </row>
    <row r="197" spans="2:37" ht="10.5" customHeight="1">
      <c r="B197" s="146"/>
      <c r="C197" s="212" t="s">
        <v>3891</v>
      </c>
      <c r="D197" s="247"/>
      <c r="E197" s="146"/>
      <c r="F197" s="146" t="s">
        <v>331</v>
      </c>
      <c r="G197" s="599" t="s">
        <v>3858</v>
      </c>
      <c r="H197" s="599" t="s">
        <v>3705</v>
      </c>
      <c r="I197" s="600" t="s">
        <v>3841</v>
      </c>
      <c r="J197" s="600" t="s">
        <v>3547</v>
      </c>
      <c r="K197" s="601" t="s">
        <v>3892</v>
      </c>
      <c r="L197" s="602" t="s">
        <v>3708</v>
      </c>
      <c r="M197" s="1516" t="s">
        <v>3546</v>
      </c>
      <c r="N197" s="602" t="s">
        <v>2216</v>
      </c>
      <c r="O197" s="753" t="s">
        <v>3893</v>
      </c>
      <c r="P197" s="150" t="s">
        <v>3894</v>
      </c>
      <c r="Q197" s="284"/>
      <c r="R197" s="98"/>
      <c r="S197" s="146"/>
      <c r="T197" s="284" t="s">
        <v>3895</v>
      </c>
      <c r="U197" s="284" t="s">
        <v>171</v>
      </c>
      <c r="W197" s="25"/>
      <c r="X197" s="25"/>
      <c r="Z197" s="25"/>
      <c r="AA197" s="77"/>
      <c r="AB197" s="77"/>
      <c r="AC197" s="274"/>
      <c r="AD197" s="40"/>
      <c r="AE197" s="77"/>
      <c r="AF197" s="77"/>
      <c r="AG197" s="77"/>
      <c r="AH197" s="77"/>
      <c r="AI197" s="77"/>
      <c r="AJ197" s="77"/>
      <c r="AK197" s="77"/>
    </row>
    <row r="198" spans="2:37" ht="10.5" customHeight="1">
      <c r="B198" s="146"/>
      <c r="C198" s="211" t="s">
        <v>3896</v>
      </c>
      <c r="D198" s="247"/>
      <c r="E198" s="146"/>
      <c r="F198" s="146" t="s">
        <v>332</v>
      </c>
      <c r="G198" s="599" t="s">
        <v>121</v>
      </c>
      <c r="H198" s="599" t="s">
        <v>778</v>
      </c>
      <c r="I198" s="603" t="s">
        <v>3734</v>
      </c>
      <c r="J198" s="603" t="s">
        <v>2727</v>
      </c>
      <c r="K198" s="601" t="s">
        <v>3750</v>
      </c>
      <c r="L198" s="602" t="s">
        <v>3729</v>
      </c>
      <c r="M198" s="1516" t="s">
        <v>3543</v>
      </c>
      <c r="N198" s="602" t="s">
        <v>2732</v>
      </c>
      <c r="O198" s="753" t="s">
        <v>3897</v>
      </c>
      <c r="P198" s="150" t="s">
        <v>3898</v>
      </c>
      <c r="Q198" s="284"/>
      <c r="R198" s="98"/>
      <c r="S198" s="146"/>
      <c r="T198" s="284" t="s">
        <v>2733</v>
      </c>
      <c r="U198" s="284" t="s">
        <v>3899</v>
      </c>
      <c r="W198" s="25"/>
      <c r="X198" s="25"/>
      <c r="Z198" s="25"/>
      <c r="AA198" s="77"/>
      <c r="AB198" s="77"/>
      <c r="AC198" s="274"/>
      <c r="AD198" s="40"/>
      <c r="AE198" s="77"/>
      <c r="AF198" s="77"/>
      <c r="AG198" s="77"/>
      <c r="AH198" s="77"/>
      <c r="AI198" s="77"/>
      <c r="AJ198" s="77"/>
      <c r="AK198" s="77"/>
    </row>
    <row r="199" spans="2:37" ht="10.5" customHeight="1">
      <c r="B199" s="146"/>
      <c r="C199" s="212" t="s">
        <v>3900</v>
      </c>
      <c r="D199" s="247"/>
      <c r="E199" s="146"/>
      <c r="F199" s="146" t="s">
        <v>329</v>
      </c>
      <c r="G199" s="599" t="s">
        <v>3818</v>
      </c>
      <c r="H199" s="599" t="s">
        <v>3705</v>
      </c>
      <c r="I199" s="600" t="s">
        <v>3847</v>
      </c>
      <c r="J199" s="600" t="s">
        <v>3547</v>
      </c>
      <c r="K199" s="601" t="s">
        <v>3901</v>
      </c>
      <c r="L199" s="602" t="s">
        <v>3708</v>
      </c>
      <c r="M199" s="1516" t="s">
        <v>3546</v>
      </c>
      <c r="N199" s="602" t="s">
        <v>2216</v>
      </c>
      <c r="O199" s="753" t="s">
        <v>3902</v>
      </c>
      <c r="P199" s="150" t="s">
        <v>3903</v>
      </c>
      <c r="Q199" s="284"/>
      <c r="R199" s="98"/>
      <c r="S199" s="146"/>
      <c r="T199" s="284" t="s">
        <v>58</v>
      </c>
      <c r="U199" s="284" t="s">
        <v>121</v>
      </c>
      <c r="W199" s="25"/>
      <c r="X199" s="25"/>
      <c r="Z199" s="25"/>
      <c r="AA199" s="77"/>
      <c r="AB199" s="77"/>
      <c r="AC199" s="274"/>
      <c r="AD199" s="40"/>
      <c r="AE199" s="77"/>
      <c r="AF199" s="77"/>
      <c r="AG199" s="77"/>
      <c r="AH199" s="77"/>
      <c r="AI199" s="77"/>
      <c r="AJ199" s="77"/>
      <c r="AK199" s="77"/>
    </row>
    <row r="200" spans="2:37" ht="10.5" customHeight="1">
      <c r="B200" s="146"/>
      <c r="C200" s="212" t="s">
        <v>3904</v>
      </c>
      <c r="D200" s="247"/>
      <c r="E200" s="146"/>
      <c r="F200" s="146" t="s">
        <v>333</v>
      </c>
      <c r="G200" s="599" t="s">
        <v>3905</v>
      </c>
      <c r="H200" s="599" t="s">
        <v>3705</v>
      </c>
      <c r="I200" s="600" t="s">
        <v>3854</v>
      </c>
      <c r="J200" s="600" t="s">
        <v>3547</v>
      </c>
      <c r="K200" s="601" t="s">
        <v>3906</v>
      </c>
      <c r="L200" s="602" t="s">
        <v>3708</v>
      </c>
      <c r="M200" s="1516" t="s">
        <v>3546</v>
      </c>
      <c r="N200" s="602" t="s">
        <v>2130</v>
      </c>
      <c r="O200" s="753" t="s">
        <v>3907</v>
      </c>
      <c r="P200" s="150" t="s">
        <v>3908</v>
      </c>
      <c r="Q200" s="284"/>
      <c r="R200" s="98"/>
      <c r="S200" s="146"/>
      <c r="T200" s="284" t="s">
        <v>3909</v>
      </c>
      <c r="U200" s="284" t="s">
        <v>3910</v>
      </c>
      <c r="W200" s="25"/>
      <c r="X200" s="25"/>
      <c r="Z200" s="25"/>
      <c r="AA200" s="77"/>
      <c r="AB200" s="77"/>
      <c r="AC200" s="274"/>
      <c r="AD200" s="40"/>
      <c r="AE200" s="77"/>
      <c r="AF200" s="77"/>
      <c r="AG200" s="77"/>
      <c r="AH200" s="77"/>
      <c r="AI200" s="77"/>
      <c r="AJ200" s="77"/>
      <c r="AK200" s="77"/>
    </row>
    <row r="201" spans="2:37" ht="10.5" customHeight="1">
      <c r="B201" s="146"/>
      <c r="C201" s="212" t="s">
        <v>3911</v>
      </c>
      <c r="D201" s="247"/>
      <c r="E201" s="146"/>
      <c r="F201" s="146" t="s">
        <v>336</v>
      </c>
      <c r="G201" s="599" t="s">
        <v>118</v>
      </c>
      <c r="H201" s="599" t="s">
        <v>3743</v>
      </c>
      <c r="I201" s="603" t="s">
        <v>3741</v>
      </c>
      <c r="J201" s="603" t="s">
        <v>2727</v>
      </c>
      <c r="K201" s="601" t="s">
        <v>3808</v>
      </c>
      <c r="L201" s="602" t="s">
        <v>3729</v>
      </c>
      <c r="M201" s="1516" t="s">
        <v>3546</v>
      </c>
      <c r="N201" s="602" t="s">
        <v>2733</v>
      </c>
      <c r="O201" s="753" t="s">
        <v>3912</v>
      </c>
      <c r="P201" s="150" t="s">
        <v>3913</v>
      </c>
      <c r="Q201" s="284"/>
      <c r="R201" s="98"/>
      <c r="S201" s="146"/>
      <c r="T201" s="284" t="s">
        <v>3914</v>
      </c>
      <c r="U201" s="284" t="s">
        <v>3915</v>
      </c>
      <c r="W201" s="25"/>
      <c r="X201" s="25"/>
      <c r="Z201" s="25"/>
      <c r="AA201" s="77"/>
      <c r="AB201" s="77"/>
      <c r="AC201" s="274"/>
      <c r="AD201" s="40"/>
      <c r="AE201" s="77"/>
      <c r="AF201" s="77"/>
      <c r="AG201" s="77"/>
      <c r="AH201" s="77"/>
      <c r="AI201" s="77"/>
      <c r="AJ201" s="77"/>
      <c r="AK201" s="77"/>
    </row>
    <row r="202" spans="2:37" ht="10.5" customHeight="1">
      <c r="B202" s="146"/>
      <c r="C202" s="212" t="s">
        <v>3916</v>
      </c>
      <c r="D202" s="247"/>
      <c r="E202" s="146"/>
      <c r="F202" s="146" t="s">
        <v>337</v>
      </c>
      <c r="G202" s="599" t="s">
        <v>3740</v>
      </c>
      <c r="H202" s="599" t="s">
        <v>3705</v>
      </c>
      <c r="I202" s="600" t="s">
        <v>3863</v>
      </c>
      <c r="J202" s="600" t="s">
        <v>3547</v>
      </c>
      <c r="K202" s="601" t="s">
        <v>3917</v>
      </c>
      <c r="L202" s="602" t="s">
        <v>3708</v>
      </c>
      <c r="M202" s="1516" t="s">
        <v>3546</v>
      </c>
      <c r="N202" s="602" t="s">
        <v>2216</v>
      </c>
      <c r="O202" s="753" t="s">
        <v>3918</v>
      </c>
      <c r="P202" s="150" t="s">
        <v>3919</v>
      </c>
      <c r="Q202" s="284"/>
      <c r="R202" s="98"/>
      <c r="S202" s="146"/>
      <c r="T202" s="284" t="s">
        <v>3920</v>
      </c>
      <c r="U202" s="284" t="s">
        <v>96</v>
      </c>
      <c r="W202" s="25"/>
      <c r="X202" s="25"/>
      <c r="Z202" s="25"/>
      <c r="AA202" s="77"/>
      <c r="AB202" s="77"/>
      <c r="AC202" s="274"/>
      <c r="AD202" s="40"/>
      <c r="AE202" s="77"/>
      <c r="AF202" s="77"/>
      <c r="AG202" s="77"/>
      <c r="AH202" s="77"/>
      <c r="AI202" s="77"/>
      <c r="AJ202" s="77"/>
      <c r="AK202" s="77"/>
    </row>
    <row r="203" spans="2:37" ht="10.5" customHeight="1">
      <c r="B203" s="146"/>
      <c r="C203" s="212" t="s">
        <v>3921</v>
      </c>
      <c r="D203" s="247"/>
      <c r="E203" s="146"/>
      <c r="F203" s="146" t="s">
        <v>338</v>
      </c>
      <c r="G203" s="599" t="s">
        <v>116</v>
      </c>
      <c r="H203" s="599" t="s">
        <v>3705</v>
      </c>
      <c r="I203" s="603" t="s">
        <v>3734</v>
      </c>
      <c r="J203" s="603" t="s">
        <v>2727</v>
      </c>
      <c r="K203" s="601" t="s">
        <v>3750</v>
      </c>
      <c r="L203" s="602" t="s">
        <v>3729</v>
      </c>
      <c r="M203" s="1516" t="s">
        <v>3543</v>
      </c>
      <c r="N203" s="602" t="s">
        <v>2732</v>
      </c>
      <c r="O203" s="753" t="s">
        <v>3922</v>
      </c>
      <c r="P203" s="150" t="s">
        <v>3923</v>
      </c>
      <c r="Q203" s="284"/>
      <c r="R203" s="98"/>
      <c r="S203" s="146"/>
      <c r="T203" s="284" t="s">
        <v>3924</v>
      </c>
      <c r="U203" s="284" t="s">
        <v>3925</v>
      </c>
      <c r="W203" s="25"/>
      <c r="X203" s="25"/>
      <c r="Z203" s="25"/>
      <c r="AA203" s="77"/>
      <c r="AB203" s="77"/>
      <c r="AC203" s="274"/>
      <c r="AD203" s="40"/>
      <c r="AE203" s="77"/>
      <c r="AF203" s="77"/>
      <c r="AG203" s="77"/>
      <c r="AH203" s="77"/>
      <c r="AI203" s="77"/>
      <c r="AJ203" s="77"/>
      <c r="AK203" s="77"/>
    </row>
    <row r="204" spans="2:37" ht="10.5" customHeight="1">
      <c r="B204" s="146"/>
      <c r="C204" s="212" t="s">
        <v>3926</v>
      </c>
      <c r="D204" s="247"/>
      <c r="E204" s="146"/>
      <c r="F204" s="146" t="s">
        <v>339</v>
      </c>
      <c r="G204" s="599" t="s">
        <v>3927</v>
      </c>
      <c r="H204" s="599" t="s">
        <v>3743</v>
      </c>
      <c r="I204" s="603" t="s">
        <v>2736</v>
      </c>
      <c r="J204" s="603" t="s">
        <v>2727</v>
      </c>
      <c r="K204" s="601" t="s">
        <v>3771</v>
      </c>
      <c r="L204" s="602" t="s">
        <v>3729</v>
      </c>
      <c r="M204" s="1516" t="s">
        <v>3546</v>
      </c>
      <c r="N204" s="602" t="s">
        <v>2736</v>
      </c>
      <c r="O204" s="753" t="s">
        <v>3928</v>
      </c>
      <c r="P204" s="150" t="s">
        <v>3929</v>
      </c>
      <c r="Q204" s="284"/>
      <c r="R204" s="98"/>
      <c r="S204" s="146"/>
      <c r="T204" s="284" t="s">
        <v>3930</v>
      </c>
      <c r="U204" s="284" t="s">
        <v>3890</v>
      </c>
      <c r="W204" s="25"/>
      <c r="X204" s="25"/>
      <c r="Z204" s="25"/>
      <c r="AA204" s="77"/>
      <c r="AB204" s="77"/>
      <c r="AC204" s="274"/>
      <c r="AD204" s="40"/>
      <c r="AE204" s="77"/>
      <c r="AF204" s="77"/>
      <c r="AG204" s="77"/>
      <c r="AH204" s="77"/>
      <c r="AI204" s="77"/>
      <c r="AJ204" s="77"/>
      <c r="AK204" s="77"/>
    </row>
    <row r="205" spans="2:37" ht="10.5" customHeight="1">
      <c r="B205" s="146"/>
      <c r="C205" s="212" t="s">
        <v>3931</v>
      </c>
      <c r="D205" s="247"/>
      <c r="E205" s="146"/>
      <c r="F205" s="146" t="s">
        <v>340</v>
      </c>
      <c r="G205" s="599" t="s">
        <v>3840</v>
      </c>
      <c r="H205" s="599" t="s">
        <v>3705</v>
      </c>
      <c r="I205" s="600" t="s">
        <v>3870</v>
      </c>
      <c r="J205" s="600" t="s">
        <v>3547</v>
      </c>
      <c r="K205" s="601" t="s">
        <v>3932</v>
      </c>
      <c r="L205" s="602" t="s">
        <v>3708</v>
      </c>
      <c r="M205" s="1516" t="s">
        <v>3546</v>
      </c>
      <c r="N205" s="602" t="s">
        <v>2130</v>
      </c>
      <c r="O205" s="753" t="s">
        <v>3933</v>
      </c>
      <c r="P205" s="150" t="s">
        <v>3934</v>
      </c>
      <c r="Q205" s="284"/>
      <c r="R205" s="98"/>
      <c r="S205" s="146"/>
      <c r="T205" s="284" t="s">
        <v>3735</v>
      </c>
      <c r="U205" s="284" t="s">
        <v>164</v>
      </c>
      <c r="W205" s="25"/>
      <c r="X205" s="25"/>
      <c r="Z205" s="25"/>
      <c r="AA205" s="77"/>
      <c r="AB205" s="77"/>
      <c r="AC205" s="274"/>
      <c r="AD205" s="40"/>
      <c r="AE205" s="77"/>
      <c r="AF205" s="77"/>
      <c r="AG205" s="77"/>
      <c r="AH205" s="77"/>
      <c r="AI205" s="77"/>
      <c r="AJ205" s="77"/>
      <c r="AK205" s="77"/>
    </row>
    <row r="206" spans="2:37" ht="10.5" customHeight="1">
      <c r="B206" s="146"/>
      <c r="C206" s="212" t="s">
        <v>3935</v>
      </c>
      <c r="D206" s="247"/>
      <c r="E206" s="146"/>
      <c r="F206" s="146" t="s">
        <v>341</v>
      </c>
      <c r="G206" s="599" t="s">
        <v>3936</v>
      </c>
      <c r="H206" s="599" t="s">
        <v>3743</v>
      </c>
      <c r="I206" s="603" t="s">
        <v>2734</v>
      </c>
      <c r="J206" s="603" t="s">
        <v>2727</v>
      </c>
      <c r="K206" s="601" t="s">
        <v>3842</v>
      </c>
      <c r="L206" s="602" t="s">
        <v>3729</v>
      </c>
      <c r="M206" s="1516" t="s">
        <v>3546</v>
      </c>
      <c r="N206" s="602" t="s">
        <v>2734</v>
      </c>
      <c r="O206" s="753" t="s">
        <v>3937</v>
      </c>
      <c r="P206" s="150" t="s">
        <v>3938</v>
      </c>
      <c r="Q206" s="284"/>
      <c r="R206" s="98"/>
      <c r="S206" s="146"/>
      <c r="T206" s="284" t="s">
        <v>3939</v>
      </c>
      <c r="U206" s="284" t="s">
        <v>3871</v>
      </c>
      <c r="W206" s="25"/>
      <c r="X206" s="25"/>
      <c r="Z206" s="25"/>
      <c r="AA206" s="77"/>
      <c r="AB206" s="77"/>
      <c r="AC206" s="274"/>
      <c r="AD206" s="40"/>
      <c r="AE206" s="77"/>
      <c r="AF206" s="77"/>
      <c r="AG206" s="77"/>
      <c r="AH206" s="77"/>
      <c r="AI206" s="77"/>
      <c r="AJ206" s="77"/>
      <c r="AK206" s="77"/>
    </row>
    <row r="207" spans="2:37" ht="10.5" customHeight="1">
      <c r="B207" s="146"/>
      <c r="C207" s="212" t="s">
        <v>3940</v>
      </c>
      <c r="D207" s="247"/>
      <c r="E207" s="146"/>
      <c r="F207" s="146" t="s">
        <v>342</v>
      </c>
      <c r="G207" s="599" t="s">
        <v>3941</v>
      </c>
      <c r="H207" s="599" t="s">
        <v>3743</v>
      </c>
      <c r="I207" s="603" t="s">
        <v>3734</v>
      </c>
      <c r="J207" s="603" t="s">
        <v>2727</v>
      </c>
      <c r="K207" s="601" t="s">
        <v>3750</v>
      </c>
      <c r="L207" s="602" t="s">
        <v>3729</v>
      </c>
      <c r="M207" s="1516" t="s">
        <v>3543</v>
      </c>
      <c r="N207" s="602" t="s">
        <v>2732</v>
      </c>
      <c r="O207" s="753" t="s">
        <v>3942</v>
      </c>
      <c r="P207" s="150" t="s">
        <v>3943</v>
      </c>
      <c r="Q207" s="284"/>
      <c r="R207" s="98"/>
      <c r="S207" s="146"/>
      <c r="T207" s="284" t="s">
        <v>3944</v>
      </c>
      <c r="U207" s="284" t="s">
        <v>3775</v>
      </c>
      <c r="W207" s="25"/>
      <c r="X207" s="25"/>
      <c r="Z207" s="25"/>
      <c r="AA207" s="77"/>
      <c r="AB207" s="77"/>
      <c r="AC207" s="274"/>
      <c r="AD207" s="40"/>
      <c r="AE207" s="77"/>
      <c r="AF207" s="77"/>
      <c r="AG207" s="77"/>
      <c r="AH207" s="77"/>
      <c r="AI207" s="77"/>
      <c r="AJ207" s="77"/>
      <c r="AK207" s="77"/>
    </row>
    <row r="208" spans="2:37" ht="10.5" customHeight="1">
      <c r="B208" s="146"/>
      <c r="C208" s="212" t="s">
        <v>3945</v>
      </c>
      <c r="D208" s="247"/>
      <c r="E208" s="146"/>
      <c r="F208" s="146" t="s">
        <v>343</v>
      </c>
      <c r="G208" s="599" t="s">
        <v>3890</v>
      </c>
      <c r="H208" s="599" t="s">
        <v>3705</v>
      </c>
      <c r="I208" s="600" t="s">
        <v>3881</v>
      </c>
      <c r="J208" s="600" t="s">
        <v>3547</v>
      </c>
      <c r="K208" s="601" t="s">
        <v>3946</v>
      </c>
      <c r="L208" s="602" t="s">
        <v>3708</v>
      </c>
      <c r="M208" s="1516" t="s">
        <v>3546</v>
      </c>
      <c r="N208" s="602" t="s">
        <v>2130</v>
      </c>
      <c r="O208" s="753" t="s">
        <v>3947</v>
      </c>
      <c r="P208" s="150" t="s">
        <v>3948</v>
      </c>
      <c r="Q208" s="284"/>
      <c r="R208" s="98"/>
      <c r="S208" s="146"/>
      <c r="T208" s="284" t="s">
        <v>3733</v>
      </c>
      <c r="U208" s="284" t="s">
        <v>3915</v>
      </c>
      <c r="W208" s="25"/>
      <c r="X208" s="25"/>
      <c r="Z208" s="25"/>
      <c r="AA208" s="77"/>
      <c r="AB208" s="77"/>
      <c r="AC208" s="274"/>
      <c r="AD208" s="40"/>
      <c r="AE208" s="77"/>
      <c r="AF208" s="77"/>
      <c r="AG208" s="77"/>
      <c r="AH208" s="77"/>
      <c r="AI208" s="77"/>
      <c r="AJ208" s="77"/>
      <c r="AK208" s="77"/>
    </row>
    <row r="209" spans="2:37" ht="10.5" customHeight="1">
      <c r="B209" s="146"/>
      <c r="C209" s="212" t="s">
        <v>3949</v>
      </c>
      <c r="D209" s="247"/>
      <c r="E209" s="146"/>
      <c r="F209" s="146" t="s">
        <v>344</v>
      </c>
      <c r="G209" s="599" t="s">
        <v>3950</v>
      </c>
      <c r="H209" s="599" t="s">
        <v>778</v>
      </c>
      <c r="I209" s="603" t="s">
        <v>3734</v>
      </c>
      <c r="J209" s="603" t="s">
        <v>2727</v>
      </c>
      <c r="K209" s="601" t="s">
        <v>3750</v>
      </c>
      <c r="L209" s="602" t="s">
        <v>3729</v>
      </c>
      <c r="M209" s="1516" t="s">
        <v>3543</v>
      </c>
      <c r="N209" s="602" t="s">
        <v>2732</v>
      </c>
      <c r="O209" s="753" t="s">
        <v>3951</v>
      </c>
      <c r="P209" s="150" t="s">
        <v>3952</v>
      </c>
      <c r="Q209" s="284"/>
      <c r="R209" s="98"/>
      <c r="S209" s="146"/>
      <c r="T209" s="284" t="s">
        <v>3953</v>
      </c>
      <c r="U209" s="284" t="s">
        <v>3954</v>
      </c>
      <c r="W209" s="25"/>
      <c r="X209" s="25"/>
      <c r="Z209" s="25"/>
      <c r="AA209" s="77"/>
      <c r="AB209" s="77"/>
      <c r="AC209" s="274"/>
      <c r="AD209" s="40"/>
      <c r="AE209" s="77"/>
      <c r="AF209" s="77"/>
      <c r="AG209" s="77"/>
      <c r="AH209" s="77"/>
      <c r="AI209" s="77"/>
      <c r="AJ209" s="77"/>
      <c r="AK209" s="77"/>
    </row>
    <row r="210" spans="2:37" ht="10.5" customHeight="1">
      <c r="B210" s="146"/>
      <c r="C210" s="212" t="s">
        <v>3955</v>
      </c>
      <c r="D210" s="247"/>
      <c r="E210" s="146"/>
      <c r="F210" s="146" t="s">
        <v>345</v>
      </c>
      <c r="G210" s="599" t="s">
        <v>3956</v>
      </c>
      <c r="H210" s="599" t="s">
        <v>3705</v>
      </c>
      <c r="I210" s="600" t="s">
        <v>3886</v>
      </c>
      <c r="J210" s="600" t="s">
        <v>3547</v>
      </c>
      <c r="K210" s="601" t="s">
        <v>3957</v>
      </c>
      <c r="L210" s="602" t="s">
        <v>3708</v>
      </c>
      <c r="M210" s="1516" t="s">
        <v>3546</v>
      </c>
      <c r="N210" s="602" t="s">
        <v>2736</v>
      </c>
      <c r="O210" s="753" t="s">
        <v>3958</v>
      </c>
      <c r="P210" s="150" t="s">
        <v>3959</v>
      </c>
      <c r="Q210" s="284"/>
      <c r="R210" s="98"/>
      <c r="S210" s="146"/>
      <c r="T210" s="146" t="s">
        <v>3960</v>
      </c>
      <c r="U210" s="146" t="s">
        <v>3704</v>
      </c>
      <c r="W210" s="25"/>
      <c r="X210" s="25"/>
      <c r="Z210" s="25"/>
      <c r="AA210" s="77"/>
      <c r="AB210" s="77"/>
      <c r="AC210" s="40"/>
      <c r="AD210" s="40"/>
      <c r="AE210" s="77"/>
      <c r="AF210" s="77"/>
      <c r="AG210" s="77"/>
      <c r="AH210" s="77"/>
      <c r="AI210" s="77"/>
      <c r="AJ210" s="77"/>
      <c r="AK210" s="77"/>
    </row>
    <row r="211" spans="2:37" ht="10.5" customHeight="1">
      <c r="B211" s="146"/>
      <c r="C211" s="212" t="s">
        <v>3961</v>
      </c>
      <c r="D211" s="247"/>
      <c r="E211" s="146"/>
      <c r="F211" s="146" t="s">
        <v>347</v>
      </c>
      <c r="G211" s="599" t="s">
        <v>3962</v>
      </c>
      <c r="H211" s="599" t="s">
        <v>3705</v>
      </c>
      <c r="I211" s="600" t="s">
        <v>3891</v>
      </c>
      <c r="J211" s="600" t="s">
        <v>3547</v>
      </c>
      <c r="K211" s="601" t="s">
        <v>3963</v>
      </c>
      <c r="L211" s="602" t="s">
        <v>3708</v>
      </c>
      <c r="M211" s="1516" t="s">
        <v>3546</v>
      </c>
      <c r="N211" s="602" t="s">
        <v>2130</v>
      </c>
      <c r="O211" s="753" t="s">
        <v>3964</v>
      </c>
      <c r="P211" s="150" t="s">
        <v>3965</v>
      </c>
      <c r="Q211" s="284"/>
      <c r="R211" s="98"/>
      <c r="S211" s="146"/>
      <c r="T211" s="284" t="s">
        <v>3966</v>
      </c>
      <c r="U211" s="284" t="s">
        <v>117</v>
      </c>
      <c r="W211" s="25"/>
      <c r="X211" s="25"/>
      <c r="Z211" s="25"/>
      <c r="AA211" s="77"/>
      <c r="AB211" s="77"/>
      <c r="AC211" s="274"/>
      <c r="AD211" s="40"/>
      <c r="AE211" s="77"/>
      <c r="AF211" s="77"/>
      <c r="AG211" s="77"/>
      <c r="AH211" s="77"/>
      <c r="AI211" s="77"/>
      <c r="AJ211" s="77"/>
      <c r="AK211" s="77"/>
    </row>
    <row r="212" spans="2:37" ht="10.5" customHeight="1">
      <c r="B212" s="146"/>
      <c r="C212" s="212" t="s">
        <v>3967</v>
      </c>
      <c r="D212" s="247"/>
      <c r="E212" s="146"/>
      <c r="F212" s="146" t="s">
        <v>346</v>
      </c>
      <c r="G212" s="599" t="s">
        <v>162</v>
      </c>
      <c r="H212" s="599" t="s">
        <v>3705</v>
      </c>
      <c r="I212" s="603" t="s">
        <v>2130</v>
      </c>
      <c r="J212" s="603" t="s">
        <v>2727</v>
      </c>
      <c r="K212" s="601" t="s">
        <v>3968</v>
      </c>
      <c r="L212" s="602" t="s">
        <v>3729</v>
      </c>
      <c r="M212" s="1516" t="s">
        <v>3543</v>
      </c>
      <c r="N212" s="602" t="s">
        <v>2130</v>
      </c>
      <c r="O212" s="753" t="s">
        <v>3969</v>
      </c>
      <c r="P212" s="150" t="s">
        <v>3970</v>
      </c>
      <c r="Q212" s="284"/>
      <c r="R212" s="98"/>
      <c r="S212" s="146"/>
      <c r="T212" s="284" t="s">
        <v>95</v>
      </c>
      <c r="U212" s="284" t="s">
        <v>96</v>
      </c>
      <c r="W212" s="25"/>
      <c r="X212" s="25"/>
      <c r="Z212" s="25"/>
      <c r="AA212" s="77"/>
      <c r="AB212" s="77"/>
      <c r="AC212" s="274"/>
      <c r="AD212" s="40"/>
      <c r="AE212" s="77"/>
      <c r="AF212" s="77"/>
      <c r="AG212" s="77"/>
      <c r="AH212" s="77"/>
      <c r="AI212" s="77"/>
      <c r="AJ212" s="77"/>
      <c r="AK212" s="77"/>
    </row>
    <row r="213" spans="2:37" ht="10.5" customHeight="1">
      <c r="B213" s="146"/>
      <c r="C213" s="212" t="s">
        <v>3971</v>
      </c>
      <c r="D213" s="247"/>
      <c r="E213" s="146"/>
      <c r="F213" s="146" t="s">
        <v>348</v>
      </c>
      <c r="G213" s="599" t="s">
        <v>146</v>
      </c>
      <c r="H213" s="599" t="s">
        <v>3743</v>
      </c>
      <c r="I213" s="603" t="s">
        <v>3734</v>
      </c>
      <c r="J213" s="603" t="s">
        <v>2727</v>
      </c>
      <c r="K213" s="601" t="s">
        <v>3750</v>
      </c>
      <c r="L213" s="602" t="s">
        <v>3729</v>
      </c>
      <c r="M213" s="1516" t="s">
        <v>3543</v>
      </c>
      <c r="N213" s="602" t="s">
        <v>2732</v>
      </c>
      <c r="O213" s="753" t="s">
        <v>3972</v>
      </c>
      <c r="P213" s="150" t="s">
        <v>3973</v>
      </c>
      <c r="Q213" s="284"/>
      <c r="R213" s="98"/>
      <c r="S213" s="146"/>
      <c r="T213" s="284" t="s">
        <v>3974</v>
      </c>
      <c r="U213" s="284" t="s">
        <v>3975</v>
      </c>
      <c r="W213" s="25"/>
      <c r="X213" s="25"/>
      <c r="Z213" s="25"/>
      <c r="AA213" s="77"/>
      <c r="AB213" s="77"/>
      <c r="AC213" s="274"/>
      <c r="AD213" s="40"/>
      <c r="AE213" s="77"/>
      <c r="AF213" s="77"/>
      <c r="AG213" s="77"/>
      <c r="AH213" s="77"/>
      <c r="AI213" s="77"/>
      <c r="AJ213" s="77"/>
      <c r="AK213" s="77"/>
    </row>
    <row r="214" spans="2:37" ht="10.5" customHeight="1">
      <c r="B214" s="146"/>
      <c r="C214" s="212" t="s">
        <v>3976</v>
      </c>
      <c r="D214" s="247"/>
      <c r="E214" s="146"/>
      <c r="F214" s="146" t="s">
        <v>350</v>
      </c>
      <c r="G214" s="599" t="s">
        <v>3977</v>
      </c>
      <c r="H214" s="599" t="s">
        <v>3705</v>
      </c>
      <c r="I214" s="600" t="s">
        <v>3896</v>
      </c>
      <c r="J214" s="600" t="s">
        <v>3547</v>
      </c>
      <c r="K214" s="601" t="s">
        <v>3978</v>
      </c>
      <c r="L214" s="602" t="s">
        <v>3708</v>
      </c>
      <c r="M214" s="1516" t="s">
        <v>3546</v>
      </c>
      <c r="N214" s="602" t="s">
        <v>2130</v>
      </c>
      <c r="O214" s="753" t="s">
        <v>3979</v>
      </c>
      <c r="P214" s="150" t="s">
        <v>3980</v>
      </c>
      <c r="Q214" s="284"/>
      <c r="R214" s="98"/>
      <c r="S214" s="146"/>
      <c r="T214" s="284" t="s">
        <v>3981</v>
      </c>
      <c r="U214" s="284" t="s">
        <v>3905</v>
      </c>
      <c r="W214" s="25"/>
      <c r="X214" s="25"/>
      <c r="Z214" s="25"/>
      <c r="AA214" s="77"/>
      <c r="AB214" s="77"/>
      <c r="AC214" s="274"/>
      <c r="AD214" s="40"/>
      <c r="AE214" s="77"/>
      <c r="AF214" s="77"/>
      <c r="AG214" s="77"/>
      <c r="AH214" s="77"/>
      <c r="AI214" s="77"/>
      <c r="AJ214" s="77"/>
      <c r="AK214" s="77"/>
    </row>
    <row r="215" spans="2:37" ht="10.5" customHeight="1">
      <c r="B215" s="146"/>
      <c r="C215" s="212" t="s">
        <v>3982</v>
      </c>
      <c r="D215" s="247"/>
      <c r="E215" s="146"/>
      <c r="F215" s="146" t="s">
        <v>349</v>
      </c>
      <c r="G215" s="599" t="s">
        <v>3983</v>
      </c>
      <c r="H215" s="599" t="s">
        <v>3705</v>
      </c>
      <c r="I215" s="600" t="s">
        <v>2216</v>
      </c>
      <c r="J215" s="600" t="s">
        <v>2727</v>
      </c>
      <c r="K215" s="601" t="s">
        <v>3791</v>
      </c>
      <c r="L215" s="602" t="s">
        <v>3729</v>
      </c>
      <c r="M215" s="1516" t="s">
        <v>3546</v>
      </c>
      <c r="N215" s="602" t="s">
        <v>2216</v>
      </c>
      <c r="O215" s="753" t="s">
        <v>3984</v>
      </c>
      <c r="P215" s="150" t="s">
        <v>3985</v>
      </c>
      <c r="Q215" s="284"/>
      <c r="R215" s="98"/>
      <c r="S215" s="146"/>
      <c r="T215" s="284" t="s">
        <v>3986</v>
      </c>
      <c r="U215" s="284" t="s">
        <v>171</v>
      </c>
      <c r="W215" s="25"/>
      <c r="X215" s="25"/>
      <c r="Z215" s="25"/>
      <c r="AA215" s="77"/>
      <c r="AB215" s="77"/>
      <c r="AC215" s="274"/>
      <c r="AD215" s="40"/>
      <c r="AE215" s="77"/>
      <c r="AF215" s="77"/>
      <c r="AG215" s="77"/>
      <c r="AH215" s="77"/>
      <c r="AI215" s="77"/>
      <c r="AJ215" s="77"/>
      <c r="AK215" s="77"/>
    </row>
    <row r="216" spans="2:37" ht="10.5" customHeight="1">
      <c r="B216" s="146"/>
      <c r="C216" s="211" t="s">
        <v>3987</v>
      </c>
      <c r="D216" s="247"/>
      <c r="E216" s="146"/>
      <c r="F216" s="146" t="s">
        <v>351</v>
      </c>
      <c r="G216" s="599" t="s">
        <v>3988</v>
      </c>
      <c r="H216" s="599" t="s">
        <v>3705</v>
      </c>
      <c r="I216" s="603" t="s">
        <v>2737</v>
      </c>
      <c r="J216" s="603" t="s">
        <v>2727</v>
      </c>
      <c r="K216" s="601" t="s">
        <v>3797</v>
      </c>
      <c r="L216" s="602" t="s">
        <v>3729</v>
      </c>
      <c r="M216" s="1516" t="s">
        <v>3546</v>
      </c>
      <c r="N216" s="602" t="s">
        <v>2737</v>
      </c>
      <c r="O216" s="753" t="s">
        <v>3989</v>
      </c>
      <c r="P216" s="150" t="s">
        <v>3990</v>
      </c>
      <c r="Q216" s="150"/>
      <c r="R216" s="98"/>
      <c r="S216" s="146"/>
      <c r="T216" s="284" t="s">
        <v>3991</v>
      </c>
      <c r="U216" s="284" t="s">
        <v>3992</v>
      </c>
      <c r="W216" s="25"/>
      <c r="X216" s="25"/>
      <c r="Z216" s="25"/>
      <c r="AA216" s="77"/>
      <c r="AB216" s="77"/>
      <c r="AC216" s="274"/>
      <c r="AD216" s="274"/>
      <c r="AE216" s="77"/>
      <c r="AF216" s="77"/>
      <c r="AG216" s="77"/>
      <c r="AH216" s="77"/>
      <c r="AI216" s="77"/>
      <c r="AJ216" s="77"/>
      <c r="AK216" s="77"/>
    </row>
    <row r="217" spans="2:37" ht="10.5" customHeight="1">
      <c r="B217" s="146"/>
      <c r="C217" s="212" t="s">
        <v>3993</v>
      </c>
      <c r="D217" s="247"/>
      <c r="E217" s="146"/>
      <c r="F217" s="300"/>
      <c r="G217" s="599" t="s">
        <v>3994</v>
      </c>
      <c r="H217" s="599" t="s">
        <v>3743</v>
      </c>
      <c r="I217" s="600" t="s">
        <v>3900</v>
      </c>
      <c r="J217" s="600" t="s">
        <v>3547</v>
      </c>
      <c r="K217" s="601" t="s">
        <v>3995</v>
      </c>
      <c r="L217" s="602" t="s">
        <v>3708</v>
      </c>
      <c r="M217" s="1516" t="s">
        <v>3546</v>
      </c>
      <c r="N217" s="602" t="s">
        <v>2731</v>
      </c>
      <c r="O217" s="753" t="s">
        <v>3996</v>
      </c>
      <c r="P217" s="150" t="s">
        <v>3997</v>
      </c>
      <c r="Q217" s="150"/>
      <c r="R217" s="98"/>
      <c r="S217" s="146"/>
      <c r="T217" s="284" t="s">
        <v>3998</v>
      </c>
      <c r="U217" s="284" t="s">
        <v>3999</v>
      </c>
      <c r="W217" s="25"/>
      <c r="X217" s="25"/>
      <c r="Z217" s="25"/>
      <c r="AA217" s="77"/>
      <c r="AB217" s="77"/>
      <c r="AC217" s="274"/>
      <c r="AD217" s="40"/>
      <c r="AE217" s="77"/>
      <c r="AF217" s="77"/>
      <c r="AG217" s="77"/>
      <c r="AH217" s="77"/>
      <c r="AI217" s="77"/>
      <c r="AJ217" s="77"/>
      <c r="AK217" s="77"/>
    </row>
    <row r="218" spans="2:37" ht="10.5" customHeight="1">
      <c r="B218" s="146"/>
      <c r="C218" s="211" t="s">
        <v>4000</v>
      </c>
      <c r="D218" s="247"/>
      <c r="E218" s="146"/>
      <c r="F218" s="300"/>
      <c r="G218" s="599" t="s">
        <v>4001</v>
      </c>
      <c r="H218" s="599" t="s">
        <v>3705</v>
      </c>
      <c r="I218" s="600" t="s">
        <v>3904</v>
      </c>
      <c r="J218" s="600" t="s">
        <v>3547</v>
      </c>
      <c r="K218" s="601" t="s">
        <v>4002</v>
      </c>
      <c r="L218" s="602" t="s">
        <v>3708</v>
      </c>
      <c r="M218" s="1516" t="s">
        <v>3546</v>
      </c>
      <c r="N218" s="602" t="s">
        <v>2733</v>
      </c>
      <c r="O218" s="753" t="s">
        <v>4003</v>
      </c>
      <c r="P218" s="150" t="s">
        <v>4004</v>
      </c>
      <c r="Q218" s="150"/>
      <c r="R218" s="98"/>
      <c r="S218" s="146"/>
      <c r="T218" s="146" t="s">
        <v>4005</v>
      </c>
      <c r="U218" s="146" t="s">
        <v>4006</v>
      </c>
      <c r="W218" s="25"/>
      <c r="X218" s="25"/>
      <c r="Z218" s="25"/>
      <c r="AA218" s="77"/>
      <c r="AB218" s="77"/>
      <c r="AC218" s="40"/>
      <c r="AD218" s="40"/>
      <c r="AE218" s="77"/>
      <c r="AF218" s="77"/>
      <c r="AG218" s="77"/>
      <c r="AH218" s="77"/>
      <c r="AI218" s="77"/>
      <c r="AJ218" s="77"/>
      <c r="AK218" s="77"/>
    </row>
    <row r="219" spans="2:37" ht="10.5" customHeight="1">
      <c r="B219" s="146"/>
      <c r="C219" s="212" t="s">
        <v>4007</v>
      </c>
      <c r="D219" s="247"/>
      <c r="E219" s="146"/>
      <c r="F219" s="300"/>
      <c r="G219" s="599" t="s">
        <v>117</v>
      </c>
      <c r="H219" s="599" t="s">
        <v>3705</v>
      </c>
      <c r="I219" s="600" t="s">
        <v>3911</v>
      </c>
      <c r="J219" s="600" t="s">
        <v>3547</v>
      </c>
      <c r="K219" s="601" t="s">
        <v>4008</v>
      </c>
      <c r="L219" s="602" t="s">
        <v>3708</v>
      </c>
      <c r="M219" s="1516" t="s">
        <v>3546</v>
      </c>
      <c r="N219" s="602" t="s">
        <v>2737</v>
      </c>
      <c r="O219" s="753" t="s">
        <v>4009</v>
      </c>
      <c r="P219" s="150" t="s">
        <v>4010</v>
      </c>
      <c r="Q219" s="150"/>
      <c r="R219" s="98"/>
      <c r="S219" s="146"/>
      <c r="T219" s="284" t="s">
        <v>4011</v>
      </c>
      <c r="U219" s="284" t="s">
        <v>4012</v>
      </c>
      <c r="W219" s="25"/>
      <c r="X219" s="25"/>
      <c r="Z219" s="25"/>
      <c r="AA219" s="77"/>
      <c r="AB219" s="77"/>
      <c r="AC219" s="274"/>
      <c r="AD219" s="274"/>
      <c r="AE219" s="77"/>
      <c r="AF219" s="77"/>
      <c r="AG219" s="77"/>
      <c r="AH219" s="77"/>
      <c r="AI219" s="77"/>
      <c r="AJ219" s="77"/>
      <c r="AK219" s="77"/>
    </row>
    <row r="220" spans="2:37" ht="10.5" customHeight="1">
      <c r="B220" s="146"/>
      <c r="C220" s="212" t="s">
        <v>4013</v>
      </c>
      <c r="D220" s="247"/>
      <c r="E220" s="146"/>
      <c r="F220" s="300"/>
      <c r="G220" s="599" t="s">
        <v>4014</v>
      </c>
      <c r="H220" s="599" t="s">
        <v>3743</v>
      </c>
      <c r="I220" s="600" t="s">
        <v>3916</v>
      </c>
      <c r="J220" s="600" t="s">
        <v>3547</v>
      </c>
      <c r="K220" s="601" t="s">
        <v>4015</v>
      </c>
      <c r="L220" s="602" t="s">
        <v>3708</v>
      </c>
      <c r="M220" s="1516" t="s">
        <v>3546</v>
      </c>
      <c r="N220" s="602" t="s">
        <v>2732</v>
      </c>
      <c r="O220" s="753" t="s">
        <v>4016</v>
      </c>
      <c r="P220" s="150" t="s">
        <v>4017</v>
      </c>
      <c r="Q220" s="150"/>
      <c r="R220" s="98"/>
      <c r="S220" s="146"/>
      <c r="T220" s="284" t="s">
        <v>98</v>
      </c>
      <c r="U220" s="284" t="s">
        <v>99</v>
      </c>
      <c r="W220" s="25"/>
      <c r="X220" s="25"/>
      <c r="Z220" s="25"/>
      <c r="AA220" s="77"/>
      <c r="AB220" s="77"/>
      <c r="AC220" s="274"/>
      <c r="AD220" s="40"/>
      <c r="AE220" s="77"/>
      <c r="AF220" s="77"/>
      <c r="AG220" s="77"/>
      <c r="AH220" s="77"/>
      <c r="AI220" s="77"/>
      <c r="AJ220" s="77"/>
      <c r="AK220" s="77"/>
    </row>
    <row r="221" spans="2:37" ht="10.5" customHeight="1">
      <c r="B221" s="146"/>
      <c r="C221" s="212" t="s">
        <v>4018</v>
      </c>
      <c r="D221" s="247"/>
      <c r="E221" s="146"/>
      <c r="F221" s="300"/>
      <c r="G221" s="599" t="s">
        <v>4019</v>
      </c>
      <c r="H221" s="599" t="s">
        <v>3743</v>
      </c>
      <c r="I221" s="603" t="s">
        <v>3734</v>
      </c>
      <c r="J221" s="603" t="s">
        <v>2727</v>
      </c>
      <c r="K221" s="601" t="s">
        <v>3750</v>
      </c>
      <c r="L221" s="602" t="s">
        <v>3729</v>
      </c>
      <c r="M221" s="1516" t="s">
        <v>3543</v>
      </c>
      <c r="N221" s="602" t="s">
        <v>2732</v>
      </c>
      <c r="O221" s="753" t="s">
        <v>4020</v>
      </c>
      <c r="P221" s="150" t="s">
        <v>4021</v>
      </c>
      <c r="Q221" s="150"/>
      <c r="R221" s="98"/>
      <c r="S221" s="146"/>
      <c r="T221" s="284" t="s">
        <v>4022</v>
      </c>
      <c r="U221" s="284" t="s">
        <v>4023</v>
      </c>
      <c r="W221" s="25"/>
      <c r="X221" s="25"/>
      <c r="Z221" s="25"/>
      <c r="AA221" s="77"/>
      <c r="AB221" s="77"/>
      <c r="AC221" s="274"/>
      <c r="AD221" s="40"/>
      <c r="AE221" s="77"/>
      <c r="AF221" s="77"/>
      <c r="AG221" s="77"/>
      <c r="AH221" s="77"/>
      <c r="AI221" s="77"/>
      <c r="AJ221" s="77"/>
      <c r="AK221" s="77"/>
    </row>
    <row r="222" spans="2:37" ht="10.5" customHeight="1">
      <c r="B222" s="146"/>
      <c r="C222" s="212" t="s">
        <v>4024</v>
      </c>
      <c r="D222" s="247"/>
      <c r="E222" s="146"/>
      <c r="F222" s="300"/>
      <c r="G222" s="599" t="s">
        <v>176</v>
      </c>
      <c r="H222" s="599" t="s">
        <v>3743</v>
      </c>
      <c r="I222" s="603" t="s">
        <v>2205</v>
      </c>
      <c r="J222" s="603" t="s">
        <v>2727</v>
      </c>
      <c r="K222" s="601" t="s">
        <v>4025</v>
      </c>
      <c r="L222" s="602" t="s">
        <v>3729</v>
      </c>
      <c r="M222" s="1516" t="s">
        <v>3543</v>
      </c>
      <c r="N222" s="602" t="s">
        <v>2732</v>
      </c>
      <c r="O222" s="753" t="s">
        <v>4026</v>
      </c>
      <c r="P222" s="150" t="s">
        <v>4027</v>
      </c>
      <c r="Q222" s="150"/>
      <c r="R222" s="98"/>
      <c r="S222" s="146"/>
      <c r="T222" s="284" t="s">
        <v>4028</v>
      </c>
      <c r="U222" s="284" t="s">
        <v>3977</v>
      </c>
      <c r="W222" s="25"/>
      <c r="X222" s="25"/>
      <c r="Z222" s="25"/>
      <c r="AA222" s="77"/>
      <c r="AB222" s="77"/>
      <c r="AC222" s="274"/>
      <c r="AD222" s="40"/>
      <c r="AE222" s="77"/>
      <c r="AF222" s="77"/>
      <c r="AG222" s="77"/>
      <c r="AH222" s="77"/>
      <c r="AI222" s="77"/>
      <c r="AJ222" s="77"/>
      <c r="AK222" s="77"/>
    </row>
    <row r="223" spans="2:37" ht="10.5" customHeight="1">
      <c r="B223" s="146"/>
      <c r="C223" s="212" t="s">
        <v>4029</v>
      </c>
      <c r="D223" s="247"/>
      <c r="E223" s="146"/>
      <c r="F223" s="300"/>
      <c r="G223" s="599" t="s">
        <v>4030</v>
      </c>
      <c r="H223" s="599" t="s">
        <v>3743</v>
      </c>
      <c r="I223" s="603" t="s">
        <v>3734</v>
      </c>
      <c r="J223" s="603" t="s">
        <v>2727</v>
      </c>
      <c r="K223" s="601" t="s">
        <v>3750</v>
      </c>
      <c r="L223" s="602" t="s">
        <v>3729</v>
      </c>
      <c r="M223" s="1516" t="s">
        <v>3543</v>
      </c>
      <c r="N223" s="602" t="s">
        <v>2732</v>
      </c>
      <c r="O223" s="753" t="s">
        <v>4031</v>
      </c>
      <c r="P223" s="150" t="s">
        <v>4032</v>
      </c>
      <c r="Q223" s="150"/>
      <c r="R223" s="98"/>
      <c r="S223" s="146"/>
      <c r="T223" s="284" t="s">
        <v>4033</v>
      </c>
      <c r="U223" s="284" t="s">
        <v>138</v>
      </c>
      <c r="W223" s="25"/>
      <c r="X223" s="25"/>
      <c r="Z223" s="25"/>
      <c r="AA223" s="77"/>
      <c r="AB223" s="77"/>
      <c r="AC223" s="274"/>
      <c r="AD223" s="40"/>
      <c r="AE223" s="77"/>
      <c r="AF223" s="77"/>
      <c r="AG223" s="77"/>
      <c r="AH223" s="77"/>
      <c r="AI223" s="77"/>
      <c r="AJ223" s="77"/>
      <c r="AK223" s="77"/>
    </row>
    <row r="224" spans="2:37" ht="10.5" customHeight="1">
      <c r="B224" s="146"/>
      <c r="C224" s="212" t="s">
        <v>4034</v>
      </c>
      <c r="D224" s="247"/>
      <c r="E224" s="146"/>
      <c r="F224" s="300"/>
      <c r="G224" s="599" t="s">
        <v>4035</v>
      </c>
      <c r="H224" s="599" t="s">
        <v>3743</v>
      </c>
      <c r="I224" s="603" t="s">
        <v>3921</v>
      </c>
      <c r="J224" s="603" t="s">
        <v>3547</v>
      </c>
      <c r="K224" s="601" t="s">
        <v>4036</v>
      </c>
      <c r="L224" s="602" t="s">
        <v>3708</v>
      </c>
      <c r="M224" s="1516" t="s">
        <v>3546</v>
      </c>
      <c r="N224" s="602" t="s">
        <v>2731</v>
      </c>
      <c r="O224" s="753" t="s">
        <v>4037</v>
      </c>
      <c r="P224" s="150" t="s">
        <v>4038</v>
      </c>
      <c r="Q224" s="150"/>
      <c r="R224" s="98"/>
      <c r="S224" s="146"/>
      <c r="T224" s="284" t="s">
        <v>4039</v>
      </c>
      <c r="U224" s="284" t="s">
        <v>4014</v>
      </c>
      <c r="W224" s="25"/>
      <c r="X224" s="25"/>
      <c r="Z224" s="25"/>
      <c r="AA224" s="77"/>
      <c r="AB224" s="77"/>
      <c r="AC224" s="274"/>
      <c r="AD224" s="40"/>
      <c r="AE224" s="77"/>
      <c r="AF224" s="77"/>
      <c r="AG224" s="77"/>
      <c r="AH224" s="77"/>
      <c r="AI224" s="77"/>
      <c r="AJ224" s="77"/>
      <c r="AK224" s="77"/>
    </row>
    <row r="225" spans="2:37" ht="10.5" customHeight="1">
      <c r="B225" s="146"/>
      <c r="C225" s="212" t="s">
        <v>4040</v>
      </c>
      <c r="D225" s="247"/>
      <c r="E225" s="146"/>
      <c r="F225" s="300"/>
      <c r="G225" s="599" t="s">
        <v>154</v>
      </c>
      <c r="H225" s="599" t="s">
        <v>778</v>
      </c>
      <c r="I225" s="603" t="s">
        <v>3734</v>
      </c>
      <c r="J225" s="603" t="s">
        <v>2727</v>
      </c>
      <c r="K225" s="601" t="s">
        <v>3750</v>
      </c>
      <c r="L225" s="602" t="s">
        <v>3729</v>
      </c>
      <c r="M225" s="1516" t="s">
        <v>3543</v>
      </c>
      <c r="N225" s="602" t="s">
        <v>2732</v>
      </c>
      <c r="O225" s="753" t="s">
        <v>4041</v>
      </c>
      <c r="P225" s="150" t="s">
        <v>4042</v>
      </c>
      <c r="Q225" s="150"/>
      <c r="R225" s="98"/>
      <c r="S225" s="146"/>
      <c r="T225" s="284" t="s">
        <v>4043</v>
      </c>
      <c r="U225" s="284" t="s">
        <v>3882</v>
      </c>
      <c r="W225" s="25"/>
      <c r="X225" s="25"/>
      <c r="Z225" s="25"/>
      <c r="AA225" s="77"/>
      <c r="AB225" s="77"/>
      <c r="AC225" s="274"/>
      <c r="AD225" s="40"/>
      <c r="AE225" s="77"/>
      <c r="AF225" s="77"/>
      <c r="AG225" s="77"/>
      <c r="AH225" s="77"/>
      <c r="AI225" s="77"/>
      <c r="AJ225" s="77"/>
      <c r="AK225" s="77"/>
    </row>
    <row r="226" spans="2:37" ht="10.5" customHeight="1">
      <c r="B226" s="146"/>
      <c r="C226" s="212" t="s">
        <v>2736</v>
      </c>
      <c r="D226" s="247"/>
      <c r="E226" s="146"/>
      <c r="F226" s="300"/>
      <c r="G226" s="599" t="s">
        <v>4044</v>
      </c>
      <c r="H226" s="599" t="s">
        <v>3743</v>
      </c>
      <c r="I226" s="600" t="s">
        <v>3931</v>
      </c>
      <c r="J226" s="600" t="s">
        <v>3547</v>
      </c>
      <c r="K226" s="601" t="s">
        <v>4045</v>
      </c>
      <c r="L226" s="602" t="s">
        <v>3708</v>
      </c>
      <c r="M226" s="1516" t="s">
        <v>3546</v>
      </c>
      <c r="N226" s="602" t="s">
        <v>2732</v>
      </c>
      <c r="O226" s="753" t="s">
        <v>4046</v>
      </c>
      <c r="P226" s="150" t="s">
        <v>4047</v>
      </c>
      <c r="Q226" s="150"/>
      <c r="R226" s="98"/>
      <c r="S226" s="146"/>
      <c r="T226" s="146" t="s">
        <v>4048</v>
      </c>
      <c r="U226" s="146" t="s">
        <v>3899</v>
      </c>
      <c r="W226" s="25"/>
      <c r="X226" s="25"/>
      <c r="Z226" s="25"/>
      <c r="AA226" s="77"/>
      <c r="AB226" s="77"/>
      <c r="AC226" s="40"/>
      <c r="AD226" s="40"/>
      <c r="AE226" s="77"/>
      <c r="AF226" s="77"/>
      <c r="AG226" s="77"/>
      <c r="AH226" s="77"/>
      <c r="AI226" s="77"/>
      <c r="AJ226" s="77"/>
      <c r="AK226" s="77"/>
    </row>
    <row r="227" spans="2:37" ht="10.5" customHeight="1">
      <c r="B227" s="146"/>
      <c r="C227" s="212" t="s">
        <v>4049</v>
      </c>
      <c r="D227" s="247"/>
      <c r="E227" s="146"/>
      <c r="F227" s="300"/>
      <c r="G227" s="599" t="s">
        <v>4050</v>
      </c>
      <c r="H227" s="599" t="s">
        <v>3743</v>
      </c>
      <c r="I227" s="603" t="s">
        <v>3935</v>
      </c>
      <c r="J227" s="603" t="s">
        <v>3547</v>
      </c>
      <c r="K227" s="601" t="s">
        <v>4051</v>
      </c>
      <c r="L227" s="602" t="s">
        <v>3708</v>
      </c>
      <c r="M227" s="1516" t="s">
        <v>3546</v>
      </c>
      <c r="N227" s="602" t="s">
        <v>2733</v>
      </c>
      <c r="O227" s="753" t="s">
        <v>4052</v>
      </c>
      <c r="P227" s="150" t="s">
        <v>4053</v>
      </c>
      <c r="Q227" s="150"/>
      <c r="R227" s="98"/>
      <c r="S227" s="146"/>
      <c r="T227" s="284" t="s">
        <v>4054</v>
      </c>
      <c r="U227" s="284" t="s">
        <v>4006</v>
      </c>
      <c r="W227" s="25"/>
      <c r="X227" s="25"/>
      <c r="Z227" s="25"/>
      <c r="AA227" s="77"/>
      <c r="AB227" s="77"/>
      <c r="AC227" s="274"/>
      <c r="AD227" s="40"/>
      <c r="AE227" s="77"/>
      <c r="AF227" s="77"/>
      <c r="AG227" s="77"/>
      <c r="AH227" s="77"/>
      <c r="AI227" s="77"/>
      <c r="AJ227" s="77"/>
      <c r="AK227" s="77"/>
    </row>
    <row r="228" spans="2:37" ht="10.5" customHeight="1">
      <c r="B228" s="146"/>
      <c r="C228" s="212" t="s">
        <v>4055</v>
      </c>
      <c r="D228" s="247"/>
      <c r="E228" s="146"/>
      <c r="F228" s="300"/>
      <c r="G228" s="599" t="s">
        <v>111</v>
      </c>
      <c r="H228" s="599" t="s">
        <v>778</v>
      </c>
      <c r="I228" s="600" t="s">
        <v>3782</v>
      </c>
      <c r="J228" s="600" t="s">
        <v>2727</v>
      </c>
      <c r="K228" s="601" t="s">
        <v>3784</v>
      </c>
      <c r="L228" s="602" t="s">
        <v>3729</v>
      </c>
      <c r="M228" s="1516" t="s">
        <v>3543</v>
      </c>
      <c r="N228" s="602" t="s">
        <v>2737</v>
      </c>
      <c r="O228" s="753" t="s">
        <v>4056</v>
      </c>
      <c r="P228" s="150" t="s">
        <v>4057</v>
      </c>
      <c r="Q228" s="150"/>
      <c r="R228" s="98"/>
      <c r="S228" s="146"/>
      <c r="T228" s="284" t="s">
        <v>100</v>
      </c>
      <c r="U228" s="284" t="s">
        <v>101</v>
      </c>
      <c r="W228" s="25"/>
      <c r="X228" s="25"/>
      <c r="Z228" s="25"/>
      <c r="AA228" s="77"/>
      <c r="AB228" s="77"/>
      <c r="AC228" s="274"/>
      <c r="AD228" s="40"/>
      <c r="AE228" s="77"/>
      <c r="AF228" s="77"/>
      <c r="AG228" s="77"/>
      <c r="AH228" s="77"/>
      <c r="AI228" s="77"/>
      <c r="AJ228" s="77"/>
      <c r="AK228" s="77"/>
    </row>
    <row r="229" spans="2:37" ht="10.5" customHeight="1">
      <c r="B229" s="146"/>
      <c r="C229" s="212" t="s">
        <v>4058</v>
      </c>
      <c r="D229" s="247"/>
      <c r="E229" s="146"/>
      <c r="F229" s="300"/>
      <c r="G229" s="599" t="s">
        <v>4059</v>
      </c>
      <c r="H229" s="599" t="s">
        <v>3743</v>
      </c>
      <c r="I229" s="600" t="s">
        <v>3940</v>
      </c>
      <c r="J229" s="600" t="s">
        <v>3547</v>
      </c>
      <c r="K229" s="601" t="s">
        <v>4060</v>
      </c>
      <c r="L229" s="602" t="s">
        <v>3708</v>
      </c>
      <c r="M229" s="1516" t="s">
        <v>3546</v>
      </c>
      <c r="N229" s="602" t="s">
        <v>2732</v>
      </c>
      <c r="O229" s="753" t="s">
        <v>4061</v>
      </c>
      <c r="P229" s="150" t="s">
        <v>4062</v>
      </c>
      <c r="Q229" s="150"/>
      <c r="R229" s="98"/>
      <c r="S229" s="146"/>
      <c r="T229" s="284" t="s">
        <v>4063</v>
      </c>
      <c r="U229" s="284" t="s">
        <v>3954</v>
      </c>
      <c r="W229" s="25"/>
      <c r="X229" s="25"/>
      <c r="Z229" s="25"/>
      <c r="AA229" s="77"/>
      <c r="AB229" s="77"/>
      <c r="AC229" s="274"/>
      <c r="AD229" s="40"/>
      <c r="AE229" s="77"/>
      <c r="AF229" s="77"/>
      <c r="AG229" s="77"/>
      <c r="AH229" s="77"/>
      <c r="AI229" s="77"/>
      <c r="AJ229" s="77"/>
      <c r="AK229" s="77"/>
    </row>
    <row r="230" spans="2:37" ht="10.5" customHeight="1">
      <c r="B230" s="146"/>
      <c r="C230" s="212" t="s">
        <v>4064</v>
      </c>
      <c r="D230" s="247"/>
      <c r="E230" s="146"/>
      <c r="F230" s="300"/>
      <c r="G230" s="599" t="s">
        <v>4065</v>
      </c>
      <c r="H230" s="599" t="s">
        <v>3705</v>
      </c>
      <c r="I230" s="600" t="s">
        <v>3945</v>
      </c>
      <c r="J230" s="600" t="s">
        <v>3547</v>
      </c>
      <c r="K230" s="601" t="s">
        <v>4066</v>
      </c>
      <c r="L230" s="602" t="s">
        <v>3708</v>
      </c>
      <c r="M230" s="1516" t="s">
        <v>3546</v>
      </c>
      <c r="N230" s="602" t="s">
        <v>2130</v>
      </c>
      <c r="O230" s="753" t="s">
        <v>4067</v>
      </c>
      <c r="P230" s="150" t="s">
        <v>4068</v>
      </c>
      <c r="Q230" s="150"/>
      <c r="R230" s="98"/>
      <c r="S230" s="146"/>
      <c r="T230" s="284" t="s">
        <v>4069</v>
      </c>
      <c r="U230" s="284" t="s">
        <v>4070</v>
      </c>
      <c r="W230" s="25"/>
      <c r="X230" s="25"/>
      <c r="Z230" s="25"/>
      <c r="AA230" s="77"/>
      <c r="AB230" s="77"/>
      <c r="AC230" s="274"/>
      <c r="AD230" s="40"/>
      <c r="AE230" s="77"/>
      <c r="AF230" s="77"/>
      <c r="AG230" s="77"/>
      <c r="AH230" s="77"/>
      <c r="AI230" s="77"/>
      <c r="AJ230" s="77"/>
      <c r="AK230" s="77"/>
    </row>
    <row r="231" spans="2:37" ht="10.5" customHeight="1">
      <c r="B231" s="146"/>
      <c r="C231" s="212" t="s">
        <v>4071</v>
      </c>
      <c r="D231" s="247"/>
      <c r="E231" s="146"/>
      <c r="F231" s="300"/>
      <c r="G231" s="599" t="s">
        <v>4072</v>
      </c>
      <c r="H231" s="599" t="s">
        <v>3743</v>
      </c>
      <c r="I231" s="600" t="s">
        <v>3949</v>
      </c>
      <c r="J231" s="600" t="s">
        <v>3547</v>
      </c>
      <c r="K231" s="601" t="s">
        <v>4073</v>
      </c>
      <c r="L231" s="602" t="s">
        <v>3708</v>
      </c>
      <c r="M231" s="1516" t="s">
        <v>3546</v>
      </c>
      <c r="N231" s="602" t="s">
        <v>2731</v>
      </c>
      <c r="O231" s="753" t="s">
        <v>4074</v>
      </c>
      <c r="P231" s="150" t="s">
        <v>4075</v>
      </c>
      <c r="Q231" s="150"/>
      <c r="R231" s="98"/>
      <c r="S231" s="146"/>
      <c r="T231" s="284" t="s">
        <v>4076</v>
      </c>
      <c r="U231" s="284" t="s">
        <v>3836</v>
      </c>
      <c r="W231" s="25"/>
      <c r="X231" s="25"/>
      <c r="Z231" s="25"/>
      <c r="AA231" s="77"/>
      <c r="AB231" s="77"/>
      <c r="AC231" s="274"/>
      <c r="AD231" s="40"/>
      <c r="AE231" s="77"/>
      <c r="AF231" s="77"/>
      <c r="AG231" s="77"/>
      <c r="AH231" s="77"/>
      <c r="AI231" s="77"/>
      <c r="AJ231" s="77"/>
      <c r="AK231" s="77"/>
    </row>
    <row r="232" spans="2:37" ht="10.5" customHeight="1">
      <c r="B232" s="146"/>
      <c r="C232" s="212" t="s">
        <v>4077</v>
      </c>
      <c r="D232" s="247"/>
      <c r="E232" s="146"/>
      <c r="F232" s="300"/>
      <c r="G232" s="599" t="s">
        <v>3975</v>
      </c>
      <c r="H232" s="599" t="s">
        <v>3743</v>
      </c>
      <c r="I232" s="603" t="s">
        <v>3734</v>
      </c>
      <c r="J232" s="603" t="s">
        <v>2727</v>
      </c>
      <c r="K232" s="601" t="s">
        <v>3750</v>
      </c>
      <c r="L232" s="602" t="s">
        <v>3729</v>
      </c>
      <c r="M232" s="1516" t="s">
        <v>3543</v>
      </c>
      <c r="N232" s="602" t="s">
        <v>2732</v>
      </c>
      <c r="O232" s="753" t="s">
        <v>4078</v>
      </c>
      <c r="P232" s="150" t="s">
        <v>4079</v>
      </c>
      <c r="Q232" s="150"/>
      <c r="R232" s="98"/>
      <c r="S232" s="146"/>
      <c r="T232" s="284" t="s">
        <v>4080</v>
      </c>
      <c r="U232" s="284" t="s">
        <v>167</v>
      </c>
      <c r="W232" s="25"/>
      <c r="X232" s="25"/>
      <c r="Z232" s="25"/>
      <c r="AA232" s="77"/>
      <c r="AB232" s="77"/>
      <c r="AC232" s="274"/>
      <c r="AD232" s="40"/>
      <c r="AE232" s="77"/>
      <c r="AF232" s="77"/>
      <c r="AG232" s="77"/>
      <c r="AH232" s="77"/>
      <c r="AI232" s="77"/>
      <c r="AJ232" s="77"/>
      <c r="AK232" s="77"/>
    </row>
    <row r="233" spans="2:37" ht="10.5" customHeight="1">
      <c r="B233" s="146"/>
      <c r="C233" s="211" t="s">
        <v>4081</v>
      </c>
      <c r="D233" s="247"/>
      <c r="E233" s="146"/>
      <c r="F233" s="300"/>
      <c r="G233" s="599" t="s">
        <v>164</v>
      </c>
      <c r="H233" s="599" t="s">
        <v>3743</v>
      </c>
      <c r="I233" s="600" t="s">
        <v>3955</v>
      </c>
      <c r="J233" s="600" t="s">
        <v>3547</v>
      </c>
      <c r="K233" s="601" t="s">
        <v>4082</v>
      </c>
      <c r="L233" s="602" t="s">
        <v>3708</v>
      </c>
      <c r="M233" s="1516" t="s">
        <v>3546</v>
      </c>
      <c r="N233" s="602" t="s">
        <v>2731</v>
      </c>
      <c r="O233" s="753" t="s">
        <v>4083</v>
      </c>
      <c r="P233" s="150" t="s">
        <v>4084</v>
      </c>
      <c r="Q233" s="150"/>
      <c r="R233" s="98"/>
      <c r="S233" s="146"/>
      <c r="T233" s="284" t="s">
        <v>4085</v>
      </c>
      <c r="U233" s="284" t="s">
        <v>3994</v>
      </c>
      <c r="W233" s="25"/>
      <c r="X233" s="25"/>
      <c r="Z233" s="25"/>
      <c r="AA233" s="77"/>
      <c r="AB233" s="77"/>
      <c r="AC233" s="40"/>
      <c r="AD233" s="40"/>
      <c r="AE233" s="77"/>
      <c r="AF233" s="77"/>
      <c r="AG233" s="77"/>
      <c r="AH233" s="77"/>
      <c r="AI233" s="77"/>
      <c r="AJ233" s="77"/>
      <c r="AK233" s="77"/>
    </row>
    <row r="234" spans="2:37" ht="10.5" customHeight="1">
      <c r="B234" s="146"/>
      <c r="C234" s="212" t="s">
        <v>4086</v>
      </c>
      <c r="D234" s="247"/>
      <c r="E234" s="146"/>
      <c r="F234" s="300"/>
      <c r="G234" s="599" t="s">
        <v>4087</v>
      </c>
      <c r="H234" s="599" t="s">
        <v>3743</v>
      </c>
      <c r="I234" s="600" t="s">
        <v>3926</v>
      </c>
      <c r="J234" s="600" t="s">
        <v>2727</v>
      </c>
      <c r="K234" s="601" t="s">
        <v>4088</v>
      </c>
      <c r="L234" s="602" t="s">
        <v>3729</v>
      </c>
      <c r="M234" s="1516" t="s">
        <v>3543</v>
      </c>
      <c r="N234" s="602" t="s">
        <v>2732</v>
      </c>
      <c r="O234" s="753" t="s">
        <v>4089</v>
      </c>
      <c r="P234" s="150" t="s">
        <v>4090</v>
      </c>
      <c r="Q234" s="150"/>
      <c r="R234" s="98"/>
      <c r="S234" s="146"/>
      <c r="T234" s="284" t="s">
        <v>4091</v>
      </c>
      <c r="U234" s="284" t="s">
        <v>3853</v>
      </c>
      <c r="W234" s="25"/>
      <c r="X234" s="25"/>
      <c r="Z234" s="25"/>
      <c r="AA234" s="77"/>
      <c r="AB234" s="77"/>
      <c r="AC234" s="274"/>
      <c r="AD234" s="40"/>
      <c r="AE234" s="77"/>
      <c r="AF234" s="77"/>
      <c r="AG234" s="77"/>
      <c r="AH234" s="77"/>
      <c r="AI234" s="77"/>
      <c r="AJ234" s="77"/>
      <c r="AK234" s="77"/>
    </row>
    <row r="235" spans="2:37" ht="10.5" customHeight="1">
      <c r="B235" s="146"/>
      <c r="C235" s="212" t="s">
        <v>4092</v>
      </c>
      <c r="D235" s="247"/>
      <c r="E235" s="146"/>
      <c r="F235" s="300"/>
      <c r="G235" s="604" t="s">
        <v>4093</v>
      </c>
      <c r="H235" s="599" t="s">
        <v>3743</v>
      </c>
      <c r="I235" s="600" t="s">
        <v>3961</v>
      </c>
      <c r="J235" s="600" t="s">
        <v>3547</v>
      </c>
      <c r="K235" s="601" t="s">
        <v>4094</v>
      </c>
      <c r="L235" s="602" t="s">
        <v>3708</v>
      </c>
      <c r="M235" s="1516" t="s">
        <v>3546</v>
      </c>
      <c r="N235" s="602" t="s">
        <v>2736</v>
      </c>
      <c r="O235" s="753" t="s">
        <v>4095</v>
      </c>
      <c r="P235" s="150" t="s">
        <v>4096</v>
      </c>
      <c r="Q235" s="150"/>
      <c r="R235" s="98"/>
      <c r="S235" s="146"/>
      <c r="T235" s="284" t="s">
        <v>4097</v>
      </c>
      <c r="U235" s="284" t="s">
        <v>4098</v>
      </c>
      <c r="W235" s="25"/>
      <c r="X235" s="25"/>
      <c r="Z235" s="25"/>
      <c r="AA235" s="77"/>
      <c r="AB235" s="77"/>
      <c r="AC235" s="274"/>
      <c r="AD235" s="40"/>
      <c r="AE235" s="77"/>
      <c r="AF235" s="77"/>
      <c r="AG235" s="77"/>
      <c r="AH235" s="77"/>
      <c r="AI235" s="77"/>
      <c r="AJ235" s="77"/>
      <c r="AK235" s="77"/>
    </row>
    <row r="236" spans="2:37" ht="10.5" customHeight="1">
      <c r="B236" s="146"/>
      <c r="C236" s="212" t="s">
        <v>4099</v>
      </c>
      <c r="D236" s="247"/>
      <c r="E236" s="146"/>
      <c r="F236" s="300"/>
      <c r="G236" s="599" t="s">
        <v>4100</v>
      </c>
      <c r="H236" s="599" t="s">
        <v>3743</v>
      </c>
      <c r="I236" s="603" t="s">
        <v>3967</v>
      </c>
      <c r="J236" s="603" t="s">
        <v>2727</v>
      </c>
      <c r="K236" s="601" t="s">
        <v>4101</v>
      </c>
      <c r="L236" s="602" t="s">
        <v>3729</v>
      </c>
      <c r="M236" s="1516" t="s">
        <v>3546</v>
      </c>
      <c r="N236" s="602" t="s">
        <v>2732</v>
      </c>
      <c r="O236" s="753" t="s">
        <v>4102</v>
      </c>
      <c r="P236" s="150" t="s">
        <v>4103</v>
      </c>
      <c r="Q236" s="150"/>
      <c r="R236" s="98"/>
      <c r="S236" s="146"/>
      <c r="T236" s="284" t="s">
        <v>4104</v>
      </c>
      <c r="U236" s="284" t="s">
        <v>4100</v>
      </c>
      <c r="W236" s="25"/>
      <c r="X236" s="25"/>
      <c r="Z236" s="25"/>
      <c r="AA236" s="77"/>
      <c r="AB236" s="77"/>
      <c r="AC236" s="274"/>
      <c r="AD236" s="40"/>
      <c r="AE236" s="77"/>
      <c r="AF236" s="77"/>
      <c r="AG236" s="77"/>
      <c r="AH236" s="77"/>
      <c r="AI236" s="77"/>
      <c r="AJ236" s="77"/>
      <c r="AK236" s="77"/>
    </row>
    <row r="237" spans="2:37" ht="10.5" customHeight="1">
      <c r="B237" s="146"/>
      <c r="C237" s="212" t="s">
        <v>4105</v>
      </c>
      <c r="D237" s="247"/>
      <c r="E237" s="146"/>
      <c r="F237" s="300"/>
      <c r="G237" s="599" t="s">
        <v>4106</v>
      </c>
      <c r="H237" s="599" t="s">
        <v>3705</v>
      </c>
      <c r="I237" s="603" t="s">
        <v>2735</v>
      </c>
      <c r="J237" s="603" t="s">
        <v>2727</v>
      </c>
      <c r="K237" s="601" t="s">
        <v>3860</v>
      </c>
      <c r="L237" s="602" t="s">
        <v>3729</v>
      </c>
      <c r="M237" s="1516" t="s">
        <v>3546</v>
      </c>
      <c r="N237" s="602" t="s">
        <v>2735</v>
      </c>
      <c r="O237" s="753" t="s">
        <v>4107</v>
      </c>
      <c r="P237" s="150" t="s">
        <v>4108</v>
      </c>
      <c r="Q237" s="150"/>
      <c r="R237" s="98"/>
      <c r="S237" s="146"/>
      <c r="T237" s="284" t="s">
        <v>4109</v>
      </c>
      <c r="U237" s="284" t="s">
        <v>3890</v>
      </c>
      <c r="W237" s="25"/>
      <c r="X237" s="25"/>
      <c r="Z237" s="25"/>
      <c r="AA237" s="77"/>
      <c r="AB237" s="77"/>
      <c r="AC237" s="274"/>
      <c r="AD237" s="40"/>
      <c r="AE237" s="77"/>
      <c r="AF237" s="77"/>
      <c r="AG237" s="77"/>
      <c r="AH237" s="77"/>
      <c r="AI237" s="77"/>
      <c r="AJ237" s="77"/>
      <c r="AK237" s="77"/>
    </row>
    <row r="238" spans="2:37" ht="10.5" customHeight="1">
      <c r="B238" s="146"/>
      <c r="C238" s="211" t="s">
        <v>4110</v>
      </c>
      <c r="D238" s="247"/>
      <c r="E238" s="146"/>
      <c r="F238" s="300"/>
      <c r="G238" s="599" t="s">
        <v>167</v>
      </c>
      <c r="H238" s="599" t="s">
        <v>3743</v>
      </c>
      <c r="I238" s="600" t="s">
        <v>3971</v>
      </c>
      <c r="J238" s="600" t="s">
        <v>3547</v>
      </c>
      <c r="K238" s="601" t="s">
        <v>4111</v>
      </c>
      <c r="L238" s="602" t="s">
        <v>3708</v>
      </c>
      <c r="M238" s="1516" t="s">
        <v>3546</v>
      </c>
      <c r="N238" s="602" t="s">
        <v>2731</v>
      </c>
      <c r="O238" s="753" t="s">
        <v>4112</v>
      </c>
      <c r="P238" s="150" t="s">
        <v>4113</v>
      </c>
      <c r="Q238" s="150"/>
      <c r="R238" s="98"/>
      <c r="S238" s="146"/>
      <c r="T238" s="284" t="s">
        <v>4114</v>
      </c>
      <c r="U238" s="284" t="s">
        <v>4115</v>
      </c>
      <c r="W238" s="25"/>
      <c r="X238" s="25"/>
      <c r="Z238" s="25"/>
      <c r="AA238" s="77"/>
      <c r="AB238" s="77"/>
      <c r="AC238" s="274"/>
      <c r="AD238" s="40"/>
      <c r="AE238" s="77"/>
      <c r="AF238" s="77"/>
      <c r="AG238" s="77"/>
      <c r="AH238" s="77"/>
      <c r="AI238" s="77"/>
      <c r="AJ238" s="77"/>
      <c r="AK238" s="77"/>
    </row>
    <row r="239" spans="2:37" ht="10.5" customHeight="1">
      <c r="B239" s="146"/>
      <c r="C239" s="212" t="s">
        <v>4116</v>
      </c>
      <c r="D239" s="247"/>
      <c r="E239" s="146"/>
      <c r="F239" s="300"/>
      <c r="G239" s="599" t="s">
        <v>4117</v>
      </c>
      <c r="H239" s="599" t="s">
        <v>3705</v>
      </c>
      <c r="I239" s="603" t="s">
        <v>3734</v>
      </c>
      <c r="J239" s="603" t="s">
        <v>2727</v>
      </c>
      <c r="K239" s="601" t="s">
        <v>3750</v>
      </c>
      <c r="L239" s="602" t="s">
        <v>3729</v>
      </c>
      <c r="M239" s="1516" t="s">
        <v>3543</v>
      </c>
      <c r="N239" s="602" t="s">
        <v>2732</v>
      </c>
      <c r="O239" s="753" t="s">
        <v>4118</v>
      </c>
      <c r="P239" s="150" t="s">
        <v>4119</v>
      </c>
      <c r="Q239" s="150"/>
      <c r="R239" s="98"/>
      <c r="S239" s="146"/>
      <c r="T239" s="284" t="s">
        <v>4120</v>
      </c>
      <c r="U239" s="284" t="s">
        <v>96</v>
      </c>
      <c r="W239" s="25"/>
      <c r="X239" s="25"/>
      <c r="Z239" s="25"/>
      <c r="AA239" s="77"/>
      <c r="AB239" s="77"/>
      <c r="AC239" s="274"/>
      <c r="AD239" s="40"/>
      <c r="AE239" s="77"/>
      <c r="AF239" s="77"/>
      <c r="AG239" s="77"/>
      <c r="AH239" s="77"/>
      <c r="AI239" s="77"/>
      <c r="AJ239" s="77"/>
      <c r="AK239" s="77"/>
    </row>
    <row r="240" spans="2:37" ht="10.5" customHeight="1">
      <c r="B240" s="146"/>
      <c r="C240" s="212" t="s">
        <v>4121</v>
      </c>
      <c r="D240" s="247"/>
      <c r="E240" s="146"/>
      <c r="F240" s="300"/>
      <c r="G240" s="599" t="s">
        <v>99</v>
      </c>
      <c r="H240" s="599" t="s">
        <v>3743</v>
      </c>
      <c r="I240" s="603" t="s">
        <v>3734</v>
      </c>
      <c r="J240" s="603" t="s">
        <v>2727</v>
      </c>
      <c r="K240" s="601" t="s">
        <v>3750</v>
      </c>
      <c r="L240" s="602" t="s">
        <v>3729</v>
      </c>
      <c r="M240" s="1516" t="s">
        <v>3543</v>
      </c>
      <c r="N240" s="602" t="s">
        <v>2732</v>
      </c>
      <c r="O240" s="753" t="s">
        <v>4122</v>
      </c>
      <c r="P240" s="150" t="s">
        <v>4123</v>
      </c>
      <c r="Q240" s="150"/>
      <c r="R240" s="98"/>
      <c r="S240" s="146"/>
      <c r="T240" s="284" t="s">
        <v>4124</v>
      </c>
      <c r="U240" s="284" t="s">
        <v>107</v>
      </c>
      <c r="W240" s="25"/>
      <c r="X240" s="25"/>
      <c r="Z240" s="25"/>
      <c r="AA240" s="77"/>
      <c r="AB240" s="77"/>
      <c r="AC240" s="274"/>
      <c r="AD240" s="40"/>
      <c r="AE240" s="77"/>
      <c r="AF240" s="77"/>
      <c r="AG240" s="77"/>
      <c r="AH240" s="77"/>
      <c r="AI240" s="77"/>
      <c r="AJ240" s="77"/>
      <c r="AK240" s="77"/>
    </row>
    <row r="241" spans="2:37" ht="10.5" customHeight="1">
      <c r="B241" s="146"/>
      <c r="C241" s="212" t="s">
        <v>4125</v>
      </c>
      <c r="D241" s="247"/>
      <c r="E241" s="146"/>
      <c r="F241" s="300"/>
      <c r="G241" s="599" t="s">
        <v>169</v>
      </c>
      <c r="H241" s="599" t="s">
        <v>3705</v>
      </c>
      <c r="I241" s="603" t="s">
        <v>2218</v>
      </c>
      <c r="J241" s="603" t="s">
        <v>2727</v>
      </c>
      <c r="K241" s="601" t="s">
        <v>4126</v>
      </c>
      <c r="L241" s="602" t="s">
        <v>3729</v>
      </c>
      <c r="M241" s="1516" t="s">
        <v>3543</v>
      </c>
      <c r="N241" s="602" t="s">
        <v>2736</v>
      </c>
      <c r="O241" s="753" t="s">
        <v>4127</v>
      </c>
      <c r="P241" s="150" t="s">
        <v>4128</v>
      </c>
      <c r="Q241" s="150"/>
      <c r="R241" s="98"/>
      <c r="S241" s="146"/>
      <c r="T241" s="284" t="s">
        <v>3790</v>
      </c>
      <c r="U241" s="284" t="s">
        <v>4019</v>
      </c>
      <c r="W241" s="25"/>
      <c r="X241" s="25"/>
      <c r="Z241" s="25"/>
      <c r="AA241" s="77"/>
      <c r="AB241" s="77"/>
      <c r="AC241" s="274"/>
      <c r="AD241" s="40"/>
      <c r="AE241" s="77"/>
      <c r="AF241" s="77"/>
      <c r="AG241" s="77"/>
      <c r="AH241" s="77"/>
      <c r="AI241" s="77"/>
      <c r="AJ241" s="77"/>
      <c r="AK241" s="77"/>
    </row>
    <row r="242" spans="2:37" ht="10.5" customHeight="1">
      <c r="B242" s="146"/>
      <c r="C242" s="211" t="s">
        <v>4129</v>
      </c>
      <c r="D242" s="247"/>
      <c r="E242" s="146"/>
      <c r="F242" s="300"/>
      <c r="G242" s="599" t="s">
        <v>4130</v>
      </c>
      <c r="H242" s="599" t="s">
        <v>3705</v>
      </c>
      <c r="I242" s="600" t="s">
        <v>3982</v>
      </c>
      <c r="J242" s="600" t="s">
        <v>3547</v>
      </c>
      <c r="K242" s="601" t="s">
        <v>4131</v>
      </c>
      <c r="L242" s="602" t="s">
        <v>3708</v>
      </c>
      <c r="M242" s="1516" t="s">
        <v>3546</v>
      </c>
      <c r="N242" s="602" t="s">
        <v>2130</v>
      </c>
      <c r="O242" s="753" t="s">
        <v>4132</v>
      </c>
      <c r="P242" s="150" t="s">
        <v>4133</v>
      </c>
      <c r="Q242" s="150"/>
      <c r="R242" s="98"/>
      <c r="S242" s="146"/>
      <c r="T242" s="284" t="s">
        <v>4134</v>
      </c>
      <c r="U242" s="284" t="s">
        <v>3818</v>
      </c>
      <c r="W242" s="25"/>
      <c r="X242" s="25"/>
      <c r="Z242" s="25"/>
      <c r="AA242" s="77"/>
      <c r="AB242" s="77"/>
      <c r="AC242" s="274"/>
      <c r="AD242" s="40"/>
      <c r="AE242" s="77"/>
      <c r="AF242" s="77"/>
      <c r="AG242" s="77"/>
      <c r="AH242" s="77"/>
      <c r="AI242" s="77"/>
      <c r="AJ242" s="77"/>
      <c r="AK242" s="77"/>
    </row>
    <row r="243" spans="2:37" ht="10.5" customHeight="1">
      <c r="B243" s="146"/>
      <c r="C243" s="211" t="s">
        <v>2205</v>
      </c>
      <c r="D243" s="247"/>
      <c r="E243" s="146"/>
      <c r="F243" s="300"/>
      <c r="G243" s="599" t="s">
        <v>3853</v>
      </c>
      <c r="H243" s="599" t="s">
        <v>3743</v>
      </c>
      <c r="I243" s="600" t="s">
        <v>3987</v>
      </c>
      <c r="J243" s="600" t="s">
        <v>3547</v>
      </c>
      <c r="K243" s="601" t="s">
        <v>4135</v>
      </c>
      <c r="L243" s="602" t="s">
        <v>3708</v>
      </c>
      <c r="M243" s="1516" t="s">
        <v>3546</v>
      </c>
      <c r="N243" s="602" t="s">
        <v>2732</v>
      </c>
      <c r="O243" s="753" t="s">
        <v>4136</v>
      </c>
      <c r="P243" s="150" t="s">
        <v>4137</v>
      </c>
      <c r="Q243" s="150"/>
      <c r="R243" s="98"/>
      <c r="S243" s="146"/>
      <c r="T243" s="284" t="s">
        <v>3782</v>
      </c>
      <c r="U243" s="284" t="s">
        <v>111</v>
      </c>
      <c r="W243" s="25"/>
      <c r="X243" s="25"/>
      <c r="Z243" s="25"/>
      <c r="AA243" s="77"/>
      <c r="AB243" s="77"/>
      <c r="AC243" s="274"/>
      <c r="AD243" s="40"/>
      <c r="AE243" s="77"/>
      <c r="AF243" s="77"/>
      <c r="AG243" s="77"/>
      <c r="AH243" s="77"/>
      <c r="AI243" s="77"/>
      <c r="AJ243" s="77"/>
      <c r="AK243" s="77"/>
    </row>
    <row r="244" spans="2:37" ht="10.5" customHeight="1">
      <c r="B244" s="146"/>
      <c r="C244" s="212" t="s">
        <v>2737</v>
      </c>
      <c r="D244" s="247"/>
      <c r="E244" s="146"/>
      <c r="F244" s="300"/>
      <c r="G244" s="599" t="s">
        <v>4138</v>
      </c>
      <c r="H244" s="599" t="s">
        <v>3743</v>
      </c>
      <c r="I244" s="603" t="s">
        <v>3734</v>
      </c>
      <c r="J244" s="603" t="s">
        <v>2727</v>
      </c>
      <c r="K244" s="601" t="s">
        <v>3750</v>
      </c>
      <c r="L244" s="602" t="s">
        <v>3729</v>
      </c>
      <c r="M244" s="1516" t="s">
        <v>3543</v>
      </c>
      <c r="N244" s="602" t="s">
        <v>2732</v>
      </c>
      <c r="O244" s="753" t="s">
        <v>4139</v>
      </c>
      <c r="P244" s="150" t="s">
        <v>4140</v>
      </c>
      <c r="Q244" s="150"/>
      <c r="R244" s="98"/>
      <c r="S244" s="146"/>
      <c r="T244" s="284" t="s">
        <v>4141</v>
      </c>
      <c r="U244" s="284" t="s">
        <v>4100</v>
      </c>
      <c r="W244" s="25"/>
      <c r="X244" s="25"/>
      <c r="Z244" s="25"/>
      <c r="AA244" s="77"/>
      <c r="AB244" s="77"/>
      <c r="AC244" s="274"/>
      <c r="AD244" s="40"/>
      <c r="AE244" s="77"/>
      <c r="AF244" s="77"/>
      <c r="AG244" s="77"/>
      <c r="AH244" s="77"/>
      <c r="AI244" s="77"/>
      <c r="AJ244" s="77"/>
      <c r="AK244" s="77"/>
    </row>
    <row r="245" spans="2:37" ht="10.5" customHeight="1">
      <c r="B245" s="146"/>
      <c r="C245" s="212" t="s">
        <v>4142</v>
      </c>
      <c r="D245" s="247"/>
      <c r="E245" s="146"/>
      <c r="F245" s="300"/>
      <c r="G245" s="599" t="s">
        <v>4143</v>
      </c>
      <c r="H245" s="599" t="s">
        <v>3705</v>
      </c>
      <c r="I245" s="600" t="s">
        <v>3993</v>
      </c>
      <c r="J245" s="600" t="s">
        <v>3547</v>
      </c>
      <c r="K245" s="601" t="s">
        <v>4144</v>
      </c>
      <c r="L245" s="602" t="s">
        <v>3708</v>
      </c>
      <c r="M245" s="1516" t="s">
        <v>3546</v>
      </c>
      <c r="N245" s="602" t="s">
        <v>2216</v>
      </c>
      <c r="O245" s="753" t="s">
        <v>4145</v>
      </c>
      <c r="P245" s="150" t="s">
        <v>4146</v>
      </c>
      <c r="Q245" s="150"/>
      <c r="R245" s="98"/>
      <c r="S245" s="146"/>
      <c r="T245" s="284" t="s">
        <v>4147</v>
      </c>
      <c r="U245" s="284" t="s">
        <v>4070</v>
      </c>
      <c r="W245" s="25"/>
      <c r="X245" s="25"/>
      <c r="Z245" s="25"/>
      <c r="AA245" s="77"/>
      <c r="AB245" s="77"/>
      <c r="AC245" s="274"/>
      <c r="AD245" s="40"/>
      <c r="AE245" s="77"/>
      <c r="AF245" s="77"/>
      <c r="AG245" s="77"/>
      <c r="AH245" s="77"/>
      <c r="AI245" s="77"/>
      <c r="AJ245" s="77"/>
      <c r="AK245" s="77"/>
    </row>
    <row r="246" spans="2:37" ht="10.5" customHeight="1">
      <c r="B246" s="146"/>
      <c r="C246" s="212" t="s">
        <v>4148</v>
      </c>
      <c r="D246" s="247"/>
      <c r="E246" s="146"/>
      <c r="F246" s="300"/>
      <c r="G246" s="599" t="s">
        <v>3915</v>
      </c>
      <c r="H246" s="599" t="s">
        <v>3705</v>
      </c>
      <c r="I246" s="600" t="s">
        <v>4000</v>
      </c>
      <c r="J246" s="600" t="s">
        <v>3547</v>
      </c>
      <c r="K246" s="601" t="s">
        <v>4149</v>
      </c>
      <c r="L246" s="602" t="s">
        <v>3708</v>
      </c>
      <c r="M246" s="1516" t="s">
        <v>3546</v>
      </c>
      <c r="N246" s="602" t="s">
        <v>2733</v>
      </c>
      <c r="O246" s="753" t="s">
        <v>4150</v>
      </c>
      <c r="P246" s="150" t="s">
        <v>4151</v>
      </c>
      <c r="Q246" s="150"/>
      <c r="R246" s="98"/>
      <c r="S246" s="146"/>
      <c r="T246" s="284" t="s">
        <v>4152</v>
      </c>
      <c r="U246" s="284" t="s">
        <v>4153</v>
      </c>
      <c r="W246" s="25"/>
      <c r="X246" s="25"/>
      <c r="Z246" s="25"/>
      <c r="AA246" s="77"/>
      <c r="AB246" s="77"/>
      <c r="AC246" s="274"/>
      <c r="AD246" s="40"/>
      <c r="AE246" s="77"/>
      <c r="AF246" s="77"/>
      <c r="AG246" s="77"/>
      <c r="AH246" s="77"/>
      <c r="AI246" s="77"/>
      <c r="AJ246" s="77"/>
      <c r="AK246" s="77"/>
    </row>
    <row r="247" spans="2:37" ht="10.5" customHeight="1">
      <c r="B247" s="146"/>
      <c r="C247" s="212" t="s">
        <v>4154</v>
      </c>
      <c r="D247" s="247"/>
      <c r="E247" s="146"/>
      <c r="F247" s="300"/>
      <c r="G247" s="599" t="s">
        <v>4155</v>
      </c>
      <c r="H247" s="599" t="s">
        <v>3705</v>
      </c>
      <c r="I247" s="600" t="s">
        <v>4007</v>
      </c>
      <c r="J247" s="600" t="s">
        <v>3547</v>
      </c>
      <c r="K247" s="601" t="s">
        <v>4156</v>
      </c>
      <c r="L247" s="602" t="s">
        <v>3708</v>
      </c>
      <c r="M247" s="1516" t="s">
        <v>3546</v>
      </c>
      <c r="N247" s="602" t="s">
        <v>2733</v>
      </c>
      <c r="O247" s="753" t="s">
        <v>4157</v>
      </c>
      <c r="P247" s="150" t="s">
        <v>4158</v>
      </c>
      <c r="Q247" s="150"/>
      <c r="R247" s="98"/>
      <c r="S247" s="146"/>
      <c r="T247" s="284" t="s">
        <v>4159</v>
      </c>
      <c r="U247" s="284" t="s">
        <v>3975</v>
      </c>
      <c r="W247" s="25"/>
      <c r="X247" s="25"/>
      <c r="Z247" s="25"/>
      <c r="AA247" s="77"/>
      <c r="AB247" s="77"/>
      <c r="AC247" s="274"/>
      <c r="AD247" s="40"/>
      <c r="AE247" s="77"/>
      <c r="AF247" s="77"/>
      <c r="AG247" s="77"/>
      <c r="AH247" s="77"/>
      <c r="AI247" s="77"/>
      <c r="AJ247" s="77"/>
      <c r="AK247" s="77"/>
    </row>
    <row r="248" spans="2:37" ht="10.5" customHeight="1">
      <c r="B248" s="146"/>
      <c r="C248" s="212" t="s">
        <v>4160</v>
      </c>
      <c r="D248" s="247"/>
      <c r="E248" s="146"/>
      <c r="F248" s="300"/>
      <c r="G248" s="599" t="s">
        <v>3749</v>
      </c>
      <c r="H248" s="599" t="s">
        <v>3705</v>
      </c>
      <c r="I248" s="600" t="s">
        <v>4013</v>
      </c>
      <c r="J248" s="600" t="s">
        <v>3547</v>
      </c>
      <c r="K248" s="601" t="s">
        <v>4161</v>
      </c>
      <c r="L248" s="602" t="s">
        <v>3708</v>
      </c>
      <c r="M248" s="1516" t="s">
        <v>3546</v>
      </c>
      <c r="N248" s="602" t="s">
        <v>2736</v>
      </c>
      <c r="O248" s="753" t="s">
        <v>4162</v>
      </c>
      <c r="P248" s="150" t="s">
        <v>4163</v>
      </c>
      <c r="Q248" s="150"/>
      <c r="R248" s="98"/>
      <c r="S248" s="146"/>
      <c r="T248" s="284" t="s">
        <v>4164</v>
      </c>
      <c r="U248" s="284" t="s">
        <v>4165</v>
      </c>
      <c r="W248" s="25"/>
      <c r="X248" s="25"/>
      <c r="Z248" s="25"/>
      <c r="AA248" s="77"/>
      <c r="AB248" s="77"/>
      <c r="AC248" s="274"/>
      <c r="AD248" s="40"/>
      <c r="AE248" s="77"/>
      <c r="AF248" s="77"/>
      <c r="AG248" s="77"/>
      <c r="AH248" s="77"/>
      <c r="AI248" s="77"/>
      <c r="AJ248" s="77"/>
      <c r="AK248" s="77"/>
    </row>
    <row r="249" spans="2:37" ht="10.5" customHeight="1">
      <c r="B249" s="146"/>
      <c r="C249" s="211" t="s">
        <v>4166</v>
      </c>
      <c r="D249" s="247"/>
      <c r="E249" s="146"/>
      <c r="F249" s="300"/>
      <c r="G249" s="599" t="s">
        <v>4167</v>
      </c>
      <c r="H249" s="599" t="s">
        <v>3705</v>
      </c>
      <c r="I249" s="603" t="s">
        <v>2736</v>
      </c>
      <c r="J249" s="603" t="s">
        <v>2727</v>
      </c>
      <c r="K249" s="601" t="s">
        <v>3771</v>
      </c>
      <c r="L249" s="602" t="s">
        <v>3729</v>
      </c>
      <c r="M249" s="1516" t="s">
        <v>3546</v>
      </c>
      <c r="N249" s="602" t="s">
        <v>2736</v>
      </c>
      <c r="O249" s="753" t="s">
        <v>4168</v>
      </c>
      <c r="P249" s="150" t="s">
        <v>4169</v>
      </c>
      <c r="Q249" s="150"/>
      <c r="R249" s="98"/>
      <c r="S249" s="146"/>
      <c r="T249" s="284" t="s">
        <v>4170</v>
      </c>
      <c r="U249" s="284" t="s">
        <v>3962</v>
      </c>
      <c r="W249" s="25"/>
      <c r="X249" s="25"/>
      <c r="Z249" s="25"/>
      <c r="AA249" s="77"/>
      <c r="AB249" s="77"/>
      <c r="AC249" s="274"/>
      <c r="AD249" s="40"/>
      <c r="AE249" s="77"/>
      <c r="AF249" s="77"/>
      <c r="AG249" s="77"/>
      <c r="AH249" s="77"/>
      <c r="AI249" s="77"/>
      <c r="AJ249" s="77"/>
      <c r="AK249" s="77"/>
    </row>
    <row r="250" spans="2:37" ht="10.5" customHeight="1">
      <c r="B250" s="146"/>
      <c r="C250" s="211" t="s">
        <v>4171</v>
      </c>
      <c r="D250" s="247"/>
      <c r="E250" s="146"/>
      <c r="F250" s="300"/>
      <c r="G250" s="599" t="s">
        <v>3775</v>
      </c>
      <c r="H250" s="599" t="s">
        <v>3743</v>
      </c>
      <c r="I250" s="603" t="s">
        <v>4018</v>
      </c>
      <c r="J250" s="603" t="s">
        <v>2727</v>
      </c>
      <c r="K250" s="601" t="s">
        <v>4172</v>
      </c>
      <c r="L250" s="602" t="s">
        <v>3729</v>
      </c>
      <c r="M250" s="1516" t="s">
        <v>3546</v>
      </c>
      <c r="N250" s="602" t="s">
        <v>2732</v>
      </c>
      <c r="O250" s="753" t="s">
        <v>4173</v>
      </c>
      <c r="P250" s="150" t="s">
        <v>4174</v>
      </c>
      <c r="Q250" s="150"/>
      <c r="R250" s="98"/>
      <c r="S250" s="146"/>
      <c r="T250" s="284" t="s">
        <v>2145</v>
      </c>
      <c r="U250" s="284" t="s">
        <v>4175</v>
      </c>
      <c r="W250" s="25"/>
      <c r="X250" s="25"/>
      <c r="Z250" s="25"/>
      <c r="AA250" s="77"/>
      <c r="AB250" s="77"/>
      <c r="AC250" s="274"/>
      <c r="AD250" s="40"/>
      <c r="AE250" s="77"/>
      <c r="AF250" s="77"/>
      <c r="AG250" s="77"/>
      <c r="AH250" s="77"/>
      <c r="AI250" s="77"/>
      <c r="AJ250" s="77"/>
      <c r="AK250" s="77"/>
    </row>
    <row r="251" spans="2:37" ht="10.5" customHeight="1">
      <c r="B251" s="146"/>
      <c r="C251" s="212" t="s">
        <v>4176</v>
      </c>
      <c r="D251" s="247"/>
      <c r="E251" s="146"/>
      <c r="F251" s="300"/>
      <c r="G251" s="599" t="s">
        <v>4177</v>
      </c>
      <c r="H251" s="599" t="s">
        <v>3705</v>
      </c>
      <c r="I251" s="600" t="s">
        <v>2216</v>
      </c>
      <c r="J251" s="600" t="s">
        <v>2727</v>
      </c>
      <c r="K251" s="601" t="s">
        <v>3791</v>
      </c>
      <c r="L251" s="602" t="s">
        <v>3729</v>
      </c>
      <c r="M251" s="1516" t="s">
        <v>3546</v>
      </c>
      <c r="N251" s="602" t="s">
        <v>2216</v>
      </c>
      <c r="O251" s="753" t="s">
        <v>4178</v>
      </c>
      <c r="P251" s="150" t="s">
        <v>4179</v>
      </c>
      <c r="Q251" s="150"/>
      <c r="R251" s="98"/>
      <c r="S251" s="146"/>
      <c r="T251" s="284" t="s">
        <v>4180</v>
      </c>
      <c r="U251" s="284" t="s">
        <v>4181</v>
      </c>
      <c r="W251" s="25"/>
      <c r="X251" s="25"/>
      <c r="Z251" s="25"/>
      <c r="AA251" s="77"/>
      <c r="AB251" s="77"/>
      <c r="AC251" s="274"/>
      <c r="AD251" s="40"/>
      <c r="AE251" s="77"/>
      <c r="AF251" s="77"/>
      <c r="AG251" s="77"/>
      <c r="AH251" s="77"/>
      <c r="AI251" s="77"/>
      <c r="AJ251" s="77"/>
      <c r="AK251" s="77"/>
    </row>
    <row r="252" spans="2:37" ht="10.5" customHeight="1">
      <c r="B252" s="146"/>
      <c r="C252" s="212" t="s">
        <v>4182</v>
      </c>
      <c r="D252" s="247"/>
      <c r="E252" s="146"/>
      <c r="F252" s="300"/>
      <c r="G252" s="599" t="s">
        <v>4181</v>
      </c>
      <c r="H252" s="599" t="s">
        <v>3705</v>
      </c>
      <c r="I252" s="600" t="s">
        <v>4024</v>
      </c>
      <c r="J252" s="600" t="s">
        <v>3547</v>
      </c>
      <c r="K252" s="601" t="s">
        <v>4183</v>
      </c>
      <c r="L252" s="602" t="s">
        <v>3708</v>
      </c>
      <c r="M252" s="1516" t="s">
        <v>3546</v>
      </c>
      <c r="N252" s="602" t="s">
        <v>2736</v>
      </c>
      <c r="O252" s="753" t="s">
        <v>4184</v>
      </c>
      <c r="P252" s="150" t="s">
        <v>4185</v>
      </c>
      <c r="Q252" s="150"/>
      <c r="R252" s="98"/>
      <c r="S252" s="146"/>
      <c r="T252" s="284" t="s">
        <v>4186</v>
      </c>
      <c r="U252" s="284" t="s">
        <v>4065</v>
      </c>
      <c r="W252" s="25"/>
      <c r="X252" s="25"/>
      <c r="Z252" s="25"/>
      <c r="AA252" s="77"/>
      <c r="AB252" s="77"/>
      <c r="AC252" s="274"/>
      <c r="AD252" s="40"/>
      <c r="AE252" s="77"/>
      <c r="AF252" s="77"/>
      <c r="AG252" s="77"/>
      <c r="AH252" s="77"/>
      <c r="AI252" s="77"/>
      <c r="AJ252" s="77"/>
      <c r="AK252" s="77"/>
    </row>
    <row r="253" spans="2:37" ht="10.5" customHeight="1">
      <c r="B253" s="146"/>
      <c r="C253" s="212" t="s">
        <v>4187</v>
      </c>
      <c r="D253" s="247"/>
      <c r="E253" s="146"/>
      <c r="F253" s="300"/>
      <c r="G253" s="599" t="s">
        <v>4188</v>
      </c>
      <c r="H253" s="599" t="s">
        <v>3705</v>
      </c>
      <c r="I253" s="603" t="s">
        <v>2130</v>
      </c>
      <c r="J253" s="603" t="s">
        <v>2727</v>
      </c>
      <c r="K253" s="601" t="s">
        <v>3968</v>
      </c>
      <c r="L253" s="602" t="s">
        <v>3729</v>
      </c>
      <c r="M253" s="1516" t="s">
        <v>3546</v>
      </c>
      <c r="N253" s="602" t="s">
        <v>2130</v>
      </c>
      <c r="O253" s="753" t="s">
        <v>4189</v>
      </c>
      <c r="P253" s="150" t="s">
        <v>4190</v>
      </c>
      <c r="Q253" s="150"/>
      <c r="R253" s="98"/>
      <c r="S253" s="146"/>
      <c r="T253" s="284" t="s">
        <v>3820</v>
      </c>
      <c r="U253" s="284" t="s">
        <v>4059</v>
      </c>
      <c r="W253" s="25"/>
      <c r="X253" s="25"/>
      <c r="Z253" s="25"/>
      <c r="AA253" s="77"/>
      <c r="AB253" s="77"/>
      <c r="AC253" s="274"/>
      <c r="AD253" s="40"/>
      <c r="AE253" s="77"/>
      <c r="AF253" s="77"/>
      <c r="AG253" s="77"/>
      <c r="AH253" s="77"/>
      <c r="AI253" s="77"/>
      <c r="AJ253" s="77"/>
      <c r="AK253" s="77"/>
    </row>
    <row r="254" spans="2:37" ht="10.5" customHeight="1">
      <c r="B254" s="146"/>
      <c r="C254" s="212" t="s">
        <v>4191</v>
      </c>
      <c r="D254" s="247"/>
      <c r="E254" s="146"/>
      <c r="F254" s="300"/>
      <c r="G254" s="599" t="s">
        <v>124</v>
      </c>
      <c r="H254" s="599" t="s">
        <v>3705</v>
      </c>
      <c r="I254" s="600" t="s">
        <v>4192</v>
      </c>
      <c r="J254" s="600" t="s">
        <v>2727</v>
      </c>
      <c r="K254" s="601" t="s">
        <v>4193</v>
      </c>
      <c r="L254" s="602" t="s">
        <v>3729</v>
      </c>
      <c r="M254" s="1516" t="s">
        <v>3543</v>
      </c>
      <c r="N254" s="602" t="s">
        <v>2737</v>
      </c>
      <c r="O254" s="753" t="s">
        <v>4194</v>
      </c>
      <c r="P254" s="150" t="s">
        <v>4195</v>
      </c>
      <c r="Q254" s="150"/>
      <c r="R254" s="98"/>
      <c r="S254" s="146"/>
      <c r="T254" s="284" t="s">
        <v>4196</v>
      </c>
      <c r="U254" s="284" t="s">
        <v>4065</v>
      </c>
      <c r="W254" s="25"/>
      <c r="X254" s="25"/>
      <c r="Z254" s="25"/>
      <c r="AA254" s="77"/>
      <c r="AB254" s="77"/>
      <c r="AC254" s="274"/>
      <c r="AD254" s="40"/>
      <c r="AE254" s="77"/>
      <c r="AF254" s="77"/>
      <c r="AG254" s="77"/>
      <c r="AH254" s="77"/>
      <c r="AI254" s="77"/>
      <c r="AJ254" s="77"/>
      <c r="AK254" s="77"/>
    </row>
    <row r="255" spans="2:37" ht="10.5" customHeight="1">
      <c r="B255" s="146"/>
      <c r="C255" s="212" t="s">
        <v>4197</v>
      </c>
      <c r="D255" s="247"/>
      <c r="E255" s="146"/>
      <c r="F255" s="300"/>
      <c r="G255" s="599" t="s">
        <v>4198</v>
      </c>
      <c r="H255" s="599" t="s">
        <v>3743</v>
      </c>
      <c r="I255" s="600" t="s">
        <v>4029</v>
      </c>
      <c r="J255" s="600" t="s">
        <v>2727</v>
      </c>
      <c r="K255" s="601" t="s">
        <v>4199</v>
      </c>
      <c r="L255" s="602" t="s">
        <v>3729</v>
      </c>
      <c r="M255" s="1516" t="s">
        <v>3546</v>
      </c>
      <c r="N255" s="602" t="s">
        <v>2733</v>
      </c>
      <c r="O255" s="753" t="s">
        <v>4200</v>
      </c>
      <c r="P255" s="150" t="s">
        <v>4201</v>
      </c>
      <c r="Q255" s="150"/>
      <c r="R255" s="98"/>
      <c r="S255" s="146"/>
      <c r="T255" s="284" t="s">
        <v>4202</v>
      </c>
      <c r="U255" s="284" t="s">
        <v>4203</v>
      </c>
      <c r="W255" s="25"/>
      <c r="X255" s="25"/>
      <c r="Z255" s="25"/>
      <c r="AA255" s="77"/>
      <c r="AB255" s="77"/>
      <c r="AC255" s="274"/>
      <c r="AD255" s="40"/>
      <c r="AE255" s="77"/>
      <c r="AF255" s="77"/>
      <c r="AG255" s="77"/>
      <c r="AH255" s="77"/>
      <c r="AI255" s="77"/>
      <c r="AJ255" s="77"/>
      <c r="AK255" s="77"/>
    </row>
    <row r="256" spans="2:37" ht="10.5" customHeight="1">
      <c r="B256" s="146"/>
      <c r="C256" s="212" t="s">
        <v>4204</v>
      </c>
      <c r="D256" s="247"/>
      <c r="E256" s="146"/>
      <c r="F256" s="300"/>
      <c r="G256" s="599" t="s">
        <v>4205</v>
      </c>
      <c r="H256" s="599" t="s">
        <v>3705</v>
      </c>
      <c r="I256" s="600" t="s">
        <v>4034</v>
      </c>
      <c r="J256" s="600" t="s">
        <v>2727</v>
      </c>
      <c r="K256" s="601" t="s">
        <v>4206</v>
      </c>
      <c r="L256" s="602" t="s">
        <v>3729</v>
      </c>
      <c r="M256" s="1516" t="s">
        <v>3546</v>
      </c>
      <c r="N256" s="602" t="s">
        <v>2737</v>
      </c>
      <c r="O256" s="753" t="s">
        <v>4207</v>
      </c>
      <c r="P256" s="150" t="s">
        <v>4208</v>
      </c>
      <c r="Q256" s="150"/>
      <c r="R256" s="98"/>
      <c r="S256" s="146"/>
      <c r="T256" s="284" t="s">
        <v>4209</v>
      </c>
      <c r="U256" s="284" t="s">
        <v>3925</v>
      </c>
      <c r="W256" s="25"/>
      <c r="X256" s="25"/>
      <c r="Z256" s="25"/>
      <c r="AA256" s="77"/>
      <c r="AB256" s="77"/>
      <c r="AC256" s="274"/>
      <c r="AD256" s="40"/>
      <c r="AE256" s="77"/>
      <c r="AF256" s="77"/>
      <c r="AG256" s="77"/>
      <c r="AH256" s="77"/>
      <c r="AI256" s="77"/>
      <c r="AJ256" s="77"/>
      <c r="AK256" s="77"/>
    </row>
    <row r="257" spans="2:37" ht="10.5" customHeight="1">
      <c r="B257" s="146"/>
      <c r="C257" s="212" t="s">
        <v>4210</v>
      </c>
      <c r="D257" s="247"/>
      <c r="E257" s="146"/>
      <c r="F257" s="300"/>
      <c r="G257" s="599" t="s">
        <v>152</v>
      </c>
      <c r="H257" s="599" t="s">
        <v>3705</v>
      </c>
      <c r="I257" s="600" t="s">
        <v>2216</v>
      </c>
      <c r="J257" s="600" t="s">
        <v>2727</v>
      </c>
      <c r="K257" s="601" t="s">
        <v>3791</v>
      </c>
      <c r="L257" s="602" t="s">
        <v>3729</v>
      </c>
      <c r="M257" s="1516" t="s">
        <v>3543</v>
      </c>
      <c r="N257" s="602" t="s">
        <v>2216</v>
      </c>
      <c r="O257" s="753" t="s">
        <v>4211</v>
      </c>
      <c r="P257" s="150" t="s">
        <v>4212</v>
      </c>
      <c r="Q257" s="150"/>
      <c r="R257" s="98"/>
      <c r="S257" s="146"/>
      <c r="T257" s="284" t="s">
        <v>102</v>
      </c>
      <c r="U257" s="284" t="s">
        <v>96</v>
      </c>
      <c r="W257" s="25"/>
      <c r="X257" s="25"/>
      <c r="Z257" s="25"/>
      <c r="AA257" s="77"/>
      <c r="AB257" s="77"/>
      <c r="AC257" s="274"/>
      <c r="AD257" s="40"/>
      <c r="AE257" s="77"/>
      <c r="AF257" s="77"/>
      <c r="AG257" s="77"/>
      <c r="AH257" s="77"/>
      <c r="AI257" s="77"/>
      <c r="AJ257" s="77"/>
      <c r="AK257" s="77"/>
    </row>
    <row r="258" spans="2:37" ht="10.5" customHeight="1">
      <c r="B258" s="146"/>
      <c r="C258" s="211" t="s">
        <v>4213</v>
      </c>
      <c r="D258" s="247"/>
      <c r="E258" s="146"/>
      <c r="F258" s="300"/>
      <c r="G258" s="599" t="s">
        <v>4214</v>
      </c>
      <c r="H258" s="599" t="s">
        <v>3743</v>
      </c>
      <c r="I258" s="603" t="s">
        <v>4040</v>
      </c>
      <c r="J258" s="603" t="s">
        <v>3547</v>
      </c>
      <c r="K258" s="601" t="s">
        <v>4215</v>
      </c>
      <c r="L258" s="602" t="s">
        <v>3708</v>
      </c>
      <c r="M258" s="1516" t="s">
        <v>3546</v>
      </c>
      <c r="N258" s="602" t="s">
        <v>2732</v>
      </c>
      <c r="O258" s="753" t="s">
        <v>4216</v>
      </c>
      <c r="P258" s="150" t="s">
        <v>4217</v>
      </c>
      <c r="Q258" s="150"/>
      <c r="R258" s="98"/>
      <c r="S258" s="146"/>
      <c r="T258" s="284" t="s">
        <v>4218</v>
      </c>
      <c r="U258" s="284" t="s">
        <v>4035</v>
      </c>
      <c r="W258" s="25"/>
      <c r="X258" s="25"/>
      <c r="Z258" s="25"/>
      <c r="AA258" s="77"/>
      <c r="AB258" s="77"/>
      <c r="AC258" s="274"/>
      <c r="AD258" s="40"/>
      <c r="AE258" s="77"/>
      <c r="AF258" s="77"/>
      <c r="AG258" s="77"/>
      <c r="AH258" s="77"/>
      <c r="AI258" s="77"/>
      <c r="AJ258" s="77"/>
      <c r="AK258" s="77"/>
    </row>
    <row r="259" spans="2:37" ht="10.5" customHeight="1">
      <c r="B259" s="146"/>
      <c r="C259" s="211" t="s">
        <v>4219</v>
      </c>
      <c r="D259" s="247"/>
      <c r="E259" s="146"/>
      <c r="F259" s="300"/>
      <c r="G259" s="599" t="s">
        <v>2736</v>
      </c>
      <c r="H259" s="599" t="s">
        <v>3705</v>
      </c>
      <c r="I259" s="600" t="s">
        <v>4049</v>
      </c>
      <c r="J259" s="600" t="s">
        <v>3547</v>
      </c>
      <c r="K259" s="601" t="s">
        <v>4220</v>
      </c>
      <c r="L259" s="602" t="s">
        <v>3708</v>
      </c>
      <c r="M259" s="1516" t="s">
        <v>3546</v>
      </c>
      <c r="N259" s="602" t="s">
        <v>2736</v>
      </c>
      <c r="O259" s="753" t="s">
        <v>4221</v>
      </c>
      <c r="P259" s="150" t="s">
        <v>4222</v>
      </c>
      <c r="Q259" s="150"/>
      <c r="R259" s="98"/>
      <c r="S259" s="146"/>
      <c r="T259" s="284" t="s">
        <v>4223</v>
      </c>
      <c r="U259" s="284" t="s">
        <v>4001</v>
      </c>
      <c r="W259" s="25"/>
      <c r="X259" s="25"/>
      <c r="Z259" s="25"/>
      <c r="AA259" s="77"/>
      <c r="AB259" s="77"/>
      <c r="AC259" s="274"/>
      <c r="AD259" s="40"/>
      <c r="AE259" s="77"/>
      <c r="AF259" s="77"/>
      <c r="AG259" s="77"/>
      <c r="AH259" s="77"/>
      <c r="AI259" s="77"/>
      <c r="AJ259" s="77"/>
      <c r="AK259" s="77"/>
    </row>
    <row r="260" spans="2:37" ht="10.5" customHeight="1">
      <c r="B260" s="146"/>
      <c r="C260" s="211" t="s">
        <v>4224</v>
      </c>
      <c r="D260" s="247"/>
      <c r="E260" s="146"/>
      <c r="F260" s="300"/>
      <c r="G260" s="599" t="s">
        <v>2187</v>
      </c>
      <c r="H260" s="599" t="s">
        <v>3743</v>
      </c>
      <c r="I260" s="600" t="s">
        <v>3877</v>
      </c>
      <c r="J260" s="600" t="s">
        <v>2727</v>
      </c>
      <c r="K260" s="601" t="s">
        <v>3878</v>
      </c>
      <c r="L260" s="602" t="s">
        <v>3729</v>
      </c>
      <c r="M260" s="1516" t="s">
        <v>3546</v>
      </c>
      <c r="N260" s="602" t="s">
        <v>2731</v>
      </c>
      <c r="O260" s="753" t="s">
        <v>4225</v>
      </c>
      <c r="P260" s="150" t="s">
        <v>4226</v>
      </c>
      <c r="Q260" s="150"/>
      <c r="R260" s="98"/>
      <c r="S260" s="146"/>
      <c r="T260" s="284" t="s">
        <v>4227</v>
      </c>
      <c r="U260" s="284" t="s">
        <v>3871</v>
      </c>
      <c r="W260" s="25"/>
      <c r="X260" s="25"/>
      <c r="Z260" s="25"/>
      <c r="AA260" s="77"/>
      <c r="AB260" s="77"/>
      <c r="AC260" s="274"/>
      <c r="AD260" s="40"/>
      <c r="AE260" s="77"/>
      <c r="AF260" s="77"/>
      <c r="AG260" s="77"/>
      <c r="AH260" s="77"/>
      <c r="AI260" s="77"/>
      <c r="AJ260" s="77"/>
      <c r="AK260" s="77"/>
    </row>
    <row r="261" spans="2:37" ht="10.5" customHeight="1">
      <c r="B261" s="146"/>
      <c r="C261" s="211" t="s">
        <v>4228</v>
      </c>
      <c r="D261" s="247"/>
      <c r="E261" s="146"/>
      <c r="F261" s="300"/>
      <c r="G261" s="599" t="s">
        <v>4153</v>
      </c>
      <c r="H261" s="599" t="s">
        <v>3705</v>
      </c>
      <c r="I261" s="603" t="s">
        <v>2735</v>
      </c>
      <c r="J261" s="603" t="s">
        <v>2727</v>
      </c>
      <c r="K261" s="601" t="s">
        <v>3860</v>
      </c>
      <c r="L261" s="602" t="s">
        <v>3729</v>
      </c>
      <c r="M261" s="1516" t="s">
        <v>3546</v>
      </c>
      <c r="N261" s="602" t="s">
        <v>2735</v>
      </c>
      <c r="O261" s="753" t="s">
        <v>4229</v>
      </c>
      <c r="P261" s="150" t="s">
        <v>4230</v>
      </c>
      <c r="Q261" s="150"/>
      <c r="R261" s="98"/>
      <c r="S261" s="146"/>
      <c r="T261" s="284" t="s">
        <v>4231</v>
      </c>
      <c r="U261" s="284" t="s">
        <v>171</v>
      </c>
      <c r="W261" s="25"/>
      <c r="X261" s="25"/>
      <c r="Z261" s="25"/>
      <c r="AA261" s="77"/>
      <c r="AB261" s="77"/>
      <c r="AC261" s="274"/>
      <c r="AD261" s="40"/>
      <c r="AE261" s="77"/>
      <c r="AF261" s="77"/>
      <c r="AG261" s="77"/>
      <c r="AH261" s="77"/>
      <c r="AI261" s="77"/>
      <c r="AJ261" s="77"/>
      <c r="AK261" s="77"/>
    </row>
    <row r="262" spans="2:37" ht="10.5" customHeight="1">
      <c r="B262" s="146"/>
      <c r="C262" s="211" t="s">
        <v>4232</v>
      </c>
      <c r="D262" s="247"/>
      <c r="E262" s="146"/>
      <c r="F262" s="300"/>
      <c r="G262" s="599" t="s">
        <v>4233</v>
      </c>
      <c r="H262" s="599" t="s">
        <v>3743</v>
      </c>
      <c r="I262" s="603" t="s">
        <v>3741</v>
      </c>
      <c r="J262" s="603" t="s">
        <v>2727</v>
      </c>
      <c r="K262" s="601" t="s">
        <v>3808</v>
      </c>
      <c r="L262" s="602" t="s">
        <v>3729</v>
      </c>
      <c r="M262" s="1516" t="s">
        <v>3546</v>
      </c>
      <c r="N262" s="602" t="s">
        <v>2733</v>
      </c>
      <c r="O262" s="753" t="s">
        <v>4234</v>
      </c>
      <c r="P262" s="150" t="s">
        <v>4235</v>
      </c>
      <c r="Q262" s="150"/>
      <c r="R262" s="98"/>
      <c r="S262" s="146"/>
      <c r="T262" s="284" t="s">
        <v>4236</v>
      </c>
      <c r="U262" s="284" t="s">
        <v>2187</v>
      </c>
      <c r="W262" s="25"/>
      <c r="X262" s="25"/>
      <c r="Z262" s="25"/>
      <c r="AA262" s="77"/>
      <c r="AB262" s="77"/>
      <c r="AC262" s="274"/>
      <c r="AD262" s="40"/>
      <c r="AE262" s="77"/>
      <c r="AF262" s="77"/>
      <c r="AG262" s="77"/>
      <c r="AH262" s="77"/>
      <c r="AI262" s="77"/>
      <c r="AJ262" s="77"/>
      <c r="AK262" s="77"/>
    </row>
    <row r="263" spans="2:37" ht="10.5" customHeight="1">
      <c r="B263" s="146"/>
      <c r="C263" s="212" t="s">
        <v>4237</v>
      </c>
      <c r="D263" s="247"/>
      <c r="E263" s="146"/>
      <c r="F263" s="300"/>
      <c r="G263" s="599" t="s">
        <v>4238</v>
      </c>
      <c r="H263" s="599" t="s">
        <v>3705</v>
      </c>
      <c r="I263" s="600" t="s">
        <v>3782</v>
      </c>
      <c r="J263" s="600" t="s">
        <v>2727</v>
      </c>
      <c r="K263" s="601" t="s">
        <v>3784</v>
      </c>
      <c r="L263" s="602" t="s">
        <v>3729</v>
      </c>
      <c r="M263" s="1516" t="s">
        <v>3546</v>
      </c>
      <c r="N263" s="602" t="s">
        <v>2737</v>
      </c>
      <c r="O263" s="753" t="s">
        <v>4239</v>
      </c>
      <c r="P263" s="150" t="s">
        <v>4240</v>
      </c>
      <c r="Q263" s="150"/>
      <c r="R263" s="98"/>
      <c r="S263" s="146"/>
      <c r="T263" s="284" t="s">
        <v>4241</v>
      </c>
      <c r="U263" s="284" t="s">
        <v>4035</v>
      </c>
      <c r="W263" s="25"/>
      <c r="X263" s="25"/>
      <c r="Z263" s="25"/>
      <c r="AA263" s="77"/>
      <c r="AB263" s="77"/>
      <c r="AC263" s="274"/>
      <c r="AD263" s="40"/>
      <c r="AE263" s="77"/>
      <c r="AF263" s="77"/>
      <c r="AG263" s="77"/>
      <c r="AH263" s="77"/>
      <c r="AI263" s="77"/>
      <c r="AJ263" s="77"/>
      <c r="AK263" s="77"/>
    </row>
    <row r="264" spans="2:37" ht="10.5" customHeight="1">
      <c r="B264" s="146"/>
      <c r="C264" s="211" t="s">
        <v>4242</v>
      </c>
      <c r="D264" s="247"/>
      <c r="E264" s="146"/>
      <c r="F264" s="300"/>
      <c r="G264" s="599" t="s">
        <v>4243</v>
      </c>
      <c r="H264" s="599" t="s">
        <v>3705</v>
      </c>
      <c r="I264" s="603" t="s">
        <v>4055</v>
      </c>
      <c r="J264" s="603" t="s">
        <v>2727</v>
      </c>
      <c r="K264" s="601" t="s">
        <v>4244</v>
      </c>
      <c r="L264" s="602" t="s">
        <v>3729</v>
      </c>
      <c r="M264" s="1516" t="s">
        <v>3546</v>
      </c>
      <c r="N264" s="602" t="s">
        <v>2732</v>
      </c>
      <c r="O264" s="753" t="s">
        <v>4245</v>
      </c>
      <c r="P264" s="150" t="s">
        <v>4246</v>
      </c>
      <c r="Q264" s="150"/>
      <c r="R264" s="98"/>
      <c r="S264" s="146"/>
      <c r="T264" s="284" t="s">
        <v>4247</v>
      </c>
      <c r="U264" s="284" t="s">
        <v>3836</v>
      </c>
      <c r="W264" s="25"/>
      <c r="X264" s="25"/>
      <c r="Z264" s="25"/>
      <c r="AA264" s="77"/>
      <c r="AB264" s="77"/>
      <c r="AC264" s="274"/>
      <c r="AD264" s="40"/>
      <c r="AE264" s="77"/>
      <c r="AF264" s="77"/>
      <c r="AG264" s="77"/>
      <c r="AH264" s="77"/>
      <c r="AI264" s="77"/>
      <c r="AJ264" s="77"/>
      <c r="AK264" s="77"/>
    </row>
    <row r="265" spans="2:37" ht="10.5" customHeight="1">
      <c r="B265" s="146"/>
      <c r="C265" s="211" t="s">
        <v>2216</v>
      </c>
      <c r="D265" s="247"/>
      <c r="E265" s="146"/>
      <c r="F265" s="300"/>
      <c r="G265" s="599" t="s">
        <v>4248</v>
      </c>
      <c r="H265" s="599" t="s">
        <v>3705</v>
      </c>
      <c r="I265" s="600" t="s">
        <v>4058</v>
      </c>
      <c r="J265" s="600" t="s">
        <v>3547</v>
      </c>
      <c r="K265" s="601" t="s">
        <v>4249</v>
      </c>
      <c r="L265" s="602" t="s">
        <v>3708</v>
      </c>
      <c r="M265" s="1516" t="s">
        <v>3546</v>
      </c>
      <c r="N265" s="602" t="s">
        <v>2130</v>
      </c>
      <c r="O265" s="753" t="s">
        <v>4250</v>
      </c>
      <c r="P265" s="150" t="s">
        <v>4251</v>
      </c>
      <c r="Q265" s="150"/>
      <c r="R265" s="98"/>
      <c r="S265" s="146"/>
      <c r="T265" s="284" t="s">
        <v>4252</v>
      </c>
      <c r="U265" s="284" t="s">
        <v>3733</v>
      </c>
      <c r="W265" s="25"/>
      <c r="X265" s="25"/>
      <c r="Z265" s="25"/>
      <c r="AA265" s="77"/>
      <c r="AB265" s="77"/>
      <c r="AC265" s="274"/>
      <c r="AD265" s="40"/>
      <c r="AE265" s="77"/>
      <c r="AF265" s="77"/>
      <c r="AG265" s="77"/>
      <c r="AH265" s="77"/>
      <c r="AI265" s="77"/>
      <c r="AJ265" s="77"/>
      <c r="AK265" s="77"/>
    </row>
    <row r="266" spans="2:37" ht="10.5" customHeight="1">
      <c r="B266" s="146"/>
      <c r="C266" s="212" t="s">
        <v>4253</v>
      </c>
      <c r="D266" s="247"/>
      <c r="E266" s="146"/>
      <c r="F266" s="300"/>
      <c r="G266" s="599" t="s">
        <v>3925</v>
      </c>
      <c r="H266" s="599" t="s">
        <v>3705</v>
      </c>
      <c r="I266" s="600" t="s">
        <v>4064</v>
      </c>
      <c r="J266" s="600" t="s">
        <v>3547</v>
      </c>
      <c r="K266" s="601" t="s">
        <v>4254</v>
      </c>
      <c r="L266" s="602" t="s">
        <v>3708</v>
      </c>
      <c r="M266" s="1516" t="s">
        <v>3546</v>
      </c>
      <c r="N266" s="602" t="s">
        <v>2130</v>
      </c>
      <c r="O266" s="753" t="s">
        <v>4255</v>
      </c>
      <c r="P266" s="150" t="s">
        <v>4256</v>
      </c>
      <c r="Q266" s="150"/>
      <c r="R266" s="98"/>
      <c r="S266" s="146"/>
      <c r="T266" s="284" t="s">
        <v>4257</v>
      </c>
      <c r="U266" s="284" t="s">
        <v>176</v>
      </c>
      <c r="W266" s="25"/>
      <c r="X266" s="25"/>
      <c r="Z266" s="25"/>
      <c r="AA266" s="77"/>
      <c r="AB266" s="77"/>
      <c r="AC266" s="274"/>
      <c r="AD266" s="40"/>
      <c r="AE266" s="77"/>
      <c r="AF266" s="77"/>
      <c r="AG266" s="77"/>
      <c r="AH266" s="77"/>
      <c r="AI266" s="77"/>
      <c r="AJ266" s="77"/>
      <c r="AK266" s="77"/>
    </row>
    <row r="267" spans="2:37" ht="10.5" customHeight="1">
      <c r="B267" s="146"/>
      <c r="C267" s="211" t="s">
        <v>2218</v>
      </c>
      <c r="D267" s="247"/>
      <c r="E267" s="146"/>
      <c r="F267" s="300"/>
      <c r="G267" s="599" t="s">
        <v>4258</v>
      </c>
      <c r="H267" s="599" t="s">
        <v>3743</v>
      </c>
      <c r="I267" s="603" t="s">
        <v>4071</v>
      </c>
      <c r="J267" s="603" t="s">
        <v>2727</v>
      </c>
      <c r="K267" s="601" t="s">
        <v>4259</v>
      </c>
      <c r="L267" s="602" t="s">
        <v>3729</v>
      </c>
      <c r="M267" s="1516" t="s">
        <v>3546</v>
      </c>
      <c r="N267" s="602" t="s">
        <v>2732</v>
      </c>
      <c r="O267" s="753" t="s">
        <v>4260</v>
      </c>
      <c r="P267" s="150" t="s">
        <v>4261</v>
      </c>
      <c r="Q267" s="150"/>
      <c r="R267" s="98"/>
      <c r="S267" s="146"/>
      <c r="T267" s="284" t="s">
        <v>4262</v>
      </c>
      <c r="U267" s="284" t="s">
        <v>3740</v>
      </c>
      <c r="W267" s="25"/>
      <c r="X267" s="25"/>
      <c r="Z267" s="25"/>
      <c r="AA267" s="77"/>
      <c r="AB267" s="77"/>
      <c r="AC267" s="274"/>
      <c r="AD267" s="40"/>
      <c r="AE267" s="77"/>
      <c r="AF267" s="77"/>
      <c r="AG267" s="77"/>
      <c r="AH267" s="77"/>
      <c r="AI267" s="77"/>
      <c r="AJ267" s="77"/>
      <c r="AK267" s="77"/>
    </row>
    <row r="268" spans="2:37" ht="10.5" customHeight="1">
      <c r="B268" s="146"/>
      <c r="C268" s="211" t="s">
        <v>4263</v>
      </c>
      <c r="D268" s="247"/>
      <c r="F268" s="300"/>
      <c r="G268" s="599" t="s">
        <v>150</v>
      </c>
      <c r="H268" s="599" t="s">
        <v>3705</v>
      </c>
      <c r="I268" s="600" t="s">
        <v>4077</v>
      </c>
      <c r="J268" s="600" t="s">
        <v>3547</v>
      </c>
      <c r="K268" s="601" t="s">
        <v>4264</v>
      </c>
      <c r="L268" s="602" t="s">
        <v>3708</v>
      </c>
      <c r="M268" s="1516" t="s">
        <v>3546</v>
      </c>
      <c r="N268" s="602" t="s">
        <v>2737</v>
      </c>
      <c r="O268" s="753" t="s">
        <v>4265</v>
      </c>
      <c r="P268" s="150" t="s">
        <v>4266</v>
      </c>
      <c r="Q268" s="150"/>
      <c r="R268" s="98"/>
      <c r="S268" s="146"/>
      <c r="T268" s="146" t="s">
        <v>4267</v>
      </c>
      <c r="U268" s="146" t="s">
        <v>3977</v>
      </c>
      <c r="W268" s="25"/>
      <c r="X268" s="25"/>
      <c r="Z268" s="25"/>
      <c r="AA268" s="77"/>
      <c r="AB268" s="77"/>
      <c r="AC268" s="274"/>
      <c r="AD268" s="40"/>
      <c r="AE268" s="77"/>
      <c r="AF268" s="77"/>
      <c r="AG268" s="77"/>
      <c r="AH268" s="77"/>
      <c r="AI268" s="77"/>
      <c r="AJ268" s="77"/>
      <c r="AK268" s="77"/>
    </row>
    <row r="269" spans="2:37" ht="10.5" customHeight="1">
      <c r="B269" s="146"/>
      <c r="C269" s="211" t="s">
        <v>4268</v>
      </c>
      <c r="D269" s="247"/>
      <c r="F269" s="300"/>
      <c r="G269" s="599" t="s">
        <v>4070</v>
      </c>
      <c r="H269" s="599" t="s">
        <v>3743</v>
      </c>
      <c r="I269" s="603" t="s">
        <v>4081</v>
      </c>
      <c r="J269" s="600" t="s">
        <v>2727</v>
      </c>
      <c r="K269" s="601" t="s">
        <v>4269</v>
      </c>
      <c r="L269" s="602" t="s">
        <v>3729</v>
      </c>
      <c r="M269" s="1516" t="s">
        <v>3546</v>
      </c>
      <c r="N269" s="602" t="s">
        <v>2732</v>
      </c>
      <c r="O269" s="753" t="s">
        <v>4270</v>
      </c>
      <c r="P269" s="150" t="s">
        <v>4271</v>
      </c>
      <c r="Q269" s="150"/>
      <c r="R269" s="98"/>
      <c r="S269" s="146"/>
      <c r="T269" s="284" t="s">
        <v>2149</v>
      </c>
      <c r="U269" s="284" t="s">
        <v>3846</v>
      </c>
      <c r="W269" s="25"/>
      <c r="X269" s="25"/>
      <c r="Z269" s="25"/>
      <c r="AA269" s="77"/>
      <c r="AB269" s="77"/>
      <c r="AC269" s="40"/>
      <c r="AD269" s="40"/>
      <c r="AE269" s="77"/>
      <c r="AF269" s="77"/>
      <c r="AG269" s="77"/>
      <c r="AH269" s="77"/>
      <c r="AI269" s="77"/>
      <c r="AJ269" s="77"/>
      <c r="AK269" s="77"/>
    </row>
    <row r="270" spans="2:37" ht="10.5" customHeight="1">
      <c r="B270" s="146"/>
      <c r="C270" s="211" t="s">
        <v>4272</v>
      </c>
      <c r="D270" s="247"/>
      <c r="F270" s="300"/>
      <c r="G270" s="599" t="s">
        <v>4273</v>
      </c>
      <c r="H270" s="599" t="s">
        <v>3743</v>
      </c>
      <c r="I270" s="600" t="s">
        <v>4086</v>
      </c>
      <c r="J270" s="600" t="s">
        <v>2727</v>
      </c>
      <c r="K270" s="601" t="s">
        <v>4274</v>
      </c>
      <c r="L270" s="602" t="s">
        <v>3729</v>
      </c>
      <c r="M270" s="1516" t="s">
        <v>3546</v>
      </c>
      <c r="N270" s="602" t="s">
        <v>2732</v>
      </c>
      <c r="O270" s="753" t="s">
        <v>4275</v>
      </c>
      <c r="P270" s="150" t="s">
        <v>4276</v>
      </c>
      <c r="Q270" s="150"/>
      <c r="R270" s="98"/>
      <c r="S270" s="146"/>
      <c r="T270" s="284" t="s">
        <v>2152</v>
      </c>
      <c r="U270" s="284" t="s">
        <v>169</v>
      </c>
      <c r="W270" s="25"/>
      <c r="X270" s="25"/>
      <c r="Z270" s="25"/>
      <c r="AA270" s="77"/>
      <c r="AB270" s="77"/>
      <c r="AC270" s="274"/>
      <c r="AD270" s="40"/>
      <c r="AE270" s="77"/>
      <c r="AF270" s="77"/>
      <c r="AG270" s="77"/>
      <c r="AH270" s="77"/>
      <c r="AI270" s="77"/>
      <c r="AJ270" s="77"/>
      <c r="AK270" s="77"/>
    </row>
    <row r="271" spans="2:37" ht="10.5" customHeight="1">
      <c r="B271" s="146"/>
      <c r="C271" s="211" t="s">
        <v>4277</v>
      </c>
      <c r="D271" s="247"/>
      <c r="F271" s="300"/>
      <c r="G271" s="599" t="s">
        <v>3999</v>
      </c>
      <c r="H271" s="599" t="s">
        <v>778</v>
      </c>
      <c r="I271" s="603" t="s">
        <v>2735</v>
      </c>
      <c r="J271" s="603" t="s">
        <v>2727</v>
      </c>
      <c r="K271" s="601" t="s">
        <v>3860</v>
      </c>
      <c r="L271" s="602" t="s">
        <v>3729</v>
      </c>
      <c r="M271" s="1516" t="s">
        <v>3543</v>
      </c>
      <c r="N271" s="602" t="s">
        <v>2735</v>
      </c>
      <c r="O271" s="753" t="s">
        <v>4278</v>
      </c>
      <c r="P271" s="150" t="s">
        <v>4279</v>
      </c>
      <c r="Q271" s="150"/>
      <c r="R271" s="98"/>
      <c r="S271" s="146"/>
      <c r="T271" s="284" t="s">
        <v>4280</v>
      </c>
      <c r="U271" s="284" t="s">
        <v>4117</v>
      </c>
      <c r="W271" s="25"/>
      <c r="X271" s="25"/>
      <c r="Z271" s="25"/>
      <c r="AA271" s="77"/>
      <c r="AB271" s="77"/>
      <c r="AC271" s="274"/>
      <c r="AD271" s="40"/>
      <c r="AE271" s="77"/>
      <c r="AF271" s="77"/>
      <c r="AG271" s="77"/>
      <c r="AH271" s="77"/>
      <c r="AI271" s="77"/>
      <c r="AJ271" s="77"/>
      <c r="AK271" s="77"/>
    </row>
    <row r="272" spans="2:37" ht="10.5" customHeight="1">
      <c r="B272" s="146"/>
      <c r="C272" s="211" t="s">
        <v>4281</v>
      </c>
      <c r="D272" s="247"/>
      <c r="F272" s="300"/>
      <c r="G272" s="599" t="s">
        <v>4282</v>
      </c>
      <c r="H272" s="599" t="s">
        <v>3743</v>
      </c>
      <c r="I272" s="603" t="s">
        <v>3734</v>
      </c>
      <c r="J272" s="603" t="s">
        <v>2727</v>
      </c>
      <c r="K272" s="601" t="s">
        <v>3750</v>
      </c>
      <c r="L272" s="602" t="s">
        <v>3729</v>
      </c>
      <c r="M272" s="1516" t="s">
        <v>3543</v>
      </c>
      <c r="N272" s="602" t="s">
        <v>2732</v>
      </c>
      <c r="O272" s="753" t="s">
        <v>4283</v>
      </c>
      <c r="P272" s="150" t="s">
        <v>4284</v>
      </c>
      <c r="Q272" s="150"/>
      <c r="R272" s="98"/>
      <c r="S272" s="146"/>
      <c r="T272" s="284" t="s">
        <v>4285</v>
      </c>
      <c r="U272" s="284" t="s">
        <v>96</v>
      </c>
      <c r="W272" s="25"/>
      <c r="X272" s="25"/>
      <c r="Z272" s="25"/>
      <c r="AA272" s="77"/>
      <c r="AB272" s="77"/>
      <c r="AC272" s="274"/>
      <c r="AD272" s="40"/>
      <c r="AE272" s="77"/>
      <c r="AF272" s="77"/>
      <c r="AG272" s="77"/>
      <c r="AH272" s="77"/>
      <c r="AI272" s="77"/>
      <c r="AJ272" s="77"/>
      <c r="AK272" s="77"/>
    </row>
    <row r="273" spans="2:37" ht="10.5" customHeight="1">
      <c r="B273" s="146"/>
      <c r="C273" s="211" t="s">
        <v>4286</v>
      </c>
      <c r="D273" s="247"/>
      <c r="F273" s="300"/>
      <c r="G273" s="599" t="s">
        <v>4006</v>
      </c>
      <c r="H273" s="599" t="s">
        <v>3743</v>
      </c>
      <c r="I273" s="600" t="s">
        <v>3877</v>
      </c>
      <c r="J273" s="600" t="s">
        <v>2727</v>
      </c>
      <c r="K273" s="601" t="s">
        <v>3878</v>
      </c>
      <c r="L273" s="602" t="s">
        <v>3729</v>
      </c>
      <c r="M273" s="1516" t="s">
        <v>3546</v>
      </c>
      <c r="N273" s="602" t="s">
        <v>2731</v>
      </c>
      <c r="O273" s="753" t="s">
        <v>4287</v>
      </c>
      <c r="P273" s="150" t="s">
        <v>4288</v>
      </c>
      <c r="Q273" s="150"/>
      <c r="R273" s="98"/>
      <c r="S273" s="146"/>
      <c r="T273" s="284" t="s">
        <v>4289</v>
      </c>
      <c r="U273" s="284" t="s">
        <v>4273</v>
      </c>
      <c r="W273" s="25"/>
      <c r="X273" s="25"/>
      <c r="Z273" s="25"/>
      <c r="AA273" s="77"/>
      <c r="AB273" s="77"/>
      <c r="AC273" s="274"/>
      <c r="AD273" s="40"/>
      <c r="AE273" s="77"/>
      <c r="AF273" s="77"/>
      <c r="AG273" s="77"/>
      <c r="AH273" s="77"/>
      <c r="AI273" s="77"/>
      <c r="AJ273" s="77"/>
      <c r="AK273" s="77"/>
    </row>
    <row r="274" spans="2:37" ht="10.5" customHeight="1">
      <c r="B274" s="146"/>
      <c r="C274" s="211" t="s">
        <v>4290</v>
      </c>
      <c r="D274" s="247"/>
      <c r="F274" s="300"/>
      <c r="G274" s="599" t="s">
        <v>3869</v>
      </c>
      <c r="H274" s="599" t="s">
        <v>3743</v>
      </c>
      <c r="I274" s="600" t="s">
        <v>3877</v>
      </c>
      <c r="J274" s="600" t="s">
        <v>2727</v>
      </c>
      <c r="K274" s="601" t="s">
        <v>3878</v>
      </c>
      <c r="L274" s="602" t="s">
        <v>3729</v>
      </c>
      <c r="M274" s="1516" t="s">
        <v>3546</v>
      </c>
      <c r="N274" s="602" t="s">
        <v>2731</v>
      </c>
      <c r="O274" s="753" t="s">
        <v>4291</v>
      </c>
      <c r="P274" s="150" t="s">
        <v>4292</v>
      </c>
      <c r="Q274" s="150"/>
      <c r="R274" s="98"/>
      <c r="S274" s="146"/>
      <c r="T274" s="284" t="s">
        <v>4293</v>
      </c>
      <c r="U274" s="284" t="s">
        <v>154</v>
      </c>
      <c r="W274" s="25"/>
      <c r="X274" s="25"/>
      <c r="Z274" s="25"/>
      <c r="AA274" s="77"/>
      <c r="AB274" s="77"/>
      <c r="AC274" s="274"/>
      <c r="AD274" s="40"/>
      <c r="AE274" s="77"/>
      <c r="AF274" s="77"/>
      <c r="AG274" s="77"/>
      <c r="AH274" s="77"/>
      <c r="AI274" s="77"/>
      <c r="AJ274" s="77"/>
      <c r="AK274" s="77"/>
    </row>
    <row r="275" spans="2:37" ht="10.5" customHeight="1">
      <c r="B275" s="146"/>
      <c r="C275" s="211" t="s">
        <v>4294</v>
      </c>
      <c r="D275" s="247"/>
      <c r="F275" s="300"/>
      <c r="G275" s="599" t="s">
        <v>4098</v>
      </c>
      <c r="H275" s="599" t="s">
        <v>3743</v>
      </c>
      <c r="I275" s="603" t="s">
        <v>3734</v>
      </c>
      <c r="J275" s="603" t="s">
        <v>2727</v>
      </c>
      <c r="K275" s="601" t="s">
        <v>3750</v>
      </c>
      <c r="L275" s="602" t="s">
        <v>3729</v>
      </c>
      <c r="M275" s="1516" t="s">
        <v>3543</v>
      </c>
      <c r="N275" s="602" t="s">
        <v>2732</v>
      </c>
      <c r="O275" s="753" t="s">
        <v>4295</v>
      </c>
      <c r="P275" s="150" t="s">
        <v>4296</v>
      </c>
      <c r="Q275" s="150"/>
      <c r="R275" s="98"/>
      <c r="S275" s="146"/>
      <c r="T275" s="284" t="s">
        <v>103</v>
      </c>
      <c r="U275" s="284" t="s">
        <v>104</v>
      </c>
      <c r="W275" s="25"/>
      <c r="X275" s="25"/>
      <c r="Z275" s="25"/>
      <c r="AA275" s="77"/>
      <c r="AB275" s="77"/>
      <c r="AC275" s="274"/>
      <c r="AD275" s="40"/>
      <c r="AE275" s="77"/>
      <c r="AF275" s="77"/>
      <c r="AG275" s="77"/>
      <c r="AH275" s="77"/>
      <c r="AI275" s="77"/>
      <c r="AJ275" s="77"/>
      <c r="AK275" s="77"/>
    </row>
    <row r="276" spans="2:37" ht="10.5" customHeight="1">
      <c r="B276" s="146"/>
      <c r="C276" s="211" t="s">
        <v>4297</v>
      </c>
      <c r="D276" s="247"/>
      <c r="F276" s="300"/>
      <c r="G276" s="599" t="s">
        <v>4175</v>
      </c>
      <c r="H276" s="599" t="s">
        <v>3743</v>
      </c>
      <c r="I276" s="603" t="s">
        <v>4092</v>
      </c>
      <c r="J276" s="603" t="s">
        <v>2727</v>
      </c>
      <c r="K276" s="601" t="s">
        <v>4298</v>
      </c>
      <c r="L276" s="602" t="s">
        <v>3729</v>
      </c>
      <c r="M276" s="1516" t="s">
        <v>3546</v>
      </c>
      <c r="N276" s="602" t="s">
        <v>2736</v>
      </c>
      <c r="O276" s="753" t="s">
        <v>4299</v>
      </c>
      <c r="P276" s="150" t="s">
        <v>4300</v>
      </c>
      <c r="Q276" s="150"/>
      <c r="R276" s="98"/>
      <c r="S276" s="146"/>
      <c r="T276" s="284" t="s">
        <v>4301</v>
      </c>
      <c r="U276" s="284" t="s">
        <v>3956</v>
      </c>
      <c r="W276" s="25"/>
      <c r="X276" s="25"/>
      <c r="Z276" s="25"/>
      <c r="AA276" s="77"/>
      <c r="AB276" s="77"/>
      <c r="AC276" s="274"/>
      <c r="AD276" s="40"/>
      <c r="AE276" s="77"/>
      <c r="AF276" s="77"/>
      <c r="AG276" s="77"/>
      <c r="AH276" s="77"/>
      <c r="AI276" s="77"/>
      <c r="AJ276" s="77"/>
      <c r="AK276" s="77"/>
    </row>
    <row r="277" spans="2:37" ht="10.5" customHeight="1">
      <c r="F277" s="300"/>
      <c r="G277" s="599" t="s">
        <v>4302</v>
      </c>
      <c r="H277" s="599" t="s">
        <v>3743</v>
      </c>
      <c r="I277" s="603" t="s">
        <v>3734</v>
      </c>
      <c r="J277" s="603" t="s">
        <v>2727</v>
      </c>
      <c r="K277" s="601" t="s">
        <v>3750</v>
      </c>
      <c r="L277" s="602" t="s">
        <v>3729</v>
      </c>
      <c r="M277" s="1516" t="s">
        <v>3543</v>
      </c>
      <c r="N277" s="602" t="s">
        <v>2732</v>
      </c>
      <c r="O277" s="753" t="s">
        <v>4303</v>
      </c>
      <c r="P277" s="150" t="s">
        <v>4304</v>
      </c>
      <c r="Q277" s="150"/>
      <c r="R277" s="98"/>
      <c r="S277" s="146"/>
      <c r="T277" s="284" t="s">
        <v>4305</v>
      </c>
      <c r="U277" s="284" t="s">
        <v>4044</v>
      </c>
      <c r="W277" s="25"/>
      <c r="X277" s="25"/>
      <c r="Z277" s="77"/>
      <c r="AA277" s="77"/>
      <c r="AB277" s="77"/>
      <c r="AC277" s="274"/>
      <c r="AD277" s="40"/>
      <c r="AE277" s="77"/>
      <c r="AF277" s="77"/>
      <c r="AG277" s="77"/>
      <c r="AH277" s="77"/>
      <c r="AI277" s="77"/>
      <c r="AJ277" s="77"/>
      <c r="AK277" s="77"/>
    </row>
    <row r="278" spans="2:37" ht="10.5" customHeight="1">
      <c r="F278" s="300"/>
      <c r="G278" s="599" t="s">
        <v>4012</v>
      </c>
      <c r="H278" s="599" t="s">
        <v>3705</v>
      </c>
      <c r="I278" s="600" t="s">
        <v>4099</v>
      </c>
      <c r="J278" s="600" t="s">
        <v>3547</v>
      </c>
      <c r="K278" s="601" t="s">
        <v>4306</v>
      </c>
      <c r="L278" s="602" t="s">
        <v>3708</v>
      </c>
      <c r="M278" s="1516" t="s">
        <v>3546</v>
      </c>
      <c r="N278" s="602" t="s">
        <v>2216</v>
      </c>
      <c r="O278" s="753" t="s">
        <v>4307</v>
      </c>
      <c r="P278" s="150" t="s">
        <v>4308</v>
      </c>
      <c r="Q278" s="150"/>
      <c r="R278" s="98"/>
      <c r="S278" s="146"/>
      <c r="T278" s="284" t="s">
        <v>4309</v>
      </c>
      <c r="U278" s="284" t="s">
        <v>3956</v>
      </c>
      <c r="W278" s="25"/>
      <c r="X278" s="25"/>
      <c r="Z278" s="77"/>
      <c r="AA278" s="77"/>
      <c r="AB278" s="77"/>
      <c r="AC278" s="274"/>
      <c r="AD278" s="40"/>
      <c r="AE278" s="77"/>
      <c r="AF278" s="77"/>
      <c r="AG278" s="77"/>
      <c r="AH278" s="77"/>
      <c r="AI278" s="77"/>
      <c r="AJ278" s="77"/>
      <c r="AK278" s="77"/>
    </row>
    <row r="279" spans="2:37" ht="10.5" customHeight="1">
      <c r="F279" s="300"/>
      <c r="G279" s="599" t="s">
        <v>133</v>
      </c>
      <c r="H279" s="599" t="s">
        <v>3705</v>
      </c>
      <c r="I279" s="603" t="s">
        <v>3734</v>
      </c>
      <c r="J279" s="603" t="s">
        <v>2727</v>
      </c>
      <c r="K279" s="601" t="s">
        <v>3750</v>
      </c>
      <c r="L279" s="602" t="s">
        <v>3729</v>
      </c>
      <c r="M279" s="1516" t="s">
        <v>3543</v>
      </c>
      <c r="N279" s="602" t="s">
        <v>2732</v>
      </c>
      <c r="O279" s="753" t="s">
        <v>4310</v>
      </c>
      <c r="P279" s="150" t="s">
        <v>4311</v>
      </c>
      <c r="Q279" s="150"/>
      <c r="R279" s="98"/>
      <c r="S279" s="146"/>
      <c r="T279" s="284" t="s">
        <v>4312</v>
      </c>
      <c r="U279" s="284" t="s">
        <v>104</v>
      </c>
      <c r="W279" s="25"/>
      <c r="X279" s="25"/>
      <c r="Z279" s="77"/>
      <c r="AA279" s="77"/>
      <c r="AB279" s="77"/>
      <c r="AC279" s="274"/>
      <c r="AD279" s="40"/>
      <c r="AE279" s="77"/>
      <c r="AF279" s="77"/>
      <c r="AG279" s="77"/>
      <c r="AH279" s="77"/>
      <c r="AI279" s="77"/>
      <c r="AJ279" s="77"/>
      <c r="AK279" s="77"/>
    </row>
    <row r="280" spans="2:37" ht="10.5" customHeight="1">
      <c r="F280" s="300"/>
      <c r="G280" s="599" t="s">
        <v>3846</v>
      </c>
      <c r="H280" s="599" t="s">
        <v>3743</v>
      </c>
      <c r="I280" s="600" t="s">
        <v>4105</v>
      </c>
      <c r="J280" s="600" t="s">
        <v>3547</v>
      </c>
      <c r="K280" s="601" t="s">
        <v>4313</v>
      </c>
      <c r="L280" s="602" t="s">
        <v>3708</v>
      </c>
      <c r="M280" s="1516" t="s">
        <v>3546</v>
      </c>
      <c r="N280" s="602" t="s">
        <v>2732</v>
      </c>
      <c r="O280" s="753" t="s">
        <v>4314</v>
      </c>
      <c r="P280" s="150" t="s">
        <v>4315</v>
      </c>
      <c r="Q280" s="150"/>
      <c r="R280" s="98"/>
      <c r="S280" s="146"/>
      <c r="T280" s="284" t="s">
        <v>4316</v>
      </c>
      <c r="U280" s="284" t="s">
        <v>164</v>
      </c>
      <c r="W280" s="25"/>
      <c r="X280" s="25"/>
      <c r="Z280" s="77"/>
      <c r="AA280" s="77"/>
      <c r="AB280" s="77"/>
      <c r="AC280" s="274"/>
      <c r="AD280" s="40"/>
      <c r="AE280" s="77"/>
      <c r="AF280" s="77"/>
      <c r="AG280" s="77"/>
      <c r="AH280" s="77"/>
      <c r="AI280" s="77"/>
      <c r="AJ280" s="77"/>
      <c r="AK280" s="77"/>
    </row>
    <row r="281" spans="2:37" ht="10.5" customHeight="1">
      <c r="F281" s="300"/>
      <c r="G281" s="599" t="s">
        <v>4317</v>
      </c>
      <c r="H281" s="599" t="s">
        <v>3705</v>
      </c>
      <c r="I281" s="603" t="s">
        <v>4110</v>
      </c>
      <c r="J281" s="603" t="s">
        <v>2727</v>
      </c>
      <c r="K281" s="601" t="s">
        <v>4318</v>
      </c>
      <c r="L281" s="602" t="s">
        <v>3729</v>
      </c>
      <c r="M281" s="1516" t="s">
        <v>3546</v>
      </c>
      <c r="N281" s="602" t="s">
        <v>2736</v>
      </c>
      <c r="O281" s="753" t="s">
        <v>4319</v>
      </c>
      <c r="P281" s="150" t="s">
        <v>4320</v>
      </c>
      <c r="Q281" s="150"/>
      <c r="R281" s="98"/>
      <c r="S281" s="146"/>
      <c r="T281" s="284" t="s">
        <v>4321</v>
      </c>
      <c r="U281" s="284" t="s">
        <v>96</v>
      </c>
      <c r="W281" s="25"/>
      <c r="X281" s="25"/>
      <c r="Z281" s="77"/>
      <c r="AA281" s="77"/>
      <c r="AB281" s="77"/>
      <c r="AC281" s="274"/>
      <c r="AD281" s="40"/>
      <c r="AE281" s="77"/>
      <c r="AF281" s="77"/>
      <c r="AG281" s="77"/>
      <c r="AH281" s="77"/>
      <c r="AI281" s="77"/>
      <c r="AJ281" s="77"/>
      <c r="AK281" s="77"/>
    </row>
    <row r="282" spans="2:37" ht="10.5" customHeight="1">
      <c r="F282" s="300"/>
      <c r="G282" s="599" t="s">
        <v>4322</v>
      </c>
      <c r="H282" s="599" t="s">
        <v>3743</v>
      </c>
      <c r="I282" s="603" t="s">
        <v>4116</v>
      </c>
      <c r="J282" s="603" t="s">
        <v>3547</v>
      </c>
      <c r="K282" s="601" t="s">
        <v>4323</v>
      </c>
      <c r="L282" s="602" t="s">
        <v>3708</v>
      </c>
      <c r="M282" s="1516" t="s">
        <v>3546</v>
      </c>
      <c r="N282" s="602" t="s">
        <v>2732</v>
      </c>
      <c r="O282" s="753" t="s">
        <v>4324</v>
      </c>
      <c r="P282" s="150" t="s">
        <v>4325</v>
      </c>
      <c r="Q282" s="150"/>
      <c r="R282" s="98"/>
      <c r="S282" s="146"/>
      <c r="T282" s="284" t="s">
        <v>4326</v>
      </c>
      <c r="U282" s="284" t="s">
        <v>117</v>
      </c>
      <c r="W282" s="25"/>
      <c r="X282" s="25"/>
      <c r="Z282" s="77"/>
      <c r="AA282" s="77"/>
      <c r="AB282" s="77"/>
      <c r="AC282" s="274"/>
      <c r="AD282" s="40"/>
      <c r="AE282" s="77"/>
      <c r="AF282" s="77"/>
      <c r="AG282" s="77"/>
      <c r="AH282" s="77"/>
      <c r="AI282" s="77"/>
      <c r="AJ282" s="77"/>
      <c r="AK282" s="77"/>
    </row>
    <row r="283" spans="2:37" ht="10.5" customHeight="1">
      <c r="F283" s="300"/>
      <c r="G283" s="599" t="s">
        <v>126</v>
      </c>
      <c r="H283" s="599" t="s">
        <v>3705</v>
      </c>
      <c r="I283" s="600" t="s">
        <v>4121</v>
      </c>
      <c r="J283" s="600" t="s">
        <v>3547</v>
      </c>
      <c r="K283" s="601" t="s">
        <v>4327</v>
      </c>
      <c r="L283" s="602" t="s">
        <v>3708</v>
      </c>
      <c r="M283" s="1516" t="s">
        <v>3546</v>
      </c>
      <c r="N283" s="602" t="s">
        <v>2735</v>
      </c>
      <c r="O283" s="753" t="s">
        <v>4328</v>
      </c>
      <c r="P283" s="150" t="s">
        <v>4329</v>
      </c>
      <c r="Q283" s="150"/>
      <c r="R283" s="98"/>
      <c r="S283" s="146"/>
      <c r="T283" s="284" t="s">
        <v>101</v>
      </c>
      <c r="U283" s="284" t="s">
        <v>4330</v>
      </c>
      <c r="W283" s="25"/>
      <c r="X283" s="25"/>
      <c r="Z283" s="77"/>
      <c r="AA283" s="77"/>
      <c r="AB283" s="77"/>
      <c r="AC283" s="274"/>
      <c r="AD283" s="40"/>
      <c r="AE283" s="77"/>
      <c r="AF283" s="77"/>
      <c r="AG283" s="77"/>
      <c r="AH283" s="77"/>
      <c r="AI283" s="77"/>
      <c r="AJ283" s="77"/>
      <c r="AK283" s="77"/>
    </row>
    <row r="284" spans="2:37" ht="10.5" customHeight="1">
      <c r="F284" s="300"/>
      <c r="G284" s="599" t="s">
        <v>4330</v>
      </c>
      <c r="H284" s="599" t="s">
        <v>3743</v>
      </c>
      <c r="I284" s="600" t="s">
        <v>4125</v>
      </c>
      <c r="J284" s="600" t="s">
        <v>3547</v>
      </c>
      <c r="K284" s="601" t="s">
        <v>4331</v>
      </c>
      <c r="L284" s="602" t="s">
        <v>3708</v>
      </c>
      <c r="M284" s="1516" t="s">
        <v>3546</v>
      </c>
      <c r="N284" s="602" t="s">
        <v>2731</v>
      </c>
      <c r="O284" s="753" t="s">
        <v>4332</v>
      </c>
      <c r="P284" s="150" t="s">
        <v>4333</v>
      </c>
      <c r="Q284" s="150"/>
      <c r="R284" s="98"/>
      <c r="S284" s="146"/>
      <c r="T284" s="284" t="s">
        <v>4334</v>
      </c>
      <c r="U284" s="284" t="s">
        <v>4087</v>
      </c>
      <c r="W284" s="25"/>
      <c r="X284" s="25"/>
      <c r="Z284" s="77"/>
      <c r="AA284" s="77"/>
      <c r="AB284" s="77"/>
      <c r="AC284" s="274"/>
      <c r="AD284" s="40"/>
      <c r="AE284" s="77"/>
      <c r="AF284" s="77"/>
      <c r="AG284" s="77"/>
      <c r="AH284" s="77"/>
      <c r="AI284" s="77"/>
      <c r="AJ284" s="77"/>
      <c r="AK284" s="77"/>
    </row>
    <row r="285" spans="2:37" ht="10.5" customHeight="1">
      <c r="F285" s="300"/>
      <c r="G285" s="599" t="s">
        <v>4335</v>
      </c>
      <c r="H285" s="599" t="s">
        <v>3705</v>
      </c>
      <c r="I285" s="600" t="s">
        <v>4129</v>
      </c>
      <c r="J285" s="600" t="s">
        <v>3547</v>
      </c>
      <c r="K285" s="601" t="s">
        <v>4336</v>
      </c>
      <c r="L285" s="602" t="s">
        <v>3708</v>
      </c>
      <c r="M285" s="1516" t="s">
        <v>3546</v>
      </c>
      <c r="N285" s="602" t="s">
        <v>2130</v>
      </c>
      <c r="O285" s="753" t="s">
        <v>4337</v>
      </c>
      <c r="P285" s="150" t="s">
        <v>4338</v>
      </c>
      <c r="Q285" s="150"/>
      <c r="R285" s="98"/>
      <c r="S285" s="146"/>
      <c r="T285" s="284" t="s">
        <v>4339</v>
      </c>
      <c r="U285" s="284" t="s">
        <v>4340</v>
      </c>
      <c r="W285" s="25"/>
      <c r="X285" s="25"/>
      <c r="Z285" s="77"/>
      <c r="AA285" s="77"/>
      <c r="AB285" s="77"/>
      <c r="AC285" s="274"/>
      <c r="AD285" s="40"/>
      <c r="AE285" s="77"/>
      <c r="AF285" s="77"/>
      <c r="AG285" s="77"/>
      <c r="AH285" s="77"/>
      <c r="AI285" s="77"/>
      <c r="AJ285" s="77"/>
      <c r="AK285" s="77"/>
    </row>
    <row r="286" spans="2:37" ht="10.5" customHeight="1">
      <c r="F286" s="300"/>
      <c r="G286" s="599" t="s">
        <v>3899</v>
      </c>
      <c r="H286" s="599" t="s">
        <v>778</v>
      </c>
      <c r="I286" s="603" t="s">
        <v>3741</v>
      </c>
      <c r="J286" s="603" t="s">
        <v>2727</v>
      </c>
      <c r="K286" s="601" t="s">
        <v>3808</v>
      </c>
      <c r="L286" s="602" t="s">
        <v>3729</v>
      </c>
      <c r="M286" s="1516" t="s">
        <v>3543</v>
      </c>
      <c r="N286" s="602" t="s">
        <v>2733</v>
      </c>
      <c r="O286" s="753" t="s">
        <v>4341</v>
      </c>
      <c r="P286" s="150" t="s">
        <v>4342</v>
      </c>
      <c r="Q286" s="150"/>
      <c r="R286" s="98"/>
      <c r="S286" s="146"/>
      <c r="T286" s="284" t="s">
        <v>4343</v>
      </c>
      <c r="U286" s="284" t="s">
        <v>3890</v>
      </c>
      <c r="W286" s="25"/>
      <c r="X286" s="25"/>
      <c r="AA286"/>
      <c r="AB286"/>
      <c r="AC286" s="274"/>
      <c r="AD286" s="40"/>
    </row>
    <row r="287" spans="2:37" ht="10.5" customHeight="1">
      <c r="F287" s="300"/>
      <c r="G287" s="599" t="s">
        <v>143</v>
      </c>
      <c r="H287" s="599" t="s">
        <v>3743</v>
      </c>
      <c r="I287" s="603" t="s">
        <v>3734</v>
      </c>
      <c r="J287" s="603" t="s">
        <v>2727</v>
      </c>
      <c r="K287" s="601" t="s">
        <v>3750</v>
      </c>
      <c r="L287" s="602" t="s">
        <v>3729</v>
      </c>
      <c r="M287" s="1516" t="s">
        <v>3543</v>
      </c>
      <c r="N287" s="602" t="s">
        <v>2732</v>
      </c>
      <c r="O287" s="753" t="s">
        <v>4344</v>
      </c>
      <c r="P287" s="150" t="s">
        <v>4345</v>
      </c>
      <c r="Q287" s="150"/>
      <c r="R287" s="98"/>
      <c r="S287" s="146"/>
      <c r="T287" s="284" t="s">
        <v>4346</v>
      </c>
      <c r="U287" s="284" t="s">
        <v>4347</v>
      </c>
      <c r="W287" s="25"/>
      <c r="X287" s="25"/>
      <c r="AA287"/>
      <c r="AB287"/>
      <c r="AC287" s="274"/>
      <c r="AD287" s="40"/>
    </row>
    <row r="288" spans="2:37" ht="10.5" customHeight="1">
      <c r="F288" s="300"/>
      <c r="G288" s="599" t="s">
        <v>4348</v>
      </c>
      <c r="H288" s="599" t="s">
        <v>3705</v>
      </c>
      <c r="I288" s="600" t="s">
        <v>4142</v>
      </c>
      <c r="J288" s="600" t="s">
        <v>3547</v>
      </c>
      <c r="K288" s="601" t="s">
        <v>4349</v>
      </c>
      <c r="L288" s="602" t="s">
        <v>3708</v>
      </c>
      <c r="M288" s="1516" t="s">
        <v>3546</v>
      </c>
      <c r="N288" s="602" t="s">
        <v>2735</v>
      </c>
      <c r="O288" s="753" t="s">
        <v>4350</v>
      </c>
      <c r="P288" s="150" t="s">
        <v>4351</v>
      </c>
      <c r="Q288" s="150"/>
      <c r="R288" s="98"/>
      <c r="S288" s="146"/>
      <c r="T288" s="284" t="s">
        <v>2155</v>
      </c>
      <c r="U288" s="284" t="s">
        <v>3777</v>
      </c>
      <c r="W288" s="25"/>
      <c r="X288" s="25"/>
      <c r="AA288"/>
      <c r="AB288"/>
      <c r="AC288" s="274"/>
      <c r="AD288" s="40"/>
    </row>
    <row r="289" spans="6:30" ht="10.5" customHeight="1">
      <c r="F289" s="300"/>
      <c r="G289" s="599" t="s">
        <v>4352</v>
      </c>
      <c r="H289" s="599" t="s">
        <v>3705</v>
      </c>
      <c r="I289" s="600" t="s">
        <v>4148</v>
      </c>
      <c r="J289" s="600" t="s">
        <v>3547</v>
      </c>
      <c r="K289" s="601" t="s">
        <v>4353</v>
      </c>
      <c r="L289" s="602" t="s">
        <v>3708</v>
      </c>
      <c r="M289" s="1516" t="s">
        <v>3546</v>
      </c>
      <c r="N289" s="602" t="s">
        <v>2737</v>
      </c>
      <c r="O289" s="753" t="s">
        <v>4354</v>
      </c>
      <c r="P289" s="150" t="s">
        <v>4355</v>
      </c>
      <c r="Q289" s="150"/>
      <c r="R289" s="98"/>
      <c r="S289" s="146"/>
      <c r="T289" s="284" t="s">
        <v>4356</v>
      </c>
      <c r="U289" s="284" t="s">
        <v>4357</v>
      </c>
      <c r="W289" s="25"/>
      <c r="X289" s="25"/>
      <c r="AA289"/>
      <c r="AB289"/>
      <c r="AC289" s="274"/>
      <c r="AD289" s="40"/>
    </row>
    <row r="290" spans="6:30" ht="10.5" customHeight="1">
      <c r="F290" s="300"/>
      <c r="G290" s="599" t="s">
        <v>3712</v>
      </c>
      <c r="H290" s="599"/>
      <c r="I290" s="599" t="s">
        <v>3712</v>
      </c>
      <c r="J290" s="600"/>
      <c r="K290" s="601"/>
      <c r="L290" s="602"/>
      <c r="M290" s="1517" t="s">
        <v>3712</v>
      </c>
      <c r="N290" s="599" t="s">
        <v>3712</v>
      </c>
      <c r="O290" s="753" t="s">
        <v>4358</v>
      </c>
      <c r="P290" s="150" t="s">
        <v>4359</v>
      </c>
      <c r="Q290" s="150"/>
      <c r="R290" s="98"/>
      <c r="S290" s="146"/>
      <c r="T290" s="284" t="s">
        <v>4360</v>
      </c>
      <c r="U290" s="284" t="s">
        <v>2187</v>
      </c>
      <c r="W290" s="25"/>
      <c r="X290" s="25"/>
      <c r="AA290"/>
      <c r="AB290"/>
      <c r="AC290" s="274"/>
      <c r="AD290" s="40"/>
    </row>
    <row r="291" spans="6:30" ht="10.5" customHeight="1">
      <c r="F291" s="300"/>
      <c r="G291" s="599" t="s">
        <v>4361</v>
      </c>
      <c r="H291" s="599" t="s">
        <v>3705</v>
      </c>
      <c r="I291" s="603" t="s">
        <v>4154</v>
      </c>
      <c r="J291" s="600" t="s">
        <v>3547</v>
      </c>
      <c r="K291" s="601" t="s">
        <v>4362</v>
      </c>
      <c r="L291" s="602" t="s">
        <v>3708</v>
      </c>
      <c r="M291" s="1516" t="s">
        <v>3546</v>
      </c>
      <c r="N291" s="602" t="s">
        <v>2130</v>
      </c>
      <c r="O291" s="753" t="s">
        <v>4363</v>
      </c>
      <c r="P291" s="150" t="s">
        <v>4364</v>
      </c>
      <c r="Q291" s="150"/>
      <c r="R291" s="98"/>
      <c r="S291" s="146"/>
      <c r="T291" s="146" t="s">
        <v>4365</v>
      </c>
      <c r="U291" s="146" t="s">
        <v>4335</v>
      </c>
      <c r="W291" s="25"/>
      <c r="X291" s="25"/>
      <c r="AA291"/>
      <c r="AB291"/>
      <c r="AC291" s="274"/>
      <c r="AD291" s="40"/>
    </row>
    <row r="292" spans="6:30" ht="10.5" customHeight="1">
      <c r="F292" s="300"/>
      <c r="G292" s="599" t="s">
        <v>114</v>
      </c>
      <c r="H292" s="599" t="s">
        <v>3743</v>
      </c>
      <c r="I292" s="603" t="s">
        <v>3734</v>
      </c>
      <c r="J292" s="603" t="s">
        <v>2727</v>
      </c>
      <c r="K292" s="601" t="s">
        <v>3750</v>
      </c>
      <c r="L292" s="602" t="s">
        <v>3729</v>
      </c>
      <c r="M292" s="1516" t="s">
        <v>3543</v>
      </c>
      <c r="N292" s="602" t="s">
        <v>2732</v>
      </c>
      <c r="O292" s="753" t="s">
        <v>4366</v>
      </c>
      <c r="P292" s="150" t="s">
        <v>4367</v>
      </c>
      <c r="Q292" s="150"/>
      <c r="R292" s="98"/>
      <c r="S292" s="146"/>
      <c r="T292" s="284" t="s">
        <v>4368</v>
      </c>
      <c r="U292" s="284" t="s">
        <v>154</v>
      </c>
      <c r="W292" s="25"/>
      <c r="X292" s="25"/>
      <c r="AA292"/>
      <c r="AB292"/>
      <c r="AC292" s="40"/>
      <c r="AD292" s="40"/>
    </row>
    <row r="293" spans="6:30" ht="10.5" customHeight="1">
      <c r="F293" s="300"/>
      <c r="G293" s="599" t="s">
        <v>3910</v>
      </c>
      <c r="H293" s="599" t="s">
        <v>3743</v>
      </c>
      <c r="I293" s="603" t="s">
        <v>4160</v>
      </c>
      <c r="J293" s="603" t="s">
        <v>3547</v>
      </c>
      <c r="K293" s="601" t="s">
        <v>4369</v>
      </c>
      <c r="L293" s="602" t="s">
        <v>3708</v>
      </c>
      <c r="M293" s="1516" t="s">
        <v>3546</v>
      </c>
      <c r="N293" s="602" t="s">
        <v>2731</v>
      </c>
      <c r="O293" s="753" t="s">
        <v>4370</v>
      </c>
      <c r="P293" s="150" t="s">
        <v>4371</v>
      </c>
      <c r="Q293" s="150"/>
      <c r="R293" s="98"/>
      <c r="S293" s="146"/>
      <c r="T293" s="284" t="s">
        <v>4372</v>
      </c>
      <c r="U293" s="284" t="s">
        <v>4347</v>
      </c>
      <c r="W293" s="25"/>
      <c r="X293" s="25"/>
      <c r="AA293"/>
      <c r="AB293"/>
      <c r="AC293" s="274"/>
      <c r="AD293" s="40"/>
    </row>
    <row r="294" spans="6:30" ht="10.5" customHeight="1">
      <c r="F294" s="300"/>
      <c r="G294" s="599" t="s">
        <v>4373</v>
      </c>
      <c r="H294" s="599" t="s">
        <v>3705</v>
      </c>
      <c r="I294" s="600" t="s">
        <v>4166</v>
      </c>
      <c r="J294" s="603" t="s">
        <v>2727</v>
      </c>
      <c r="K294" s="601" t="s">
        <v>4374</v>
      </c>
      <c r="L294" s="602" t="s">
        <v>3708</v>
      </c>
      <c r="M294" s="1516" t="s">
        <v>3546</v>
      </c>
      <c r="N294" s="602" t="s">
        <v>2735</v>
      </c>
      <c r="O294" s="753" t="s">
        <v>4375</v>
      </c>
      <c r="P294" s="150" t="s">
        <v>4376</v>
      </c>
      <c r="Q294" s="150"/>
      <c r="R294" s="98"/>
      <c r="S294" s="146"/>
      <c r="T294" s="284" t="s">
        <v>3905</v>
      </c>
      <c r="U294" s="284" t="s">
        <v>4248</v>
      </c>
      <c r="W294" s="25"/>
      <c r="X294" s="25"/>
      <c r="AA294"/>
      <c r="AB294"/>
      <c r="AC294" s="274"/>
      <c r="AD294" s="40"/>
    </row>
    <row r="295" spans="6:30" ht="10.5" customHeight="1">
      <c r="F295" s="300"/>
      <c r="G295" s="599" t="s">
        <v>3825</v>
      </c>
      <c r="H295" s="599" t="s">
        <v>778</v>
      </c>
      <c r="I295" s="600" t="s">
        <v>4171</v>
      </c>
      <c r="J295" s="600" t="s">
        <v>3547</v>
      </c>
      <c r="K295" s="601" t="s">
        <v>4377</v>
      </c>
      <c r="L295" s="602" t="s">
        <v>3708</v>
      </c>
      <c r="M295" s="1516" t="s">
        <v>3546</v>
      </c>
      <c r="N295" s="602" t="s">
        <v>2130</v>
      </c>
      <c r="O295" s="753" t="s">
        <v>4378</v>
      </c>
      <c r="P295" s="150" t="s">
        <v>4379</v>
      </c>
      <c r="Q295" s="150"/>
      <c r="R295" s="98"/>
      <c r="S295" s="146"/>
      <c r="T295" s="284" t="s">
        <v>2735</v>
      </c>
      <c r="U295" s="284" t="s">
        <v>3999</v>
      </c>
      <c r="W295" s="25"/>
      <c r="X295" s="25"/>
      <c r="AA295"/>
      <c r="AB295"/>
      <c r="AC295" s="274"/>
      <c r="AD295" s="40"/>
    </row>
    <row r="296" spans="6:30" ht="10.5" customHeight="1">
      <c r="F296" s="300"/>
      <c r="G296" s="599" t="s">
        <v>4380</v>
      </c>
      <c r="H296" s="599" t="s">
        <v>3705</v>
      </c>
      <c r="I296" s="600" t="s">
        <v>4176</v>
      </c>
      <c r="J296" s="600" t="s">
        <v>2727</v>
      </c>
      <c r="K296" s="601" t="s">
        <v>4381</v>
      </c>
      <c r="L296" s="602" t="s">
        <v>3708</v>
      </c>
      <c r="M296" s="1516" t="s">
        <v>3546</v>
      </c>
      <c r="N296" s="602" t="s">
        <v>2735</v>
      </c>
      <c r="O296" s="753" t="s">
        <v>4382</v>
      </c>
      <c r="P296" s="150" t="s">
        <v>4383</v>
      </c>
      <c r="Q296" s="150"/>
      <c r="R296" s="98"/>
      <c r="S296" s="146"/>
      <c r="T296" s="284" t="s">
        <v>4384</v>
      </c>
      <c r="U296" s="284" t="s">
        <v>2187</v>
      </c>
      <c r="W296" s="25"/>
      <c r="X296" s="25"/>
      <c r="AA296"/>
      <c r="AB296"/>
      <c r="AC296" s="274"/>
      <c r="AD296" s="40"/>
    </row>
    <row r="297" spans="6:30" ht="10.5" customHeight="1">
      <c r="F297" s="300"/>
      <c r="G297" s="599" t="s">
        <v>4385</v>
      </c>
      <c r="H297" s="599" t="s">
        <v>3743</v>
      </c>
      <c r="I297" s="600" t="s">
        <v>4182</v>
      </c>
      <c r="J297" s="600" t="s">
        <v>3547</v>
      </c>
      <c r="K297" s="601" t="s">
        <v>4386</v>
      </c>
      <c r="L297" s="602" t="s">
        <v>3708</v>
      </c>
      <c r="M297" s="1516" t="s">
        <v>3546</v>
      </c>
      <c r="N297" s="602" t="s">
        <v>2731</v>
      </c>
      <c r="O297" s="753" t="s">
        <v>4387</v>
      </c>
      <c r="P297" s="150" t="s">
        <v>4388</v>
      </c>
      <c r="Q297" s="150"/>
      <c r="R297" s="98"/>
      <c r="S297" s="146"/>
      <c r="T297" s="146" t="s">
        <v>2158</v>
      </c>
      <c r="U297" s="146" t="s">
        <v>3853</v>
      </c>
      <c r="W297" s="25"/>
      <c r="X297" s="25"/>
      <c r="AA297"/>
      <c r="AB297"/>
      <c r="AC297" s="274"/>
      <c r="AD297" s="40"/>
    </row>
    <row r="298" spans="6:30" ht="10.5" customHeight="1">
      <c r="F298" s="300"/>
      <c r="G298" s="599" t="s">
        <v>4347</v>
      </c>
      <c r="H298" s="599" t="s">
        <v>3705</v>
      </c>
      <c r="I298" s="600" t="s">
        <v>4187</v>
      </c>
      <c r="J298" s="600" t="s">
        <v>3547</v>
      </c>
      <c r="K298" s="601" t="s">
        <v>4389</v>
      </c>
      <c r="L298" s="602" t="s">
        <v>3708</v>
      </c>
      <c r="M298" s="1516" t="s">
        <v>3546</v>
      </c>
      <c r="N298" s="602" t="s">
        <v>2737</v>
      </c>
      <c r="O298" s="753" t="s">
        <v>4390</v>
      </c>
      <c r="P298" s="150" t="s">
        <v>4391</v>
      </c>
      <c r="Q298" s="150"/>
      <c r="R298" s="98"/>
      <c r="S298" s="146"/>
      <c r="T298" s="284" t="s">
        <v>4392</v>
      </c>
      <c r="U298" s="284" t="s">
        <v>133</v>
      </c>
      <c r="W298" s="25"/>
      <c r="X298" s="25"/>
      <c r="AA298"/>
      <c r="AB298"/>
      <c r="AC298" s="40"/>
      <c r="AD298" s="40"/>
    </row>
    <row r="299" spans="6:30" ht="10.5" customHeight="1">
      <c r="F299" s="300"/>
      <c r="G299" s="599" t="s">
        <v>4165</v>
      </c>
      <c r="H299" s="599" t="s">
        <v>3705</v>
      </c>
      <c r="I299" s="600" t="s">
        <v>4191</v>
      </c>
      <c r="J299" s="600" t="s">
        <v>3547</v>
      </c>
      <c r="K299" s="601" t="s">
        <v>4393</v>
      </c>
      <c r="L299" s="602" t="s">
        <v>3708</v>
      </c>
      <c r="M299" s="1516" t="s">
        <v>3546</v>
      </c>
      <c r="N299" s="602" t="s">
        <v>2735</v>
      </c>
      <c r="O299" s="753" t="s">
        <v>4394</v>
      </c>
      <c r="P299" s="150" t="s">
        <v>4395</v>
      </c>
      <c r="Q299" s="150"/>
      <c r="R299" s="98"/>
      <c r="S299" s="146"/>
      <c r="T299" s="284" t="s">
        <v>105</v>
      </c>
      <c r="U299" s="284" t="s">
        <v>101</v>
      </c>
      <c r="W299" s="25"/>
      <c r="X299" s="25"/>
      <c r="AA299"/>
      <c r="AB299"/>
      <c r="AC299" s="274"/>
      <c r="AD299" s="40"/>
    </row>
    <row r="300" spans="6:30" ht="10.5" customHeight="1">
      <c r="F300" s="300"/>
      <c r="G300" s="599" t="s">
        <v>4396</v>
      </c>
      <c r="H300" s="599" t="s">
        <v>3705</v>
      </c>
      <c r="I300" s="600" t="s">
        <v>4197</v>
      </c>
      <c r="J300" s="600" t="s">
        <v>3547</v>
      </c>
      <c r="K300" s="601" t="s">
        <v>4397</v>
      </c>
      <c r="L300" s="602" t="s">
        <v>3708</v>
      </c>
      <c r="M300" s="1516" t="s">
        <v>3546</v>
      </c>
      <c r="N300" s="602" t="s">
        <v>2130</v>
      </c>
      <c r="O300" s="753" t="s">
        <v>4398</v>
      </c>
      <c r="P300" s="150" t="s">
        <v>4399</v>
      </c>
      <c r="Q300" s="150"/>
      <c r="R300" s="98"/>
      <c r="S300" s="146"/>
      <c r="T300" s="284" t="s">
        <v>2162</v>
      </c>
      <c r="U300" s="284" t="s">
        <v>143</v>
      </c>
      <c r="W300" s="25"/>
      <c r="X300" s="25"/>
      <c r="AA300"/>
      <c r="AB300"/>
      <c r="AC300" s="274"/>
      <c r="AD300" s="40"/>
    </row>
    <row r="301" spans="6:30" ht="10.5" customHeight="1">
      <c r="F301" s="300"/>
      <c r="G301" s="599" t="s">
        <v>4115</v>
      </c>
      <c r="H301" s="599" t="s">
        <v>3705</v>
      </c>
      <c r="I301" s="603" t="s">
        <v>2130</v>
      </c>
      <c r="J301" s="600" t="s">
        <v>2727</v>
      </c>
      <c r="K301" s="601" t="s">
        <v>3968</v>
      </c>
      <c r="L301" s="602" t="s">
        <v>3729</v>
      </c>
      <c r="M301" s="1516" t="s">
        <v>3546</v>
      </c>
      <c r="N301" s="602" t="s">
        <v>2130</v>
      </c>
      <c r="O301" s="753" t="s">
        <v>4400</v>
      </c>
      <c r="P301" s="150" t="s">
        <v>4401</v>
      </c>
      <c r="Q301" s="150"/>
      <c r="R301" s="98"/>
      <c r="S301" s="146"/>
      <c r="T301" s="284" t="s">
        <v>4402</v>
      </c>
      <c r="U301" s="284" t="s">
        <v>3954</v>
      </c>
      <c r="W301" s="25"/>
      <c r="X301" s="25"/>
      <c r="AA301"/>
      <c r="AB301"/>
      <c r="AC301" s="274"/>
      <c r="AD301" s="40"/>
    </row>
    <row r="302" spans="6:30" ht="10.5" customHeight="1">
      <c r="F302" s="300"/>
      <c r="G302" s="599" t="s">
        <v>3954</v>
      </c>
      <c r="H302" s="599" t="s">
        <v>3705</v>
      </c>
      <c r="I302" s="603" t="s">
        <v>4204</v>
      </c>
      <c r="J302" s="603" t="s">
        <v>3547</v>
      </c>
      <c r="K302" s="601" t="s">
        <v>4403</v>
      </c>
      <c r="L302" s="602" t="s">
        <v>3708</v>
      </c>
      <c r="M302" s="1516" t="s">
        <v>3546</v>
      </c>
      <c r="N302" s="602" t="s">
        <v>2216</v>
      </c>
      <c r="O302" s="753" t="s">
        <v>4404</v>
      </c>
      <c r="P302" s="150" t="s">
        <v>4405</v>
      </c>
      <c r="Q302" s="150"/>
      <c r="R302" s="98"/>
      <c r="S302" s="146"/>
      <c r="T302" s="284" t="s">
        <v>2166</v>
      </c>
      <c r="U302" s="284" t="s">
        <v>3840</v>
      </c>
      <c r="W302" s="25"/>
      <c r="X302" s="25"/>
      <c r="AA302"/>
      <c r="AB302"/>
      <c r="AC302" s="274"/>
      <c r="AD302" s="40"/>
    </row>
    <row r="303" spans="6:30" ht="10.5" customHeight="1">
      <c r="F303" s="300"/>
      <c r="G303" s="599" t="s">
        <v>160</v>
      </c>
      <c r="H303" s="599" t="s">
        <v>3705</v>
      </c>
      <c r="I303" s="603" t="s">
        <v>4210</v>
      </c>
      <c r="J303" s="603" t="s">
        <v>3547</v>
      </c>
      <c r="K303" s="601" t="s">
        <v>4406</v>
      </c>
      <c r="L303" s="602" t="s">
        <v>3708</v>
      </c>
      <c r="M303" s="1516" t="s">
        <v>3546</v>
      </c>
      <c r="N303" s="602" t="s">
        <v>2130</v>
      </c>
      <c r="O303" s="753" t="s">
        <v>4407</v>
      </c>
      <c r="P303" s="150" t="s">
        <v>4408</v>
      </c>
      <c r="Q303" s="150"/>
      <c r="R303" s="98"/>
      <c r="S303" s="146"/>
      <c r="T303" s="284" t="s">
        <v>4409</v>
      </c>
      <c r="U303" s="284" t="s">
        <v>4117</v>
      </c>
      <c r="W303" s="25"/>
      <c r="X303" s="25"/>
      <c r="AA303"/>
      <c r="AB303"/>
      <c r="AC303" s="274"/>
      <c r="AD303" s="538"/>
    </row>
    <row r="304" spans="6:30" ht="10.5" customHeight="1">
      <c r="F304" s="300"/>
      <c r="G304" s="599" t="s">
        <v>4410</v>
      </c>
      <c r="H304" s="599" t="s">
        <v>3705</v>
      </c>
      <c r="I304" s="603" t="s">
        <v>4213</v>
      </c>
      <c r="J304" s="603" t="s">
        <v>3547</v>
      </c>
      <c r="K304" s="601" t="s">
        <v>4411</v>
      </c>
      <c r="L304" s="602" t="s">
        <v>3708</v>
      </c>
      <c r="M304" s="1516" t="s">
        <v>3546</v>
      </c>
      <c r="N304" s="602" t="s">
        <v>2737</v>
      </c>
      <c r="O304" s="753" t="s">
        <v>4412</v>
      </c>
      <c r="P304" s="150" t="s">
        <v>4413</v>
      </c>
      <c r="Q304" s="150"/>
      <c r="R304" s="98"/>
      <c r="S304" s="146"/>
      <c r="T304" s="284" t="s">
        <v>4414</v>
      </c>
      <c r="U304" s="284" t="s">
        <v>164</v>
      </c>
      <c r="W304" s="25"/>
      <c r="X304" s="25"/>
      <c r="AA304"/>
      <c r="AB304"/>
      <c r="AC304" s="274"/>
      <c r="AD304" s="40"/>
    </row>
    <row r="305" spans="6:30" ht="10.5" customHeight="1">
      <c r="F305" s="300"/>
      <c r="G305" s="599" t="s">
        <v>129</v>
      </c>
      <c r="H305" s="599" t="s">
        <v>3743</v>
      </c>
      <c r="I305" s="603" t="s">
        <v>4219</v>
      </c>
      <c r="J305" s="603" t="s">
        <v>3547</v>
      </c>
      <c r="K305" s="601" t="s">
        <v>4415</v>
      </c>
      <c r="L305" s="602" t="s">
        <v>3708</v>
      </c>
      <c r="M305" s="1516" t="s">
        <v>3546</v>
      </c>
      <c r="N305" s="602" t="s">
        <v>2731</v>
      </c>
      <c r="O305" s="753" t="s">
        <v>4416</v>
      </c>
      <c r="P305" s="150" t="s">
        <v>4417</v>
      </c>
      <c r="Q305" s="150"/>
      <c r="R305" s="98"/>
      <c r="S305" s="146"/>
      <c r="T305" s="284" t="s">
        <v>106</v>
      </c>
      <c r="U305" s="284" t="s">
        <v>107</v>
      </c>
      <c r="W305" s="25"/>
      <c r="X305" s="25"/>
      <c r="AA305"/>
      <c r="AB305"/>
      <c r="AC305" s="274"/>
      <c r="AD305" s="40"/>
    </row>
    <row r="306" spans="6:30" ht="10.5" customHeight="1">
      <c r="F306" s="300"/>
      <c r="G306" s="599" t="s">
        <v>4418</v>
      </c>
      <c r="H306" s="599" t="s">
        <v>3705</v>
      </c>
      <c r="I306" s="603" t="s">
        <v>4224</v>
      </c>
      <c r="J306" s="603" t="s">
        <v>3547</v>
      </c>
      <c r="K306" s="601" t="s">
        <v>4419</v>
      </c>
      <c r="L306" s="602" t="s">
        <v>3708</v>
      </c>
      <c r="M306" s="1516" t="s">
        <v>3546</v>
      </c>
      <c r="N306" s="602" t="s">
        <v>2736</v>
      </c>
      <c r="O306" s="753" t="s">
        <v>4420</v>
      </c>
      <c r="P306" s="150" t="s">
        <v>4421</v>
      </c>
      <c r="Q306" s="150"/>
      <c r="R306" s="98"/>
      <c r="S306" s="146"/>
      <c r="T306" s="284" t="s">
        <v>4422</v>
      </c>
      <c r="U306" s="284" t="s">
        <v>4282</v>
      </c>
      <c r="W306" s="25"/>
      <c r="X306" s="25"/>
      <c r="AA306"/>
      <c r="AB306"/>
      <c r="AC306" s="274"/>
      <c r="AD306" s="40"/>
    </row>
    <row r="307" spans="6:30" ht="10.5" customHeight="1">
      <c r="F307" s="300"/>
      <c r="G307" s="599" t="s">
        <v>4423</v>
      </c>
      <c r="H307" s="599" t="s">
        <v>3705</v>
      </c>
      <c r="I307" s="600" t="s">
        <v>4228</v>
      </c>
      <c r="J307" s="603" t="s">
        <v>3547</v>
      </c>
      <c r="K307" s="601" t="s">
        <v>4424</v>
      </c>
      <c r="L307" s="602" t="s">
        <v>3708</v>
      </c>
      <c r="M307" s="1516" t="s">
        <v>3546</v>
      </c>
      <c r="N307" s="602" t="s">
        <v>2732</v>
      </c>
      <c r="O307" s="753" t="s">
        <v>4425</v>
      </c>
      <c r="P307" s="150" t="s">
        <v>4426</v>
      </c>
      <c r="Q307" s="150"/>
      <c r="R307" s="98"/>
      <c r="S307" s="146"/>
      <c r="T307" s="284" t="s">
        <v>3927</v>
      </c>
      <c r="U307" s="284" t="s">
        <v>3869</v>
      </c>
      <c r="W307" s="25"/>
      <c r="X307" s="25"/>
      <c r="AA307"/>
      <c r="AB307"/>
      <c r="AC307" s="274"/>
      <c r="AD307" s="40"/>
    </row>
    <row r="308" spans="6:30" ht="10.5" customHeight="1">
      <c r="F308" s="300"/>
      <c r="G308" s="599" t="s">
        <v>3875</v>
      </c>
      <c r="H308" s="599" t="s">
        <v>3705</v>
      </c>
      <c r="I308" s="603" t="s">
        <v>4232</v>
      </c>
      <c r="J308" s="600" t="s">
        <v>3547</v>
      </c>
      <c r="K308" s="601" t="s">
        <v>4427</v>
      </c>
      <c r="L308" s="602" t="s">
        <v>3708</v>
      </c>
      <c r="M308" s="1516" t="s">
        <v>3546</v>
      </c>
      <c r="N308" s="602" t="s">
        <v>2130</v>
      </c>
      <c r="O308" s="753" t="s">
        <v>4428</v>
      </c>
      <c r="P308" s="150" t="s">
        <v>4429</v>
      </c>
      <c r="Q308" s="150"/>
      <c r="R308" s="98"/>
      <c r="S308" s="146"/>
      <c r="T308" s="284" t="s">
        <v>4430</v>
      </c>
      <c r="U308" s="284" t="s">
        <v>4385</v>
      </c>
      <c r="W308" s="25"/>
      <c r="X308" s="25"/>
      <c r="AA308"/>
      <c r="AB308"/>
      <c r="AC308" s="274"/>
      <c r="AD308" s="40"/>
    </row>
    <row r="309" spans="6:30" ht="10.5" customHeight="1">
      <c r="F309" s="300"/>
      <c r="G309" s="599" t="s">
        <v>4431</v>
      </c>
      <c r="H309" s="599" t="s">
        <v>3705</v>
      </c>
      <c r="I309" s="603" t="s">
        <v>2736</v>
      </c>
      <c r="J309" s="603" t="s">
        <v>2727</v>
      </c>
      <c r="K309" s="601" t="s">
        <v>3771</v>
      </c>
      <c r="L309" s="602" t="s">
        <v>3729</v>
      </c>
      <c r="M309" s="1516" t="s">
        <v>3546</v>
      </c>
      <c r="N309" s="602" t="s">
        <v>2736</v>
      </c>
      <c r="O309" s="753" t="s">
        <v>4432</v>
      </c>
      <c r="P309" s="150" t="s">
        <v>4433</v>
      </c>
      <c r="Q309" s="150"/>
      <c r="R309" s="98"/>
      <c r="S309" s="146"/>
      <c r="T309" s="284" t="s">
        <v>4434</v>
      </c>
      <c r="U309" s="284" t="s">
        <v>4322</v>
      </c>
      <c r="W309" s="25"/>
      <c r="X309" s="25"/>
      <c r="AA309"/>
      <c r="AB309"/>
      <c r="AC309" s="274"/>
      <c r="AD309" s="40"/>
    </row>
    <row r="310" spans="6:30" ht="10.5" customHeight="1">
      <c r="F310" s="300"/>
      <c r="G310" s="599" t="s">
        <v>4023</v>
      </c>
      <c r="H310" s="599" t="s">
        <v>3743</v>
      </c>
      <c r="I310" s="603" t="s">
        <v>4237</v>
      </c>
      <c r="J310" s="603" t="s">
        <v>3547</v>
      </c>
      <c r="K310" s="601" t="s">
        <v>4435</v>
      </c>
      <c r="L310" s="602" t="s">
        <v>3708</v>
      </c>
      <c r="M310" s="1516" t="s">
        <v>3546</v>
      </c>
      <c r="N310" s="602" t="s">
        <v>2731</v>
      </c>
      <c r="O310" s="753" t="s">
        <v>4436</v>
      </c>
      <c r="P310" s="150" t="s">
        <v>4437</v>
      </c>
      <c r="Q310" s="150"/>
      <c r="R310" s="98"/>
      <c r="S310" s="146"/>
      <c r="T310" s="284" t="s">
        <v>4438</v>
      </c>
      <c r="U310" s="284" t="s">
        <v>4258</v>
      </c>
      <c r="W310" s="25"/>
      <c r="X310" s="25"/>
      <c r="AA310"/>
      <c r="AB310"/>
      <c r="AC310" s="274"/>
      <c r="AD310" s="40"/>
    </row>
    <row r="311" spans="6:30" ht="10.5" customHeight="1">
      <c r="F311" s="300"/>
      <c r="G311" s="599" t="s">
        <v>131</v>
      </c>
      <c r="H311" s="599" t="s">
        <v>3705</v>
      </c>
      <c r="I311" s="600" t="s">
        <v>4242</v>
      </c>
      <c r="J311" s="603" t="s">
        <v>3547</v>
      </c>
      <c r="K311" s="601" t="s">
        <v>4439</v>
      </c>
      <c r="L311" s="602" t="s">
        <v>3708</v>
      </c>
      <c r="M311" s="1516" t="s">
        <v>3546</v>
      </c>
      <c r="N311" s="602" t="s">
        <v>2732</v>
      </c>
      <c r="O311" s="753" t="s">
        <v>4440</v>
      </c>
      <c r="P311" s="150" t="s">
        <v>4441</v>
      </c>
      <c r="Q311" s="150"/>
      <c r="R311" s="98"/>
      <c r="S311" s="146"/>
      <c r="T311" s="284" t="s">
        <v>4442</v>
      </c>
      <c r="U311" s="284" t="s">
        <v>4030</v>
      </c>
      <c r="W311" s="25"/>
      <c r="X311" s="25"/>
      <c r="AA311"/>
      <c r="AB311"/>
      <c r="AC311" s="274"/>
      <c r="AD311" s="40"/>
    </row>
    <row r="312" spans="6:30" ht="10.5" customHeight="1">
      <c r="F312" s="300"/>
      <c r="G312" s="599" t="s">
        <v>104</v>
      </c>
      <c r="H312" s="599" t="s">
        <v>3743</v>
      </c>
      <c r="I312" s="603" t="s">
        <v>2734</v>
      </c>
      <c r="J312" s="600" t="s">
        <v>2727</v>
      </c>
      <c r="K312" s="601" t="s">
        <v>3842</v>
      </c>
      <c r="L312" s="602" t="s">
        <v>3729</v>
      </c>
      <c r="M312" s="1516" t="s">
        <v>3546</v>
      </c>
      <c r="N312" s="602" t="s">
        <v>2734</v>
      </c>
      <c r="O312" s="753" t="s">
        <v>4443</v>
      </c>
      <c r="P312" s="150" t="s">
        <v>4444</v>
      </c>
      <c r="Q312" s="150"/>
      <c r="R312" s="98"/>
      <c r="S312" s="146"/>
      <c r="T312" s="284" t="s">
        <v>4445</v>
      </c>
      <c r="U312" s="284" t="s">
        <v>3859</v>
      </c>
      <c r="W312" s="25"/>
      <c r="X312" s="25"/>
      <c r="AA312"/>
      <c r="AB312"/>
      <c r="AC312" s="274"/>
      <c r="AD312" s="40"/>
    </row>
    <row r="313" spans="6:30" ht="10.5" customHeight="1">
      <c r="F313" s="300"/>
      <c r="G313" s="599" t="s">
        <v>3992</v>
      </c>
      <c r="H313" s="599" t="s">
        <v>3743</v>
      </c>
      <c r="I313" s="603" t="s">
        <v>3734</v>
      </c>
      <c r="J313" s="603" t="s">
        <v>2727</v>
      </c>
      <c r="K313" s="601" t="s">
        <v>3750</v>
      </c>
      <c r="L313" s="602" t="s">
        <v>3729</v>
      </c>
      <c r="M313" s="1516" t="s">
        <v>3543</v>
      </c>
      <c r="N313" s="602" t="s">
        <v>2732</v>
      </c>
      <c r="O313" s="753" t="s">
        <v>4446</v>
      </c>
      <c r="P313" s="150" t="s">
        <v>4447</v>
      </c>
      <c r="Q313" s="150"/>
      <c r="R313" s="98"/>
      <c r="S313" s="146"/>
      <c r="T313" s="284" t="s">
        <v>4448</v>
      </c>
      <c r="U313" s="284" t="s">
        <v>4335</v>
      </c>
      <c r="W313" s="25"/>
      <c r="X313" s="25"/>
      <c r="AA313"/>
      <c r="AB313"/>
      <c r="AC313" s="274"/>
      <c r="AD313" s="40"/>
    </row>
    <row r="314" spans="6:30" ht="10.5" customHeight="1">
      <c r="F314" s="300"/>
      <c r="G314" s="599" t="s">
        <v>109</v>
      </c>
      <c r="H314" s="599" t="s">
        <v>3705</v>
      </c>
      <c r="I314" s="603" t="s">
        <v>4253</v>
      </c>
      <c r="J314" s="603" t="s">
        <v>3547</v>
      </c>
      <c r="K314" s="601" t="s">
        <v>4449</v>
      </c>
      <c r="L314" s="602" t="s">
        <v>3708</v>
      </c>
      <c r="M314" s="1516" t="s">
        <v>3546</v>
      </c>
      <c r="N314" s="602" t="s">
        <v>2216</v>
      </c>
      <c r="O314" s="753" t="s">
        <v>4450</v>
      </c>
      <c r="P314" s="150" t="s">
        <v>4451</v>
      </c>
      <c r="Q314" s="150"/>
      <c r="R314" s="98"/>
      <c r="S314" s="146"/>
      <c r="T314" s="284" t="s">
        <v>4452</v>
      </c>
      <c r="U314" s="284" t="s">
        <v>3975</v>
      </c>
      <c r="W314" s="25"/>
      <c r="X314" s="25"/>
      <c r="AA314"/>
      <c r="AB314"/>
      <c r="AC314" s="274"/>
      <c r="AD314" s="40"/>
    </row>
    <row r="315" spans="6:30" ht="10.5" customHeight="1">
      <c r="F315" s="300"/>
      <c r="G315" s="599" t="s">
        <v>4203</v>
      </c>
      <c r="H315" s="599" t="s">
        <v>3743</v>
      </c>
      <c r="I315" s="603" t="s">
        <v>4263</v>
      </c>
      <c r="J315" s="603" t="s">
        <v>3547</v>
      </c>
      <c r="K315" s="601" t="s">
        <v>4453</v>
      </c>
      <c r="L315" s="602" t="s">
        <v>3708</v>
      </c>
      <c r="M315" s="1516" t="s">
        <v>3546</v>
      </c>
      <c r="N315" s="602" t="s">
        <v>2733</v>
      </c>
      <c r="O315" s="753" t="s">
        <v>4454</v>
      </c>
      <c r="P315" s="150" t="s">
        <v>4455</v>
      </c>
      <c r="Q315" s="150"/>
      <c r="R315" s="98"/>
      <c r="S315" s="146"/>
      <c r="T315" s="284" t="s">
        <v>4456</v>
      </c>
      <c r="U315" s="284" t="s">
        <v>4214</v>
      </c>
      <c r="W315" s="25"/>
      <c r="X315" s="25"/>
      <c r="AA315"/>
      <c r="AB315"/>
      <c r="AC315" s="274"/>
      <c r="AD315" s="40"/>
    </row>
    <row r="316" spans="6:30" ht="10.5" customHeight="1">
      <c r="F316" s="300"/>
      <c r="G316" s="599" t="s">
        <v>2220</v>
      </c>
      <c r="H316" s="599" t="s">
        <v>3705</v>
      </c>
      <c r="I316" s="603" t="s">
        <v>4268</v>
      </c>
      <c r="J316" s="603" t="s">
        <v>3547</v>
      </c>
      <c r="K316" s="601" t="s">
        <v>4457</v>
      </c>
      <c r="L316" s="602" t="s">
        <v>3708</v>
      </c>
      <c r="M316" s="1516" t="s">
        <v>3546</v>
      </c>
      <c r="N316" s="602" t="s">
        <v>2736</v>
      </c>
      <c r="O316" s="753" t="s">
        <v>4458</v>
      </c>
      <c r="P316" s="150" t="s">
        <v>4459</v>
      </c>
      <c r="Q316" s="150"/>
      <c r="R316" s="98"/>
      <c r="S316" s="146"/>
      <c r="T316" s="284" t="s">
        <v>4460</v>
      </c>
      <c r="U316" s="284" t="s">
        <v>117</v>
      </c>
      <c r="W316" s="25"/>
      <c r="X316" s="25"/>
      <c r="AA316"/>
      <c r="AB316"/>
      <c r="AC316" s="274"/>
      <c r="AD316" s="40"/>
    </row>
    <row r="317" spans="6:30" ht="10.5" customHeight="1">
      <c r="F317" s="300"/>
      <c r="G317" s="599" t="s">
        <v>4461</v>
      </c>
      <c r="H317" s="599" t="s">
        <v>3705</v>
      </c>
      <c r="I317" s="603" t="s">
        <v>4272</v>
      </c>
      <c r="J317" s="603" t="s">
        <v>3547</v>
      </c>
      <c r="K317" s="601" t="s">
        <v>4462</v>
      </c>
      <c r="L317" s="602" t="s">
        <v>3708</v>
      </c>
      <c r="M317" s="1516" t="s">
        <v>3546</v>
      </c>
      <c r="N317" s="602" t="s">
        <v>2737</v>
      </c>
      <c r="O317" s="753" t="s">
        <v>4463</v>
      </c>
      <c r="P317" s="150" t="s">
        <v>4464</v>
      </c>
      <c r="Q317" s="150"/>
      <c r="R317" s="98"/>
      <c r="S317" s="146"/>
      <c r="T317" s="284" t="s">
        <v>4465</v>
      </c>
      <c r="U317" s="284" t="s">
        <v>4098</v>
      </c>
      <c r="W317" s="25"/>
      <c r="X317" s="25"/>
      <c r="AA317"/>
      <c r="AB317"/>
      <c r="AC317" s="274"/>
      <c r="AD317" s="40"/>
    </row>
    <row r="318" spans="6:30" ht="10.5" customHeight="1">
      <c r="F318" s="300"/>
      <c r="G318" s="599" t="s">
        <v>4466</v>
      </c>
      <c r="H318" s="599" t="s">
        <v>3705</v>
      </c>
      <c r="I318" s="603" t="s">
        <v>4277</v>
      </c>
      <c r="J318" s="603" t="s">
        <v>3547</v>
      </c>
      <c r="K318" s="601" t="s">
        <v>4467</v>
      </c>
      <c r="L318" s="602" t="s">
        <v>3708</v>
      </c>
      <c r="M318" s="1516" t="s">
        <v>3546</v>
      </c>
      <c r="N318" s="602" t="s">
        <v>2735</v>
      </c>
      <c r="O318" s="753" t="s">
        <v>4468</v>
      </c>
      <c r="P318" s="150" t="s">
        <v>4469</v>
      </c>
      <c r="Q318" s="150"/>
      <c r="R318" s="98"/>
      <c r="S318" s="146"/>
      <c r="T318" s="284" t="s">
        <v>2170</v>
      </c>
      <c r="U318" s="284" t="s">
        <v>4357</v>
      </c>
      <c r="W318" s="25"/>
      <c r="X318" s="25"/>
      <c r="AA318"/>
      <c r="AB318"/>
      <c r="AC318" s="274"/>
      <c r="AD318" s="40"/>
    </row>
    <row r="319" spans="6:30" ht="10.5" customHeight="1">
      <c r="F319" s="300"/>
      <c r="G319" s="599" t="s">
        <v>3757</v>
      </c>
      <c r="H319" s="599" t="s">
        <v>3705</v>
      </c>
      <c r="I319" s="603" t="s">
        <v>4281</v>
      </c>
      <c r="J319" s="603" t="s">
        <v>3547</v>
      </c>
      <c r="K319" s="601" t="s">
        <v>4470</v>
      </c>
      <c r="L319" s="602" t="s">
        <v>3708</v>
      </c>
      <c r="M319" s="1516" t="s">
        <v>3546</v>
      </c>
      <c r="N319" s="602" t="s">
        <v>2736</v>
      </c>
      <c r="O319" s="753" t="s">
        <v>4471</v>
      </c>
      <c r="P319" s="150" t="s">
        <v>4472</v>
      </c>
      <c r="Q319" s="150"/>
      <c r="R319" s="98"/>
      <c r="S319" s="146"/>
      <c r="T319" s="284" t="s">
        <v>4473</v>
      </c>
      <c r="U319" s="284" t="s">
        <v>3977</v>
      </c>
      <c r="W319" s="25"/>
      <c r="X319" s="25"/>
      <c r="AA319"/>
      <c r="AB319"/>
      <c r="AC319" s="274"/>
      <c r="AD319" s="40"/>
    </row>
    <row r="320" spans="6:30" ht="10.5" customHeight="1">
      <c r="F320" s="300"/>
      <c r="G320" s="599" t="s">
        <v>4340</v>
      </c>
      <c r="H320" s="599" t="s">
        <v>3743</v>
      </c>
      <c r="I320" s="603" t="s">
        <v>4286</v>
      </c>
      <c r="J320" s="603" t="s">
        <v>3547</v>
      </c>
      <c r="K320" s="601" t="s">
        <v>4474</v>
      </c>
      <c r="L320" s="602" t="s">
        <v>3708</v>
      </c>
      <c r="M320" s="1516" t="s">
        <v>3546</v>
      </c>
      <c r="N320" s="602" t="s">
        <v>2731</v>
      </c>
      <c r="O320" s="753" t="s">
        <v>4475</v>
      </c>
      <c r="P320" s="150" t="s">
        <v>4476</v>
      </c>
      <c r="Q320" s="150"/>
      <c r="R320" s="98"/>
      <c r="S320" s="146"/>
      <c r="T320" s="284" t="s">
        <v>4477</v>
      </c>
      <c r="U320" s="284" t="s">
        <v>2187</v>
      </c>
      <c r="W320" s="25"/>
      <c r="X320" s="25"/>
      <c r="AA320"/>
      <c r="AB320"/>
      <c r="AC320" s="274"/>
      <c r="AD320" s="40"/>
    </row>
    <row r="321" spans="6:30" ht="10.5" customHeight="1">
      <c r="F321" s="300"/>
      <c r="G321" s="599" t="s">
        <v>4357</v>
      </c>
      <c r="H321" s="599" t="s">
        <v>3743</v>
      </c>
      <c r="I321" s="600" t="s">
        <v>2170</v>
      </c>
      <c r="J321" s="603" t="s">
        <v>2727</v>
      </c>
      <c r="K321" s="601" t="s">
        <v>4478</v>
      </c>
      <c r="L321" s="602" t="s">
        <v>3729</v>
      </c>
      <c r="M321" s="1516" t="s">
        <v>3543</v>
      </c>
      <c r="N321" s="602" t="s">
        <v>2734</v>
      </c>
      <c r="O321" s="753" t="s">
        <v>4479</v>
      </c>
      <c r="P321" s="150" t="s">
        <v>4480</v>
      </c>
      <c r="Q321" s="150"/>
      <c r="R321" s="98"/>
      <c r="S321" s="146"/>
      <c r="T321" s="146" t="s">
        <v>4481</v>
      </c>
      <c r="U321" s="146" t="s">
        <v>3788</v>
      </c>
      <c r="W321" s="25"/>
      <c r="X321" s="25"/>
      <c r="AA321"/>
      <c r="AB321"/>
      <c r="AC321" s="274"/>
      <c r="AD321" s="40"/>
    </row>
    <row r="322" spans="6:30" ht="10.5" customHeight="1">
      <c r="F322" s="300"/>
      <c r="G322" s="599" t="s">
        <v>3719</v>
      </c>
      <c r="H322" s="599" t="s">
        <v>3705</v>
      </c>
      <c r="I322" s="603" t="s">
        <v>4290</v>
      </c>
      <c r="J322" s="600" t="s">
        <v>3547</v>
      </c>
      <c r="K322" s="601" t="s">
        <v>4482</v>
      </c>
      <c r="L322" s="602" t="s">
        <v>3708</v>
      </c>
      <c r="M322" s="1516" t="s">
        <v>3546</v>
      </c>
      <c r="N322" s="602" t="s">
        <v>2130</v>
      </c>
      <c r="O322" s="753" t="s">
        <v>4483</v>
      </c>
      <c r="P322" s="150" t="s">
        <v>4484</v>
      </c>
      <c r="Q322" s="150"/>
      <c r="R322" s="98"/>
      <c r="S322" s="146"/>
      <c r="T322" s="284" t="s">
        <v>4485</v>
      </c>
      <c r="U322" s="284" t="s">
        <v>4238</v>
      </c>
      <c r="W322" s="25"/>
      <c r="X322" s="25"/>
      <c r="AA322"/>
      <c r="AB322"/>
      <c r="AC322" s="40"/>
      <c r="AD322" s="40"/>
    </row>
    <row r="323" spans="6:30" ht="10.5" customHeight="1">
      <c r="F323" s="300"/>
      <c r="G323" s="599" t="s">
        <v>4486</v>
      </c>
      <c r="H323" s="599" t="s">
        <v>3743</v>
      </c>
      <c r="I323" s="603" t="s">
        <v>4294</v>
      </c>
      <c r="J323" s="603" t="s">
        <v>3547</v>
      </c>
      <c r="K323" s="601" t="s">
        <v>4487</v>
      </c>
      <c r="L323" s="602" t="s">
        <v>3708</v>
      </c>
      <c r="M323" s="1516" t="s">
        <v>3546</v>
      </c>
      <c r="N323" s="602" t="s">
        <v>2733</v>
      </c>
      <c r="O323" s="753" t="s">
        <v>4488</v>
      </c>
      <c r="P323" s="150" t="s">
        <v>4489</v>
      </c>
      <c r="Q323" s="150"/>
      <c r="R323" s="98"/>
      <c r="S323" s="146"/>
      <c r="T323" s="284" t="s">
        <v>4490</v>
      </c>
      <c r="U323" s="284" t="s">
        <v>152</v>
      </c>
      <c r="W323" s="25"/>
      <c r="X323" s="25"/>
      <c r="AA323"/>
      <c r="AB323"/>
      <c r="AC323" s="274"/>
      <c r="AD323" s="40"/>
    </row>
    <row r="324" spans="6:30" ht="10.5" customHeight="1">
      <c r="F324" s="300"/>
      <c r="G324" s="599" t="s">
        <v>3788</v>
      </c>
      <c r="H324" s="599" t="s">
        <v>3705</v>
      </c>
      <c r="I324" s="603" t="s">
        <v>4297</v>
      </c>
      <c r="J324" s="603" t="s">
        <v>3547</v>
      </c>
      <c r="K324" s="601" t="s">
        <v>4491</v>
      </c>
      <c r="L324" s="602" t="s">
        <v>3708</v>
      </c>
      <c r="M324" s="1516" t="s">
        <v>3546</v>
      </c>
      <c r="N324" s="602" t="s">
        <v>2736</v>
      </c>
      <c r="O324" s="753" t="s">
        <v>4492</v>
      </c>
      <c r="P324" s="150" t="s">
        <v>4493</v>
      </c>
      <c r="Q324" s="150"/>
      <c r="R324" s="98"/>
      <c r="S324" s="146"/>
      <c r="T324" s="284" t="s">
        <v>4494</v>
      </c>
      <c r="U324" s="284" t="s">
        <v>2220</v>
      </c>
      <c r="W324" s="25"/>
      <c r="X324" s="25"/>
      <c r="AA324"/>
      <c r="AB324"/>
      <c r="AC324" s="274"/>
      <c r="AD324" s="40"/>
    </row>
    <row r="325" spans="6:30" ht="10.5" customHeight="1">
      <c r="F325" s="159"/>
      <c r="G325" s="599" t="s">
        <v>4495</v>
      </c>
      <c r="H325" s="599" t="s">
        <v>3705</v>
      </c>
      <c r="I325" s="603" t="s">
        <v>2130</v>
      </c>
      <c r="J325" s="603" t="s">
        <v>2727</v>
      </c>
      <c r="K325" s="601" t="s">
        <v>3968</v>
      </c>
      <c r="L325" s="602" t="s">
        <v>3729</v>
      </c>
      <c r="M325" s="1516" t="s">
        <v>3546</v>
      </c>
      <c r="N325" s="602" t="s">
        <v>2130</v>
      </c>
      <c r="O325" s="753" t="s">
        <v>4496</v>
      </c>
      <c r="P325" s="150" t="s">
        <v>4497</v>
      </c>
      <c r="Q325" s="150"/>
      <c r="R325" s="98"/>
      <c r="S325" s="146"/>
      <c r="T325" s="284" t="s">
        <v>3941</v>
      </c>
      <c r="U325" s="284" t="s">
        <v>4115</v>
      </c>
      <c r="W325" s="25"/>
      <c r="X325" s="25"/>
      <c r="AA325"/>
      <c r="AB325"/>
      <c r="AC325" s="274"/>
      <c r="AD325" s="40"/>
    </row>
    <row r="326" spans="6:30" ht="10.5" customHeight="1">
      <c r="P326" s="150" t="s">
        <v>4498</v>
      </c>
      <c r="Q326" s="150"/>
      <c r="R326" s="98"/>
      <c r="S326" s="146"/>
      <c r="T326" s="284" t="s">
        <v>4499</v>
      </c>
      <c r="U326" s="284" t="s">
        <v>3941</v>
      </c>
      <c r="W326" s="25"/>
      <c r="X326" s="25"/>
      <c r="AA326"/>
      <c r="AB326"/>
      <c r="AC326" s="274"/>
      <c r="AD326" s="40"/>
    </row>
    <row r="327" spans="6:30" ht="10.5" customHeight="1">
      <c r="P327" s="150" t="s">
        <v>4500</v>
      </c>
      <c r="Q327" s="150"/>
      <c r="R327" s="98"/>
      <c r="S327" s="146"/>
      <c r="T327" s="146" t="s">
        <v>4501</v>
      </c>
      <c r="U327" s="146" t="s">
        <v>3825</v>
      </c>
      <c r="W327" s="25"/>
      <c r="X327" s="25"/>
      <c r="AA327"/>
      <c r="AB327"/>
      <c r="AC327" s="274"/>
      <c r="AD327" s="40"/>
    </row>
    <row r="328" spans="6:30" ht="10.5" customHeight="1">
      <c r="P328" s="150" t="s">
        <v>4502</v>
      </c>
      <c r="Q328" s="150"/>
      <c r="R328" s="98"/>
      <c r="S328" s="146"/>
      <c r="T328" s="284" t="s">
        <v>4503</v>
      </c>
      <c r="U328" s="284" t="s">
        <v>4233</v>
      </c>
      <c r="W328" s="25"/>
      <c r="X328" s="25"/>
      <c r="AA328"/>
      <c r="AB328"/>
      <c r="AC328" s="40"/>
      <c r="AD328" s="40"/>
    </row>
    <row r="329" spans="6:30" ht="10.5" customHeight="1">
      <c r="P329" s="150" t="s">
        <v>4504</v>
      </c>
      <c r="Q329" s="150"/>
      <c r="R329" s="98"/>
      <c r="S329" s="146"/>
      <c r="T329" s="284" t="s">
        <v>3890</v>
      </c>
      <c r="U329" s="284" t="s">
        <v>96</v>
      </c>
      <c r="W329" s="25"/>
      <c r="X329" s="25"/>
      <c r="AA329"/>
      <c r="AB329"/>
      <c r="AC329" s="274"/>
      <c r="AD329" s="40"/>
    </row>
    <row r="330" spans="6:30" ht="10.5" customHeight="1">
      <c r="P330" s="150" t="s">
        <v>4505</v>
      </c>
      <c r="Q330" s="150"/>
      <c r="R330" s="98"/>
      <c r="S330" s="146"/>
      <c r="T330" s="284" t="s">
        <v>108</v>
      </c>
      <c r="U330" s="284" t="s">
        <v>109</v>
      </c>
      <c r="W330" s="25"/>
      <c r="X330" s="25"/>
      <c r="AA330"/>
      <c r="AB330"/>
      <c r="AC330" s="274"/>
      <c r="AD330" s="40"/>
    </row>
    <row r="331" spans="6:30" ht="10.5" customHeight="1">
      <c r="P331" s="150" t="s">
        <v>4506</v>
      </c>
      <c r="Q331" s="150"/>
      <c r="R331" s="98"/>
      <c r="S331" s="146"/>
      <c r="T331" s="284" t="s">
        <v>4507</v>
      </c>
      <c r="U331" s="284" t="s">
        <v>2220</v>
      </c>
      <c r="W331" s="25"/>
      <c r="X331" s="25"/>
      <c r="AA331"/>
      <c r="AB331"/>
      <c r="AC331" s="274"/>
      <c r="AD331" s="40"/>
    </row>
    <row r="332" spans="6:30" ht="10.5" customHeight="1">
      <c r="P332" s="150" t="s">
        <v>4508</v>
      </c>
      <c r="Q332" s="150"/>
      <c r="R332" s="98"/>
      <c r="S332" s="146"/>
      <c r="T332" s="284" t="s">
        <v>4509</v>
      </c>
      <c r="U332" s="284" t="s">
        <v>164</v>
      </c>
      <c r="W332" s="25"/>
      <c r="X332" s="25"/>
      <c r="AA332"/>
      <c r="AB332"/>
      <c r="AC332" s="274"/>
      <c r="AD332" s="40"/>
    </row>
    <row r="333" spans="6:30" ht="10.5" customHeight="1">
      <c r="P333" s="150" t="s">
        <v>4510</v>
      </c>
      <c r="Q333" s="150"/>
      <c r="R333" s="98"/>
      <c r="S333" s="146"/>
      <c r="T333" s="284" t="s">
        <v>4511</v>
      </c>
      <c r="U333" s="284" t="s">
        <v>4143</v>
      </c>
      <c r="W333" s="25"/>
      <c r="X333" s="25"/>
      <c r="AA333"/>
      <c r="AB333"/>
      <c r="AC333" s="274"/>
      <c r="AD333" s="40"/>
    </row>
    <row r="334" spans="6:30" ht="10.5" customHeight="1">
      <c r="P334" s="150" t="s">
        <v>4512</v>
      </c>
      <c r="Q334" s="150"/>
      <c r="R334" s="98"/>
      <c r="S334" s="146"/>
      <c r="T334" s="146" t="s">
        <v>4513</v>
      </c>
      <c r="U334" s="146" t="s">
        <v>3994</v>
      </c>
      <c r="W334" s="25"/>
      <c r="X334" s="25"/>
      <c r="AA334"/>
      <c r="AB334"/>
      <c r="AC334" s="274"/>
      <c r="AD334" s="40"/>
    </row>
    <row r="335" spans="6:30" ht="10.5" customHeight="1">
      <c r="P335" s="150" t="s">
        <v>4514</v>
      </c>
      <c r="Q335" s="150"/>
      <c r="R335" s="98"/>
      <c r="S335" s="146"/>
      <c r="T335" s="284" t="s">
        <v>4515</v>
      </c>
      <c r="U335" s="284" t="s">
        <v>4181</v>
      </c>
      <c r="W335" s="25"/>
      <c r="X335" s="25"/>
      <c r="AA335"/>
      <c r="AB335"/>
      <c r="AC335" s="40"/>
      <c r="AD335" s="40"/>
    </row>
    <row r="336" spans="6:30" ht="10.5" customHeight="1">
      <c r="P336" s="150" t="s">
        <v>4516</v>
      </c>
      <c r="Q336" s="150"/>
      <c r="R336" s="98"/>
      <c r="S336" s="146"/>
      <c r="T336" s="284" t="s">
        <v>4517</v>
      </c>
      <c r="U336" s="284" t="s">
        <v>4330</v>
      </c>
      <c r="W336" s="25"/>
      <c r="X336" s="25"/>
      <c r="AA336"/>
      <c r="AB336"/>
      <c r="AC336" s="274"/>
      <c r="AD336" s="40"/>
    </row>
    <row r="337" spans="16:30" ht="10.5" customHeight="1">
      <c r="P337" s="150" t="s">
        <v>4518</v>
      </c>
      <c r="Q337" s="150"/>
      <c r="R337" s="98"/>
      <c r="S337" s="146"/>
      <c r="T337" s="284" t="s">
        <v>110</v>
      </c>
      <c r="U337" s="284" t="s">
        <v>111</v>
      </c>
      <c r="W337" s="25"/>
      <c r="X337" s="25"/>
      <c r="AA337"/>
      <c r="AB337"/>
      <c r="AC337" s="274"/>
      <c r="AD337" s="40"/>
    </row>
    <row r="338" spans="16:30" ht="10.5" customHeight="1">
      <c r="P338" s="150" t="s">
        <v>4519</v>
      </c>
      <c r="Q338" s="150"/>
      <c r="R338" s="98"/>
      <c r="S338" s="146"/>
      <c r="T338" s="318" t="s">
        <v>4520</v>
      </c>
      <c r="U338" s="284" t="s">
        <v>3905</v>
      </c>
      <c r="W338" s="25"/>
      <c r="X338" s="25"/>
      <c r="AA338"/>
      <c r="AB338"/>
      <c r="AC338" s="274"/>
      <c r="AD338" s="40"/>
    </row>
    <row r="339" spans="16:30" ht="10.5" customHeight="1">
      <c r="P339" s="150" t="s">
        <v>4521</v>
      </c>
      <c r="Q339" s="150"/>
      <c r="R339" s="98"/>
      <c r="S339" s="146"/>
      <c r="T339" s="284" t="s">
        <v>4522</v>
      </c>
      <c r="U339" s="284" t="s">
        <v>4361</v>
      </c>
      <c r="W339" s="25"/>
      <c r="X339" s="25"/>
      <c r="AA339"/>
      <c r="AB339"/>
      <c r="AC339" s="537"/>
      <c r="AD339" s="40"/>
    </row>
    <row r="340" spans="16:30" ht="10.5" customHeight="1">
      <c r="P340" s="150" t="s">
        <v>4523</v>
      </c>
      <c r="Q340" s="150"/>
      <c r="R340" s="98"/>
      <c r="S340" s="146"/>
      <c r="T340" s="284" t="s">
        <v>4524</v>
      </c>
      <c r="U340" s="284" t="s">
        <v>3962</v>
      </c>
      <c r="W340" s="25"/>
      <c r="X340" s="25"/>
      <c r="AA340"/>
      <c r="AB340"/>
      <c r="AC340" s="274"/>
      <c r="AD340" s="40"/>
    </row>
    <row r="341" spans="16:30" ht="10.5" customHeight="1">
      <c r="P341" s="150" t="s">
        <v>4525</v>
      </c>
      <c r="Q341" s="150"/>
      <c r="R341" s="98"/>
      <c r="S341" s="146"/>
      <c r="T341" s="284" t="s">
        <v>4526</v>
      </c>
      <c r="U341" s="284" t="s">
        <v>96</v>
      </c>
      <c r="W341" s="25"/>
      <c r="X341" s="25"/>
      <c r="AA341"/>
      <c r="AB341"/>
      <c r="AC341" s="274"/>
      <c r="AD341" s="40"/>
    </row>
    <row r="342" spans="16:30" ht="10.5" customHeight="1">
      <c r="P342" s="150" t="s">
        <v>4527</v>
      </c>
      <c r="Q342" s="150"/>
      <c r="R342" s="98"/>
      <c r="S342" s="146"/>
      <c r="T342" s="146" t="s">
        <v>146</v>
      </c>
      <c r="U342" s="146" t="s">
        <v>3818</v>
      </c>
      <c r="W342" s="25"/>
      <c r="X342" s="25"/>
      <c r="AA342"/>
      <c r="AB342"/>
      <c r="AC342" s="274"/>
      <c r="AD342" s="40"/>
    </row>
    <row r="343" spans="16:30" ht="10.5" customHeight="1">
      <c r="P343" s="150" t="s">
        <v>4528</v>
      </c>
      <c r="Q343" s="150"/>
      <c r="R343" s="98"/>
      <c r="S343" s="146"/>
      <c r="T343" s="146" t="s">
        <v>4529</v>
      </c>
      <c r="U343" s="146" t="s">
        <v>146</v>
      </c>
      <c r="W343" s="25"/>
      <c r="X343" s="25"/>
      <c r="AA343"/>
      <c r="AB343"/>
      <c r="AC343" s="40"/>
      <c r="AD343" s="40"/>
    </row>
    <row r="344" spans="16:30" ht="10.5" customHeight="1">
      <c r="P344" s="150" t="s">
        <v>4530</v>
      </c>
      <c r="Q344" s="150"/>
      <c r="R344" s="98"/>
      <c r="S344" s="146"/>
      <c r="T344" s="284" t="s">
        <v>112</v>
      </c>
      <c r="U344" s="284" t="s">
        <v>96</v>
      </c>
      <c r="W344" s="25"/>
      <c r="X344" s="25"/>
      <c r="AA344"/>
      <c r="AB344"/>
      <c r="AC344" s="40"/>
      <c r="AD344" s="40"/>
    </row>
    <row r="345" spans="16:30" ht="10.5" customHeight="1">
      <c r="P345" s="150" t="s">
        <v>4531</v>
      </c>
      <c r="Q345" s="150"/>
      <c r="R345" s="98"/>
      <c r="S345" s="146"/>
      <c r="T345" s="284" t="s">
        <v>4532</v>
      </c>
      <c r="U345" s="284" t="s">
        <v>3858</v>
      </c>
      <c r="W345" s="25"/>
      <c r="X345" s="25"/>
      <c r="AA345"/>
      <c r="AB345"/>
      <c r="AC345" s="274"/>
      <c r="AD345" s="40"/>
    </row>
    <row r="346" spans="16:30" ht="10.5" customHeight="1">
      <c r="P346" s="150" t="s">
        <v>4533</v>
      </c>
      <c r="Q346" s="150"/>
      <c r="R346" s="98"/>
      <c r="S346" s="146"/>
      <c r="T346" s="284" t="s">
        <v>2174</v>
      </c>
      <c r="U346" s="284" t="s">
        <v>4181</v>
      </c>
      <c r="W346" s="25"/>
      <c r="X346" s="25"/>
      <c r="AA346"/>
      <c r="AB346"/>
      <c r="AC346" s="274"/>
      <c r="AD346" s="40"/>
    </row>
    <row r="347" spans="16:30" ht="10.5" customHeight="1">
      <c r="P347" s="150" t="s">
        <v>4534</v>
      </c>
      <c r="Q347" s="150"/>
      <c r="R347" s="98"/>
      <c r="S347" s="146"/>
      <c r="T347" s="284" t="s">
        <v>4535</v>
      </c>
      <c r="U347" s="284" t="s">
        <v>4181</v>
      </c>
      <c r="W347" s="25"/>
      <c r="X347" s="25"/>
      <c r="AA347"/>
      <c r="AB347"/>
      <c r="AC347" s="274"/>
      <c r="AD347" s="40"/>
    </row>
    <row r="348" spans="16:30" ht="10.5" customHeight="1">
      <c r="P348" s="150" t="s">
        <v>4536</v>
      </c>
      <c r="Q348" s="150"/>
      <c r="R348" s="98"/>
      <c r="S348" s="146"/>
      <c r="T348" s="284" t="s">
        <v>4537</v>
      </c>
      <c r="U348" s="284" t="s">
        <v>3975</v>
      </c>
      <c r="W348" s="25"/>
      <c r="X348" s="25"/>
      <c r="AA348"/>
      <c r="AB348"/>
      <c r="AC348" s="274"/>
      <c r="AD348" s="40"/>
    </row>
    <row r="349" spans="16:30" ht="10.5" customHeight="1">
      <c r="P349" s="150" t="s">
        <v>4538</v>
      </c>
      <c r="Q349" s="150"/>
      <c r="R349" s="98"/>
      <c r="S349" s="146"/>
      <c r="T349" s="284" t="s">
        <v>4539</v>
      </c>
      <c r="U349" s="284" t="s">
        <v>96</v>
      </c>
      <c r="W349" s="25"/>
      <c r="X349" s="25"/>
      <c r="AA349"/>
      <c r="AB349"/>
      <c r="AC349" s="274"/>
      <c r="AD349" s="40"/>
    </row>
    <row r="350" spans="16:30" ht="10.5" customHeight="1">
      <c r="P350" s="150" t="s">
        <v>4540</v>
      </c>
      <c r="Q350" s="150"/>
      <c r="R350" s="98"/>
      <c r="S350" s="146"/>
      <c r="T350" s="284" t="s">
        <v>4541</v>
      </c>
      <c r="U350" s="284" t="s">
        <v>138</v>
      </c>
      <c r="W350" s="25"/>
      <c r="X350" s="25"/>
      <c r="AA350"/>
      <c r="AB350"/>
      <c r="AC350" s="274"/>
      <c r="AD350" s="40"/>
    </row>
    <row r="351" spans="16:30" ht="10.5" customHeight="1">
      <c r="P351" s="150" t="s">
        <v>4542</v>
      </c>
      <c r="Q351" s="150"/>
      <c r="R351" s="98"/>
      <c r="S351" s="146"/>
      <c r="T351" s="284" t="s">
        <v>4543</v>
      </c>
      <c r="U351" s="284" t="s">
        <v>167</v>
      </c>
      <c r="W351" s="25"/>
      <c r="X351" s="25"/>
      <c r="AA351"/>
      <c r="AB351"/>
      <c r="AC351" s="274"/>
      <c r="AD351" s="40"/>
    </row>
    <row r="352" spans="16:30" ht="10.5" customHeight="1">
      <c r="P352" s="150" t="s">
        <v>4544</v>
      </c>
      <c r="Q352" s="150"/>
      <c r="R352" s="98"/>
      <c r="S352" s="146"/>
      <c r="T352" s="284" t="s">
        <v>4545</v>
      </c>
      <c r="U352" s="284" t="s">
        <v>4181</v>
      </c>
      <c r="W352" s="25"/>
      <c r="X352" s="25"/>
      <c r="AA352"/>
      <c r="AB352"/>
      <c r="AC352" s="274"/>
      <c r="AD352" s="40"/>
    </row>
    <row r="353" spans="16:30" ht="10.5" customHeight="1">
      <c r="P353" s="150" t="s">
        <v>4546</v>
      </c>
      <c r="Q353" s="150"/>
      <c r="R353" s="98"/>
      <c r="S353" s="146"/>
      <c r="T353" s="284" t="s">
        <v>4547</v>
      </c>
      <c r="U353" s="284" t="s">
        <v>4044</v>
      </c>
      <c r="W353" s="25"/>
      <c r="X353" s="25"/>
      <c r="AA353"/>
      <c r="AB353"/>
      <c r="AC353" s="274"/>
      <c r="AD353" s="40"/>
    </row>
    <row r="354" spans="16:30" ht="10.5" customHeight="1">
      <c r="P354" s="150" t="s">
        <v>4548</v>
      </c>
      <c r="Q354" s="150"/>
      <c r="R354" s="98"/>
      <c r="S354" s="146"/>
      <c r="T354" s="284" t="s">
        <v>113</v>
      </c>
      <c r="U354" s="284" t="s">
        <v>114</v>
      </c>
      <c r="W354" s="25"/>
      <c r="X354" s="25"/>
      <c r="AA354"/>
      <c r="AB354"/>
      <c r="AC354" s="274"/>
      <c r="AD354" s="40"/>
    </row>
    <row r="355" spans="16:30" ht="10.5" customHeight="1">
      <c r="P355" s="150" t="s">
        <v>4549</v>
      </c>
      <c r="Q355" s="150"/>
      <c r="R355" s="98"/>
      <c r="S355" s="146"/>
      <c r="T355" s="284" t="s">
        <v>115</v>
      </c>
      <c r="U355" s="284" t="s">
        <v>116</v>
      </c>
      <c r="W355" s="25"/>
      <c r="X355" s="25"/>
      <c r="AA355"/>
      <c r="AB355"/>
      <c r="AC355" s="274"/>
      <c r="AD355" s="40"/>
    </row>
    <row r="356" spans="16:30" ht="10.5" customHeight="1">
      <c r="P356" s="150" t="s">
        <v>4550</v>
      </c>
      <c r="Q356" s="150"/>
      <c r="R356" s="98"/>
      <c r="S356" s="146"/>
      <c r="T356" s="284" t="s">
        <v>4551</v>
      </c>
      <c r="U356" s="284" t="s">
        <v>154</v>
      </c>
      <c r="W356" s="25"/>
      <c r="X356" s="25"/>
      <c r="AA356"/>
      <c r="AB356"/>
      <c r="AC356" s="274"/>
      <c r="AD356" s="40"/>
    </row>
    <row r="357" spans="16:30" ht="10.5" customHeight="1">
      <c r="P357" s="150" t="s">
        <v>4552</v>
      </c>
      <c r="Q357" s="150"/>
      <c r="R357" s="98"/>
      <c r="S357" s="146"/>
      <c r="T357" s="284" t="s">
        <v>4553</v>
      </c>
      <c r="U357" s="284" t="s">
        <v>3956</v>
      </c>
      <c r="W357" s="25"/>
      <c r="X357" s="25"/>
      <c r="AA357"/>
      <c r="AB357"/>
      <c r="AC357" s="274"/>
      <c r="AD357" s="40"/>
    </row>
    <row r="358" spans="16:30" ht="10.5" customHeight="1">
      <c r="P358" s="150" t="s">
        <v>4554</v>
      </c>
      <c r="Q358" s="150"/>
      <c r="R358" s="98"/>
      <c r="S358" s="146"/>
      <c r="T358" s="146" t="s">
        <v>4555</v>
      </c>
      <c r="U358" s="146" t="s">
        <v>4322</v>
      </c>
      <c r="W358" s="25"/>
      <c r="X358" s="25"/>
      <c r="AA358"/>
      <c r="AB358"/>
      <c r="AC358" s="274"/>
      <c r="AD358" s="40"/>
    </row>
    <row r="359" spans="16:30" ht="10.5" customHeight="1">
      <c r="P359" s="150" t="s">
        <v>4556</v>
      </c>
      <c r="Q359" s="150"/>
      <c r="R359" s="98"/>
      <c r="S359" s="146"/>
      <c r="T359" s="146" t="s">
        <v>4557</v>
      </c>
      <c r="U359" s="146" t="s">
        <v>4050</v>
      </c>
      <c r="W359" s="25"/>
      <c r="X359" s="25"/>
      <c r="AA359"/>
      <c r="AB359"/>
      <c r="AC359" s="40"/>
      <c r="AD359" s="40"/>
    </row>
    <row r="360" spans="16:30" ht="10.5" customHeight="1">
      <c r="P360" s="150" t="s">
        <v>4558</v>
      </c>
      <c r="Q360" s="150"/>
      <c r="R360" s="98"/>
      <c r="S360" s="146"/>
      <c r="T360" s="146" t="s">
        <v>4559</v>
      </c>
      <c r="U360" s="146" t="s">
        <v>3820</v>
      </c>
      <c r="W360" s="25"/>
      <c r="X360" s="25"/>
      <c r="AA360"/>
      <c r="AB360"/>
      <c r="AC360" s="40"/>
      <c r="AD360" s="40"/>
    </row>
    <row r="361" spans="16:30" ht="10.5" customHeight="1">
      <c r="P361" s="150" t="s">
        <v>4560</v>
      </c>
      <c r="Q361" s="150"/>
      <c r="R361" s="98"/>
      <c r="S361" s="146"/>
      <c r="T361" s="284" t="s">
        <v>4561</v>
      </c>
      <c r="U361" s="284" t="s">
        <v>3994</v>
      </c>
      <c r="W361" s="25"/>
      <c r="X361" s="25"/>
      <c r="AA361"/>
      <c r="AB361"/>
      <c r="AC361" s="40"/>
      <c r="AD361" s="40"/>
    </row>
    <row r="362" spans="16:30" ht="10.5" customHeight="1">
      <c r="P362" s="150" t="s">
        <v>4562</v>
      </c>
      <c r="Q362" s="150"/>
      <c r="R362" s="98"/>
      <c r="S362" s="146"/>
      <c r="T362" s="284" t="s">
        <v>4563</v>
      </c>
      <c r="U362" s="284" t="s">
        <v>4348</v>
      </c>
      <c r="W362" s="25"/>
      <c r="X362" s="25"/>
      <c r="AA362"/>
      <c r="AB362"/>
      <c r="AC362" s="274"/>
      <c r="AD362" s="40"/>
    </row>
    <row r="363" spans="16:30" ht="10.5" customHeight="1">
      <c r="P363" s="150" t="s">
        <v>4564</v>
      </c>
      <c r="Q363" s="150"/>
      <c r="R363" s="98"/>
      <c r="S363" s="146"/>
      <c r="T363" s="146" t="s">
        <v>4565</v>
      </c>
      <c r="U363" s="146" t="s">
        <v>3905</v>
      </c>
      <c r="W363" s="25"/>
      <c r="X363" s="25"/>
      <c r="AA363"/>
      <c r="AB363"/>
      <c r="AC363" s="274"/>
      <c r="AD363" s="40"/>
    </row>
    <row r="364" spans="16:30" ht="10.5" customHeight="1">
      <c r="P364" s="150" t="s">
        <v>4566</v>
      </c>
      <c r="Q364" s="150"/>
      <c r="R364" s="98"/>
      <c r="S364" s="146"/>
      <c r="T364" s="146" t="s">
        <v>4567</v>
      </c>
      <c r="U364" s="146" t="s">
        <v>101</v>
      </c>
      <c r="W364" s="25"/>
      <c r="X364" s="25"/>
      <c r="AA364"/>
      <c r="AB364"/>
      <c r="AC364" s="40"/>
      <c r="AD364" s="40"/>
    </row>
    <row r="365" spans="16:30" ht="10.5" customHeight="1">
      <c r="P365" s="150" t="s">
        <v>4568</v>
      </c>
      <c r="Q365" s="150"/>
      <c r="R365" s="98"/>
      <c r="S365" s="146"/>
      <c r="T365" s="284" t="s">
        <v>4569</v>
      </c>
      <c r="U365" s="284" t="s">
        <v>4044</v>
      </c>
      <c r="W365" s="25"/>
      <c r="X365" s="25"/>
      <c r="AA365"/>
      <c r="AB365"/>
      <c r="AC365" s="274"/>
      <c r="AD365" s="40"/>
    </row>
    <row r="366" spans="16:30" ht="10.5" customHeight="1">
      <c r="P366" s="150" t="s">
        <v>4570</v>
      </c>
      <c r="Q366" s="150"/>
      <c r="R366" s="98"/>
      <c r="S366" s="146"/>
      <c r="T366" s="284" t="s">
        <v>4571</v>
      </c>
      <c r="U366" s="284" t="s">
        <v>3733</v>
      </c>
      <c r="W366" s="25"/>
      <c r="X366" s="25"/>
      <c r="AA366"/>
      <c r="AB366"/>
      <c r="AC366" s="274"/>
      <c r="AD366" s="40"/>
    </row>
    <row r="367" spans="16:30" ht="10.5" customHeight="1">
      <c r="P367" s="150" t="s">
        <v>4572</v>
      </c>
      <c r="Q367" s="150"/>
      <c r="R367" s="98"/>
      <c r="S367" s="146"/>
      <c r="T367" s="284" t="s">
        <v>4573</v>
      </c>
      <c r="U367" s="284" t="s">
        <v>3956</v>
      </c>
      <c r="W367" s="25"/>
      <c r="X367" s="25"/>
      <c r="AA367"/>
      <c r="AB367"/>
      <c r="AC367" s="274"/>
      <c r="AD367" s="40"/>
    </row>
    <row r="368" spans="16:30" ht="10.5" customHeight="1">
      <c r="P368" s="150" t="s">
        <v>4574</v>
      </c>
      <c r="Q368" s="150"/>
      <c r="R368" s="98"/>
      <c r="S368" s="146"/>
      <c r="T368" s="284" t="s">
        <v>4575</v>
      </c>
      <c r="U368" s="284" t="s">
        <v>3764</v>
      </c>
      <c r="W368" s="25"/>
      <c r="X368" s="25"/>
      <c r="AA368"/>
      <c r="AB368"/>
      <c r="AC368" s="274"/>
      <c r="AD368" s="40"/>
    </row>
    <row r="369" spans="16:30" ht="10.5" customHeight="1">
      <c r="P369" s="150" t="s">
        <v>4576</v>
      </c>
      <c r="Q369" s="150"/>
      <c r="R369" s="98"/>
      <c r="S369" s="146"/>
      <c r="T369" s="284" t="s">
        <v>4577</v>
      </c>
      <c r="U369" s="284" t="s">
        <v>4117</v>
      </c>
      <c r="W369" s="25"/>
      <c r="X369" s="25"/>
      <c r="AA369"/>
      <c r="AB369"/>
      <c r="AC369" s="274"/>
      <c r="AD369" s="40"/>
    </row>
    <row r="370" spans="16:30" ht="10.5" customHeight="1">
      <c r="P370" s="150" t="s">
        <v>4578</v>
      </c>
      <c r="Q370" s="150"/>
      <c r="R370" s="98"/>
      <c r="S370" s="146"/>
      <c r="T370" s="284" t="s">
        <v>4579</v>
      </c>
      <c r="U370" s="284" t="s">
        <v>4014</v>
      </c>
      <c r="W370" s="25"/>
      <c r="X370" s="25"/>
      <c r="AA370"/>
      <c r="AB370"/>
      <c r="AC370" s="274"/>
      <c r="AD370" s="40"/>
    </row>
    <row r="371" spans="16:30" ht="10.5" customHeight="1">
      <c r="P371" s="150" t="s">
        <v>4580</v>
      </c>
      <c r="Q371" s="150"/>
      <c r="R371" s="98"/>
      <c r="S371" s="146"/>
      <c r="T371" s="284" t="s">
        <v>4581</v>
      </c>
      <c r="U371" s="284" t="s">
        <v>4273</v>
      </c>
      <c r="W371" s="25"/>
      <c r="X371" s="25"/>
      <c r="AA371"/>
      <c r="AB371"/>
      <c r="AC371" s="274"/>
      <c r="AD371" s="40"/>
    </row>
    <row r="372" spans="16:30" ht="10.5" customHeight="1">
      <c r="P372" s="150" t="s">
        <v>4582</v>
      </c>
      <c r="Q372" s="150"/>
      <c r="R372" s="98"/>
      <c r="S372" s="146"/>
      <c r="T372" s="284" t="s">
        <v>4583</v>
      </c>
      <c r="U372" s="284" t="s">
        <v>3733</v>
      </c>
      <c r="W372" s="25"/>
      <c r="X372" s="25"/>
      <c r="AA372"/>
      <c r="AB372"/>
      <c r="AC372" s="274"/>
      <c r="AD372" s="40"/>
    </row>
    <row r="373" spans="16:30" ht="10.5" customHeight="1">
      <c r="P373" s="150" t="s">
        <v>4584</v>
      </c>
      <c r="Q373" s="150"/>
      <c r="R373" s="98"/>
      <c r="S373" s="146"/>
      <c r="T373" s="284" t="s">
        <v>117</v>
      </c>
      <c r="U373" s="284" t="s">
        <v>118</v>
      </c>
      <c r="W373" s="25"/>
      <c r="X373" s="25"/>
      <c r="AA373"/>
      <c r="AB373"/>
      <c r="AC373" s="274"/>
      <c r="AD373" s="40"/>
    </row>
    <row r="374" spans="16:30" ht="10.5" customHeight="1">
      <c r="P374" s="150" t="s">
        <v>4585</v>
      </c>
      <c r="Q374" s="150"/>
      <c r="R374" s="98"/>
      <c r="S374" s="146"/>
      <c r="T374" s="284" t="s">
        <v>119</v>
      </c>
      <c r="U374" s="284" t="s">
        <v>114</v>
      </c>
      <c r="W374" s="25"/>
      <c r="X374" s="25"/>
      <c r="AA374"/>
      <c r="AB374"/>
      <c r="AC374" s="274"/>
      <c r="AD374" s="40"/>
    </row>
    <row r="375" spans="16:30" ht="10.5" customHeight="1">
      <c r="P375" s="150" t="s">
        <v>4586</v>
      </c>
      <c r="Q375" s="150"/>
      <c r="R375" s="98"/>
      <c r="S375" s="146"/>
      <c r="T375" s="284" t="s">
        <v>120</v>
      </c>
      <c r="U375" s="284" t="s">
        <v>121</v>
      </c>
      <c r="W375" s="25"/>
      <c r="X375" s="25"/>
      <c r="AA375"/>
      <c r="AB375"/>
      <c r="AC375" s="274"/>
      <c r="AD375" s="40"/>
    </row>
    <row r="376" spans="16:30" ht="10.5" customHeight="1">
      <c r="P376" s="150" t="s">
        <v>4587</v>
      </c>
      <c r="Q376" s="150"/>
      <c r="R376" s="98"/>
      <c r="S376" s="146"/>
      <c r="T376" s="146" t="s">
        <v>2177</v>
      </c>
      <c r="U376" s="146" t="s">
        <v>154</v>
      </c>
      <c r="W376" s="25"/>
      <c r="X376" s="25"/>
      <c r="AA376"/>
      <c r="AB376"/>
      <c r="AC376" s="40"/>
      <c r="AD376" s="40"/>
    </row>
    <row r="377" spans="16:30" ht="10.5" customHeight="1">
      <c r="P377" s="150" t="s">
        <v>4588</v>
      </c>
      <c r="Q377" s="150"/>
      <c r="R377" s="98"/>
      <c r="S377" s="146"/>
      <c r="T377" s="284" t="s">
        <v>4589</v>
      </c>
      <c r="U377" s="284" t="s">
        <v>4059</v>
      </c>
      <c r="W377" s="25"/>
      <c r="X377" s="25"/>
      <c r="AA377"/>
      <c r="AB377"/>
      <c r="AC377" s="274"/>
      <c r="AD377" s="40"/>
    </row>
    <row r="378" spans="16:30" ht="10.5" customHeight="1">
      <c r="P378" s="150" t="s">
        <v>4590</v>
      </c>
      <c r="Q378" s="150"/>
      <c r="R378" s="98"/>
      <c r="S378" s="146"/>
      <c r="T378" s="284" t="s">
        <v>122</v>
      </c>
      <c r="U378" s="284" t="s">
        <v>104</v>
      </c>
      <c r="W378" s="25"/>
      <c r="X378" s="25"/>
      <c r="AA378"/>
      <c r="AB378"/>
      <c r="AC378" s="274"/>
      <c r="AD378" s="40"/>
    </row>
    <row r="379" spans="16:30" ht="10.5" customHeight="1">
      <c r="P379" s="150" t="s">
        <v>4591</v>
      </c>
      <c r="Q379" s="150"/>
      <c r="R379" s="98"/>
      <c r="S379" s="146"/>
      <c r="T379" s="284" t="s">
        <v>4592</v>
      </c>
      <c r="U379" s="284" t="s">
        <v>3858</v>
      </c>
      <c r="W379" s="25"/>
      <c r="X379" s="25"/>
      <c r="AA379"/>
      <c r="AB379"/>
      <c r="AC379" s="274"/>
      <c r="AD379" s="40"/>
    </row>
    <row r="380" spans="16:30" ht="10.5" customHeight="1">
      <c r="P380" s="150" t="s">
        <v>4593</v>
      </c>
      <c r="Q380" s="150"/>
      <c r="R380" s="98"/>
      <c r="S380" s="146"/>
      <c r="T380" s="284" t="s">
        <v>4594</v>
      </c>
      <c r="U380" s="284" t="s">
        <v>4019</v>
      </c>
      <c r="W380" s="25"/>
      <c r="X380" s="25"/>
      <c r="AA380"/>
      <c r="AB380"/>
      <c r="AC380" s="274"/>
      <c r="AD380" s="40"/>
    </row>
    <row r="381" spans="16:30" ht="10.5" customHeight="1">
      <c r="P381" s="150" t="s">
        <v>4595</v>
      </c>
      <c r="Q381" s="150"/>
      <c r="R381" s="98"/>
      <c r="S381" s="146"/>
      <c r="T381" s="284" t="s">
        <v>4596</v>
      </c>
      <c r="U381" s="284" t="s">
        <v>3758</v>
      </c>
      <c r="W381" s="25"/>
      <c r="X381" s="25"/>
      <c r="AA381"/>
      <c r="AB381"/>
      <c r="AC381" s="274"/>
      <c r="AD381" s="40"/>
    </row>
    <row r="382" spans="16:30" ht="10.5" customHeight="1">
      <c r="P382" s="150" t="s">
        <v>4597</v>
      </c>
      <c r="Q382" s="150"/>
      <c r="R382" s="98"/>
      <c r="S382" s="146"/>
      <c r="T382" s="284" t="s">
        <v>4598</v>
      </c>
      <c r="U382" s="284" t="s">
        <v>124</v>
      </c>
      <c r="W382" s="25"/>
      <c r="X382" s="25"/>
      <c r="AA382"/>
      <c r="AB382"/>
      <c r="AC382" s="274"/>
      <c r="AD382" s="40"/>
    </row>
    <row r="383" spans="16:30" ht="10.5" customHeight="1">
      <c r="P383" s="150" t="s">
        <v>4599</v>
      </c>
      <c r="Q383" s="150"/>
      <c r="R383" s="98"/>
      <c r="S383" s="146"/>
      <c r="T383" s="284" t="s">
        <v>4600</v>
      </c>
      <c r="U383" s="284" t="s">
        <v>3813</v>
      </c>
      <c r="W383" s="25"/>
      <c r="X383" s="25"/>
      <c r="AA383"/>
      <c r="AB383"/>
      <c r="AC383" s="274"/>
      <c r="AD383" s="40"/>
    </row>
    <row r="384" spans="16:30" ht="10.5" customHeight="1">
      <c r="P384" s="150" t="s">
        <v>4601</v>
      </c>
      <c r="Q384" s="150"/>
      <c r="R384" s="98"/>
      <c r="S384" s="146"/>
      <c r="T384" s="284" t="s">
        <v>4602</v>
      </c>
      <c r="U384" s="284" t="s">
        <v>4087</v>
      </c>
      <c r="W384" s="25"/>
      <c r="X384" s="25"/>
      <c r="AA384"/>
      <c r="AB384"/>
      <c r="AC384" s="274"/>
      <c r="AD384" s="40"/>
    </row>
    <row r="385" spans="16:30" ht="10.5" customHeight="1">
      <c r="P385" s="150" t="s">
        <v>4603</v>
      </c>
      <c r="Q385" s="150"/>
      <c r="R385" s="98"/>
      <c r="S385" s="146"/>
      <c r="T385" s="284" t="s">
        <v>4604</v>
      </c>
      <c r="U385" s="284" t="s">
        <v>3848</v>
      </c>
      <c r="W385" s="25"/>
      <c r="X385" s="25"/>
      <c r="AA385"/>
      <c r="AB385"/>
      <c r="AC385" s="274"/>
      <c r="AD385" s="40"/>
    </row>
    <row r="386" spans="16:30" ht="10.5" customHeight="1">
      <c r="P386" s="150" t="s">
        <v>4605</v>
      </c>
      <c r="Q386" s="150"/>
      <c r="R386" s="98"/>
      <c r="S386" s="146"/>
      <c r="T386" s="284" t="s">
        <v>4606</v>
      </c>
      <c r="U386" s="284" t="s">
        <v>101</v>
      </c>
      <c r="W386" s="25"/>
      <c r="X386" s="25"/>
      <c r="AA386"/>
      <c r="AB386"/>
      <c r="AC386" s="274"/>
      <c r="AD386" s="40"/>
    </row>
    <row r="387" spans="16:30" ht="10.5" customHeight="1">
      <c r="P387" s="150" t="s">
        <v>4607</v>
      </c>
      <c r="Q387" s="150"/>
      <c r="R387" s="98"/>
      <c r="S387" s="146"/>
      <c r="T387" s="284" t="s">
        <v>4030</v>
      </c>
      <c r="U387" s="284" t="s">
        <v>4258</v>
      </c>
      <c r="W387" s="25"/>
      <c r="X387" s="25"/>
      <c r="AA387"/>
      <c r="AB387"/>
      <c r="AC387" s="274"/>
      <c r="AD387" s="40"/>
    </row>
    <row r="388" spans="16:30" ht="10.5" customHeight="1">
      <c r="P388" s="150" t="s">
        <v>4608</v>
      </c>
      <c r="Q388" s="150"/>
      <c r="R388" s="98"/>
      <c r="S388" s="146"/>
      <c r="T388" s="284" t="s">
        <v>4609</v>
      </c>
      <c r="U388" s="284" t="s">
        <v>3882</v>
      </c>
      <c r="W388" s="25"/>
      <c r="X388" s="25"/>
      <c r="AA388"/>
      <c r="AB388"/>
      <c r="AC388" s="274"/>
      <c r="AD388" s="40"/>
    </row>
    <row r="389" spans="16:30" ht="10.5" customHeight="1">
      <c r="P389" s="150" t="s">
        <v>4610</v>
      </c>
      <c r="Q389" s="150"/>
      <c r="R389" s="98"/>
      <c r="S389" s="146"/>
      <c r="T389" s="284" t="s">
        <v>4611</v>
      </c>
      <c r="U389" s="284" t="s">
        <v>135</v>
      </c>
      <c r="W389" s="25"/>
      <c r="X389" s="25"/>
      <c r="AA389"/>
      <c r="AB389"/>
      <c r="AC389" s="274"/>
      <c r="AD389" s="40"/>
    </row>
    <row r="390" spans="16:30" ht="10.5" customHeight="1">
      <c r="P390" s="150" t="s">
        <v>4612</v>
      </c>
      <c r="Q390" s="150"/>
      <c r="R390" s="98"/>
      <c r="S390" s="146"/>
      <c r="T390" s="284" t="s">
        <v>123</v>
      </c>
      <c r="U390" s="284" t="s">
        <v>124</v>
      </c>
      <c r="W390" s="25"/>
      <c r="X390" s="25"/>
      <c r="AA390"/>
      <c r="AB390"/>
      <c r="AC390" s="274"/>
      <c r="AD390" s="40"/>
    </row>
    <row r="391" spans="16:30" ht="10.5" customHeight="1">
      <c r="P391" s="150" t="s">
        <v>4613</v>
      </c>
      <c r="Q391" s="150"/>
      <c r="R391" s="98"/>
      <c r="S391" s="146"/>
      <c r="T391" s="284" t="s">
        <v>4614</v>
      </c>
      <c r="U391" s="284" t="s">
        <v>4175</v>
      </c>
      <c r="W391" s="25"/>
      <c r="X391" s="25"/>
      <c r="AA391"/>
      <c r="AB391"/>
      <c r="AC391" s="274"/>
      <c r="AD391" s="40"/>
    </row>
    <row r="392" spans="16:30" ht="10.5" customHeight="1">
      <c r="P392" s="150" t="s">
        <v>4615</v>
      </c>
      <c r="Q392" s="150"/>
      <c r="R392" s="98"/>
      <c r="S392" s="146"/>
      <c r="T392" s="284" t="s">
        <v>4035</v>
      </c>
      <c r="U392" s="284" t="s">
        <v>4117</v>
      </c>
      <c r="W392" s="25"/>
      <c r="X392" s="25"/>
      <c r="AA392"/>
      <c r="AB392"/>
      <c r="AC392" s="274"/>
      <c r="AD392" s="40"/>
    </row>
    <row r="393" spans="16:30" ht="10.5" customHeight="1">
      <c r="P393" s="150" t="s">
        <v>4616</v>
      </c>
      <c r="Q393" s="150"/>
      <c r="R393" s="98"/>
      <c r="S393" s="146"/>
      <c r="T393" s="284" t="s">
        <v>4617</v>
      </c>
      <c r="U393" s="284" t="s">
        <v>4035</v>
      </c>
      <c r="W393" s="25"/>
      <c r="X393" s="25"/>
      <c r="AA393"/>
      <c r="AB393"/>
      <c r="AC393" s="274"/>
      <c r="AD393" s="40"/>
    </row>
    <row r="394" spans="16:30" ht="10.5" customHeight="1">
      <c r="P394" s="150" t="s">
        <v>4618</v>
      </c>
      <c r="Q394" s="150"/>
      <c r="R394" s="98"/>
      <c r="S394" s="146"/>
      <c r="T394" s="284" t="s">
        <v>4619</v>
      </c>
      <c r="U394" s="284" t="s">
        <v>3905</v>
      </c>
      <c r="W394" s="25"/>
      <c r="X394" s="25"/>
      <c r="AA394"/>
      <c r="AB394"/>
      <c r="AC394" s="274"/>
      <c r="AD394" s="40"/>
    </row>
    <row r="395" spans="16:30" ht="10.5" customHeight="1">
      <c r="P395" s="150" t="s">
        <v>4620</v>
      </c>
      <c r="Q395" s="150"/>
      <c r="R395" s="98"/>
      <c r="S395" s="146"/>
      <c r="T395" s="284" t="s">
        <v>3926</v>
      </c>
      <c r="U395" s="284" t="s">
        <v>4087</v>
      </c>
      <c r="W395" s="25"/>
      <c r="X395" s="25"/>
      <c r="AA395"/>
      <c r="AB395"/>
      <c r="AC395" s="274"/>
      <c r="AD395" s="40"/>
    </row>
    <row r="396" spans="16:30" ht="10.5" customHeight="1">
      <c r="P396" s="150" t="s">
        <v>4621</v>
      </c>
      <c r="Q396" s="150"/>
      <c r="R396" s="98"/>
      <c r="S396" s="146"/>
      <c r="T396" s="284" t="s">
        <v>4622</v>
      </c>
      <c r="U396" s="284" t="s">
        <v>138</v>
      </c>
      <c r="W396" s="25"/>
      <c r="X396" s="25"/>
      <c r="AA396"/>
      <c r="AB396"/>
      <c r="AC396" s="274"/>
      <c r="AD396" s="40"/>
    </row>
    <row r="397" spans="16:30" ht="10.5" customHeight="1">
      <c r="P397" s="150" t="s">
        <v>4623</v>
      </c>
      <c r="Q397" s="150"/>
      <c r="R397" s="98"/>
      <c r="S397" s="146"/>
      <c r="T397" s="284" t="s">
        <v>4624</v>
      </c>
      <c r="U397" s="284" t="s">
        <v>4001</v>
      </c>
      <c r="W397" s="25"/>
      <c r="X397" s="25"/>
      <c r="AA397"/>
      <c r="AB397"/>
      <c r="AC397" s="274"/>
      <c r="AD397" s="40"/>
    </row>
    <row r="398" spans="16:30" ht="10.5" customHeight="1">
      <c r="P398" s="150" t="s">
        <v>4625</v>
      </c>
      <c r="Q398" s="150"/>
      <c r="R398" s="98"/>
      <c r="S398" s="146"/>
      <c r="T398" s="284" t="s">
        <v>4626</v>
      </c>
      <c r="U398" s="284" t="s">
        <v>4243</v>
      </c>
      <c r="W398" s="25"/>
      <c r="X398" s="25"/>
      <c r="AA398"/>
      <c r="AB398"/>
      <c r="AC398" s="274"/>
      <c r="AD398" s="40"/>
    </row>
    <row r="399" spans="16:30" ht="10.5" customHeight="1">
      <c r="P399" s="150" t="s">
        <v>4627</v>
      </c>
      <c r="Q399" s="150"/>
      <c r="R399" s="98"/>
      <c r="S399" s="146"/>
      <c r="T399" s="146" t="s">
        <v>4628</v>
      </c>
      <c r="U399" s="146" t="s">
        <v>4380</v>
      </c>
      <c r="AA399"/>
      <c r="AB399"/>
      <c r="AC399" s="40"/>
      <c r="AD399" s="40"/>
    </row>
    <row r="400" spans="16:30" ht="10.5" customHeight="1">
      <c r="P400" s="150" t="s">
        <v>4629</v>
      </c>
      <c r="Q400" s="150"/>
      <c r="R400" s="98"/>
      <c r="S400" s="146"/>
      <c r="T400" s="284" t="s">
        <v>125</v>
      </c>
      <c r="U400" s="284" t="s">
        <v>126</v>
      </c>
      <c r="AA400"/>
      <c r="AB400"/>
      <c r="AC400" s="274"/>
      <c r="AD400" s="40"/>
    </row>
    <row r="401" spans="16:30" ht="10.5" customHeight="1">
      <c r="P401" s="150" t="s">
        <v>4630</v>
      </c>
      <c r="Q401" s="150"/>
      <c r="R401" s="98"/>
      <c r="S401" s="146"/>
      <c r="T401" s="284" t="s">
        <v>4631</v>
      </c>
      <c r="U401" s="284" t="s">
        <v>4050</v>
      </c>
      <c r="AA401"/>
      <c r="AB401"/>
      <c r="AC401" s="274"/>
      <c r="AD401" s="40"/>
    </row>
    <row r="402" spans="16:30" ht="10.5" customHeight="1">
      <c r="P402" s="150" t="s">
        <v>4632</v>
      </c>
      <c r="Q402" s="150"/>
      <c r="R402" s="98"/>
      <c r="S402" s="146"/>
      <c r="T402" s="284" t="s">
        <v>4633</v>
      </c>
      <c r="U402" s="284" t="s">
        <v>4087</v>
      </c>
      <c r="AA402"/>
      <c r="AB402"/>
      <c r="AC402" s="274"/>
      <c r="AD402" s="40"/>
    </row>
    <row r="403" spans="16:30" ht="10.5" customHeight="1">
      <c r="P403" s="150" t="s">
        <v>4634</v>
      </c>
      <c r="Q403" s="150"/>
      <c r="R403" s="98"/>
      <c r="S403" s="146"/>
      <c r="T403" s="146" t="s">
        <v>4635</v>
      </c>
      <c r="U403" s="146" t="s">
        <v>3807</v>
      </c>
      <c r="AA403"/>
      <c r="AB403"/>
      <c r="AC403" s="40"/>
      <c r="AD403" s="40"/>
    </row>
    <row r="404" spans="16:30" ht="10.5" customHeight="1">
      <c r="P404" s="150" t="s">
        <v>4636</v>
      </c>
      <c r="Q404" s="150"/>
      <c r="R404" s="98"/>
      <c r="S404" s="146"/>
      <c r="T404" s="284" t="s">
        <v>4637</v>
      </c>
      <c r="U404" s="284" t="s">
        <v>4347</v>
      </c>
      <c r="AA404"/>
      <c r="AB404"/>
      <c r="AC404" s="274"/>
      <c r="AD404" s="40"/>
    </row>
    <row r="405" spans="16:30" ht="10.5" customHeight="1">
      <c r="P405" s="150" t="s">
        <v>4638</v>
      </c>
      <c r="Q405" s="150"/>
      <c r="R405" s="98"/>
      <c r="S405" s="146"/>
      <c r="T405" s="284" t="s">
        <v>4639</v>
      </c>
      <c r="U405" s="284" t="s">
        <v>3757</v>
      </c>
      <c r="AA405"/>
      <c r="AB405"/>
      <c r="AC405" s="274"/>
      <c r="AD405" s="40"/>
    </row>
    <row r="406" spans="16:30" ht="10.5" customHeight="1">
      <c r="P406" s="150" t="s">
        <v>4640</v>
      </c>
      <c r="Q406" s="150"/>
      <c r="R406" s="98"/>
      <c r="S406" s="146"/>
      <c r="T406" s="284" t="s">
        <v>4641</v>
      </c>
      <c r="U406" s="284" t="s">
        <v>3992</v>
      </c>
      <c r="AA406"/>
      <c r="AB406"/>
      <c r="AC406" s="274"/>
      <c r="AD406" s="40"/>
    </row>
    <row r="407" spans="16:30" ht="10.5" customHeight="1">
      <c r="P407" s="150" t="s">
        <v>4642</v>
      </c>
      <c r="Q407" s="150"/>
      <c r="R407" s="98"/>
      <c r="S407" s="146"/>
      <c r="T407" s="284" t="s">
        <v>4059</v>
      </c>
      <c r="U407" s="284" t="s">
        <v>3788</v>
      </c>
      <c r="AA407"/>
      <c r="AB407"/>
      <c r="AC407" s="274"/>
      <c r="AD407" s="40"/>
    </row>
    <row r="408" spans="16:30" ht="10.5" customHeight="1">
      <c r="P408" s="150" t="s">
        <v>4643</v>
      </c>
      <c r="Q408" s="150"/>
      <c r="R408" s="98"/>
      <c r="S408" s="146"/>
      <c r="T408" s="284" t="s">
        <v>4644</v>
      </c>
      <c r="U408" s="284" t="s">
        <v>3704</v>
      </c>
      <c r="AA408"/>
      <c r="AB408"/>
      <c r="AC408" s="274"/>
      <c r="AD408" s="40"/>
    </row>
    <row r="409" spans="16:30" ht="10.5" customHeight="1">
      <c r="P409" s="150" t="s">
        <v>4645</v>
      </c>
      <c r="Q409" s="150"/>
      <c r="R409" s="98"/>
      <c r="S409" s="146"/>
      <c r="T409" s="146" t="s">
        <v>4646</v>
      </c>
      <c r="U409" s="146" t="s">
        <v>116</v>
      </c>
      <c r="AA409"/>
      <c r="AB409"/>
      <c r="AC409" s="40"/>
      <c r="AD409" s="40"/>
    </row>
    <row r="410" spans="16:30" ht="10.5" customHeight="1">
      <c r="P410" s="150" t="s">
        <v>4647</v>
      </c>
      <c r="Q410" s="150"/>
      <c r="R410" s="98"/>
      <c r="S410" s="146"/>
      <c r="T410" s="284" t="s">
        <v>4648</v>
      </c>
      <c r="U410" s="284" t="s">
        <v>4167</v>
      </c>
      <c r="AA410"/>
      <c r="AB410"/>
      <c r="AC410" s="274"/>
      <c r="AD410" s="40"/>
    </row>
    <row r="411" spans="16:30" ht="10.5" customHeight="1">
      <c r="P411" s="150" t="s">
        <v>4649</v>
      </c>
      <c r="Q411" s="150"/>
      <c r="R411" s="98"/>
      <c r="S411" s="146"/>
      <c r="T411" s="284" t="s">
        <v>4650</v>
      </c>
      <c r="U411" s="284" t="s">
        <v>3975</v>
      </c>
      <c r="AA411"/>
      <c r="AB411"/>
      <c r="AC411" s="274"/>
      <c r="AD411" s="40"/>
    </row>
    <row r="412" spans="16:30" ht="10.5" customHeight="1">
      <c r="P412" s="150" t="s">
        <v>4651</v>
      </c>
      <c r="Q412" s="150"/>
      <c r="R412" s="98"/>
      <c r="S412" s="146"/>
      <c r="T412" s="284" t="s">
        <v>2179</v>
      </c>
      <c r="U412" s="284" t="s">
        <v>4072</v>
      </c>
      <c r="AA412"/>
      <c r="AB412"/>
      <c r="AC412" s="274"/>
      <c r="AD412" s="40"/>
    </row>
    <row r="413" spans="16:30" ht="10.5" customHeight="1">
      <c r="P413" s="150" t="s">
        <v>4652</v>
      </c>
      <c r="Q413" s="150"/>
      <c r="R413" s="98"/>
      <c r="S413" s="146"/>
      <c r="T413" s="284" t="s">
        <v>4653</v>
      </c>
      <c r="U413" s="284" t="s">
        <v>4243</v>
      </c>
      <c r="AA413"/>
      <c r="AB413"/>
      <c r="AC413" s="274"/>
      <c r="AD413" s="40"/>
    </row>
    <row r="414" spans="16:30" ht="10.5" customHeight="1">
      <c r="P414" s="150" t="s">
        <v>4654</v>
      </c>
      <c r="Q414" s="150"/>
      <c r="R414" s="98"/>
      <c r="S414" s="146"/>
      <c r="T414" s="284" t="s">
        <v>127</v>
      </c>
      <c r="U414" s="284" t="s">
        <v>96</v>
      </c>
      <c r="AA414"/>
      <c r="AB414"/>
      <c r="AC414" s="274"/>
      <c r="AD414" s="40"/>
    </row>
    <row r="415" spans="16:30" ht="10.5" customHeight="1">
      <c r="P415" s="150" t="s">
        <v>4655</v>
      </c>
      <c r="Q415" s="150"/>
      <c r="R415" s="98"/>
      <c r="S415" s="146"/>
      <c r="T415" s="284" t="s">
        <v>2181</v>
      </c>
      <c r="U415" s="284" t="s">
        <v>114</v>
      </c>
      <c r="AA415"/>
      <c r="AB415"/>
      <c r="AC415" s="274"/>
      <c r="AD415" s="40"/>
    </row>
    <row r="416" spans="16:30" ht="10.5" customHeight="1">
      <c r="P416" s="150" t="s">
        <v>4656</v>
      </c>
      <c r="Q416" s="150"/>
      <c r="R416" s="98"/>
      <c r="S416" s="146"/>
      <c r="T416" s="284" t="s">
        <v>4657</v>
      </c>
      <c r="U416" s="284" t="s">
        <v>118</v>
      </c>
      <c r="AA416"/>
      <c r="AB416"/>
      <c r="AC416" s="274"/>
      <c r="AD416" s="40"/>
    </row>
    <row r="417" spans="16:30" ht="10.5" customHeight="1">
      <c r="P417" s="150" t="s">
        <v>4658</v>
      </c>
      <c r="Q417" s="150"/>
      <c r="R417" s="98"/>
      <c r="S417" s="146"/>
      <c r="T417" s="284" t="s">
        <v>4659</v>
      </c>
      <c r="U417" s="284" t="s">
        <v>124</v>
      </c>
      <c r="AA417"/>
      <c r="AB417"/>
      <c r="AC417" s="274"/>
      <c r="AD417" s="40"/>
    </row>
    <row r="418" spans="16:30" ht="10.5" customHeight="1">
      <c r="P418" s="150" t="s">
        <v>4660</v>
      </c>
      <c r="Q418" s="150"/>
      <c r="R418" s="98"/>
      <c r="S418" s="146"/>
      <c r="T418" s="284" t="s">
        <v>128</v>
      </c>
      <c r="U418" s="284" t="s">
        <v>129</v>
      </c>
      <c r="AA418"/>
      <c r="AB418"/>
      <c r="AC418" s="274"/>
      <c r="AD418" s="40"/>
    </row>
    <row r="419" spans="16:30" ht="10.5" customHeight="1">
      <c r="P419" s="150" t="s">
        <v>4661</v>
      </c>
      <c r="Q419" s="150"/>
      <c r="R419" s="98"/>
      <c r="S419" s="146"/>
      <c r="T419" s="284" t="s">
        <v>4662</v>
      </c>
      <c r="U419" s="284" t="s">
        <v>3988</v>
      </c>
      <c r="AA419"/>
      <c r="AB419"/>
      <c r="AC419" s="274"/>
      <c r="AD419" s="40"/>
    </row>
    <row r="420" spans="16:30" ht="10.5" customHeight="1">
      <c r="P420" s="150" t="s">
        <v>4663</v>
      </c>
      <c r="Q420" s="150"/>
      <c r="R420" s="98"/>
      <c r="S420" s="146"/>
      <c r="T420" s="284" t="s">
        <v>4664</v>
      </c>
      <c r="U420" s="284" t="s">
        <v>117</v>
      </c>
      <c r="AA420"/>
      <c r="AB420"/>
      <c r="AC420" s="274"/>
      <c r="AD420" s="40"/>
    </row>
    <row r="421" spans="16:30" ht="10.5" customHeight="1">
      <c r="P421" s="150" t="s">
        <v>4665</v>
      </c>
      <c r="Q421" s="150"/>
      <c r="R421" s="98"/>
      <c r="S421" s="146"/>
      <c r="T421" s="284" t="s">
        <v>4666</v>
      </c>
      <c r="U421" s="284" t="s">
        <v>152</v>
      </c>
      <c r="AA421"/>
      <c r="AB421"/>
      <c r="AC421" s="274"/>
      <c r="AD421" s="40"/>
    </row>
    <row r="422" spans="16:30" ht="10.5" customHeight="1">
      <c r="P422" s="150" t="s">
        <v>4667</v>
      </c>
      <c r="Q422" s="150"/>
      <c r="R422" s="98"/>
      <c r="S422" s="146"/>
      <c r="T422" s="146" t="s">
        <v>4668</v>
      </c>
      <c r="U422" s="146" t="s">
        <v>4106</v>
      </c>
      <c r="AA422"/>
      <c r="AB422"/>
      <c r="AC422" s="40"/>
      <c r="AD422" s="40"/>
    </row>
    <row r="423" spans="16:30" ht="10.5" customHeight="1">
      <c r="P423" s="150" t="s">
        <v>4669</v>
      </c>
      <c r="Q423" s="150"/>
      <c r="R423" s="98"/>
      <c r="S423" s="146"/>
      <c r="T423" s="284" t="s">
        <v>4670</v>
      </c>
      <c r="U423" s="284" t="s">
        <v>99</v>
      </c>
      <c r="AA423"/>
      <c r="AB423"/>
      <c r="AC423" s="274"/>
      <c r="AD423" s="40"/>
    </row>
    <row r="424" spans="16:30" ht="10.5" customHeight="1">
      <c r="P424" s="150" t="s">
        <v>4671</v>
      </c>
      <c r="Q424" s="150"/>
      <c r="R424" s="98"/>
      <c r="S424" s="146"/>
      <c r="T424" s="284" t="s">
        <v>130</v>
      </c>
      <c r="U424" s="284" t="s">
        <v>131</v>
      </c>
      <c r="AA424"/>
      <c r="AB424"/>
      <c r="AC424" s="274"/>
      <c r="AD424" s="40"/>
    </row>
    <row r="425" spans="16:30" ht="10.5" customHeight="1">
      <c r="P425" s="150" t="s">
        <v>4672</v>
      </c>
      <c r="Q425" s="150"/>
      <c r="R425" s="98"/>
      <c r="S425" s="146"/>
      <c r="T425" s="284" t="s">
        <v>4673</v>
      </c>
      <c r="U425" s="284" t="s">
        <v>154</v>
      </c>
      <c r="AA425"/>
      <c r="AB425"/>
      <c r="AC425" s="274"/>
      <c r="AD425" s="40"/>
    </row>
    <row r="426" spans="16:30" ht="10.5" customHeight="1">
      <c r="P426" s="150" t="s">
        <v>4674</v>
      </c>
      <c r="Q426" s="150"/>
      <c r="R426" s="98"/>
      <c r="S426" s="146"/>
      <c r="T426" s="284" t="s">
        <v>4100</v>
      </c>
      <c r="U426" s="284" t="s">
        <v>116</v>
      </c>
      <c r="AA426"/>
      <c r="AB426"/>
      <c r="AC426" s="274"/>
      <c r="AD426" s="40"/>
    </row>
    <row r="427" spans="16:30" ht="10.5" customHeight="1">
      <c r="P427" s="150" t="s">
        <v>4675</v>
      </c>
      <c r="Q427" s="150"/>
      <c r="R427" s="98"/>
      <c r="S427" s="146"/>
      <c r="T427" s="284" t="s">
        <v>4676</v>
      </c>
      <c r="U427" s="284" t="s">
        <v>3735</v>
      </c>
      <c r="AA427"/>
      <c r="AB427"/>
      <c r="AC427" s="274"/>
      <c r="AD427" s="40"/>
    </row>
    <row r="428" spans="16:30" ht="10.5" customHeight="1">
      <c r="P428" s="150" t="s">
        <v>4677</v>
      </c>
      <c r="Q428" s="150"/>
      <c r="R428" s="98"/>
      <c r="S428" s="146"/>
      <c r="T428" s="284" t="s">
        <v>4678</v>
      </c>
      <c r="U428" s="284" t="s">
        <v>118</v>
      </c>
      <c r="AA428"/>
      <c r="AB428"/>
      <c r="AC428" s="274"/>
      <c r="AD428" s="40"/>
    </row>
    <row r="429" spans="16:30" ht="10.5" customHeight="1">
      <c r="P429" s="150" t="s">
        <v>4679</v>
      </c>
      <c r="Q429" s="150"/>
      <c r="R429" s="98"/>
      <c r="S429" s="146"/>
      <c r="T429" s="284" t="s">
        <v>4680</v>
      </c>
      <c r="U429" s="284" t="s">
        <v>2220</v>
      </c>
      <c r="AA429"/>
      <c r="AB429"/>
      <c r="AC429" s="274"/>
      <c r="AD429" s="40"/>
    </row>
    <row r="430" spans="16:30" ht="10.5" customHeight="1">
      <c r="P430" s="150" t="s">
        <v>4681</v>
      </c>
      <c r="Q430" s="150"/>
      <c r="R430" s="98"/>
      <c r="S430" s="146"/>
      <c r="T430" s="284" t="s">
        <v>2182</v>
      </c>
      <c r="U430" s="284" t="s">
        <v>167</v>
      </c>
      <c r="AA430"/>
      <c r="AB430"/>
      <c r="AC430" s="274"/>
      <c r="AD430" s="40"/>
    </row>
    <row r="431" spans="16:30" ht="10.5" customHeight="1">
      <c r="P431" s="150" t="s">
        <v>4682</v>
      </c>
      <c r="Q431" s="150"/>
      <c r="R431" s="98"/>
      <c r="S431" s="146"/>
      <c r="T431" s="284" t="s">
        <v>4683</v>
      </c>
      <c r="U431" s="284" t="s">
        <v>4317</v>
      </c>
      <c r="AA431"/>
      <c r="AB431"/>
      <c r="AC431" s="274"/>
      <c r="AD431" s="40"/>
    </row>
    <row r="432" spans="16:30" ht="10.5" customHeight="1">
      <c r="P432" s="150" t="s">
        <v>4684</v>
      </c>
      <c r="Q432" s="150"/>
      <c r="R432" s="98"/>
      <c r="S432" s="146"/>
      <c r="T432" s="284" t="s">
        <v>4685</v>
      </c>
      <c r="U432" s="284" t="s">
        <v>4143</v>
      </c>
      <c r="AA432"/>
      <c r="AB432"/>
      <c r="AC432" s="274"/>
      <c r="AD432" s="40"/>
    </row>
    <row r="433" spans="16:30" ht="10.5" customHeight="1">
      <c r="P433" s="150" t="s">
        <v>4686</v>
      </c>
      <c r="Q433" s="150"/>
      <c r="R433" s="98"/>
      <c r="S433" s="146"/>
      <c r="T433" s="284" t="s">
        <v>4687</v>
      </c>
      <c r="U433" s="284" t="s">
        <v>4340</v>
      </c>
      <c r="AA433"/>
      <c r="AB433"/>
      <c r="AC433" s="274"/>
      <c r="AD433" s="40"/>
    </row>
    <row r="434" spans="16:30" ht="10.5" customHeight="1">
      <c r="P434" s="150" t="s">
        <v>4688</v>
      </c>
      <c r="Q434" s="150"/>
      <c r="R434" s="98"/>
      <c r="S434" s="146"/>
      <c r="T434" s="284" t="s">
        <v>4689</v>
      </c>
      <c r="U434" s="284" t="s">
        <v>138</v>
      </c>
      <c r="AA434"/>
      <c r="AB434"/>
      <c r="AC434" s="274"/>
      <c r="AD434" s="40"/>
    </row>
    <row r="435" spans="16:30" ht="10.5" customHeight="1">
      <c r="P435" s="150" t="s">
        <v>4690</v>
      </c>
      <c r="Q435" s="150"/>
      <c r="R435" s="98"/>
      <c r="S435" s="146"/>
      <c r="T435" s="284" t="s">
        <v>4691</v>
      </c>
      <c r="U435" s="284" t="s">
        <v>3899</v>
      </c>
      <c r="AA435"/>
      <c r="AB435"/>
      <c r="AC435" s="274"/>
      <c r="AD435" s="40"/>
    </row>
    <row r="436" spans="16:30" ht="10.5" customHeight="1">
      <c r="P436" s="150" t="s">
        <v>4692</v>
      </c>
      <c r="Q436" s="150"/>
      <c r="R436" s="98"/>
      <c r="S436" s="146"/>
      <c r="T436" s="146" t="s">
        <v>4693</v>
      </c>
      <c r="U436" s="146" t="s">
        <v>99</v>
      </c>
      <c r="AA436"/>
      <c r="AB436"/>
      <c r="AC436" s="40"/>
      <c r="AD436" s="40"/>
    </row>
    <row r="437" spans="16:30" ht="10.5" customHeight="1">
      <c r="P437" s="150" t="s">
        <v>4694</v>
      </c>
      <c r="Q437" s="150"/>
      <c r="R437" s="98"/>
      <c r="S437" s="146"/>
      <c r="T437" s="284" t="s">
        <v>4695</v>
      </c>
      <c r="U437" s="284" t="s">
        <v>129</v>
      </c>
      <c r="AA437"/>
      <c r="AB437"/>
      <c r="AC437" s="274"/>
      <c r="AD437" s="40"/>
    </row>
    <row r="438" spans="16:30" ht="10.5" customHeight="1">
      <c r="P438" s="150" t="s">
        <v>4696</v>
      </c>
      <c r="Q438" s="150"/>
      <c r="R438" s="98"/>
      <c r="S438" s="146"/>
      <c r="T438" s="146" t="s">
        <v>4697</v>
      </c>
      <c r="U438" s="146" t="s">
        <v>150</v>
      </c>
      <c r="AA438"/>
      <c r="AB438"/>
      <c r="AC438" s="40"/>
      <c r="AD438" s="40"/>
    </row>
    <row r="439" spans="16:30" ht="10.5" customHeight="1">
      <c r="P439" s="150" t="s">
        <v>4698</v>
      </c>
      <c r="Q439" s="150"/>
      <c r="R439" s="98"/>
      <c r="S439" s="146"/>
      <c r="T439" s="284" t="s">
        <v>132</v>
      </c>
      <c r="U439" s="284" t="s">
        <v>133</v>
      </c>
      <c r="AA439"/>
      <c r="AB439"/>
      <c r="AC439" s="274"/>
      <c r="AD439" s="40"/>
    </row>
    <row r="440" spans="16:30" ht="10.5" customHeight="1">
      <c r="P440" s="150" t="s">
        <v>4699</v>
      </c>
      <c r="Q440" s="150"/>
      <c r="R440" s="98"/>
      <c r="S440" s="146"/>
      <c r="T440" s="146" t="s">
        <v>4700</v>
      </c>
      <c r="U440" s="146" t="s">
        <v>4352</v>
      </c>
      <c r="AA440"/>
      <c r="AB440"/>
      <c r="AC440" s="40"/>
      <c r="AD440" s="40"/>
    </row>
    <row r="441" spans="16:30" ht="10.5" customHeight="1">
      <c r="P441" s="150" t="s">
        <v>4701</v>
      </c>
      <c r="Q441" s="150"/>
      <c r="R441" s="98"/>
      <c r="S441" s="146"/>
      <c r="T441" s="284" t="s">
        <v>4702</v>
      </c>
      <c r="U441" s="284" t="s">
        <v>124</v>
      </c>
      <c r="AA441"/>
      <c r="AB441"/>
      <c r="AC441" s="274"/>
      <c r="AD441" s="40"/>
    </row>
    <row r="442" spans="16:30" ht="10.5" customHeight="1">
      <c r="P442" s="150" t="s">
        <v>4703</v>
      </c>
      <c r="Q442" s="150"/>
      <c r="R442" s="98"/>
      <c r="S442" s="146"/>
      <c r="T442" s="284" t="s">
        <v>4704</v>
      </c>
      <c r="U442" s="284" t="s">
        <v>4098</v>
      </c>
      <c r="AA442"/>
      <c r="AB442"/>
      <c r="AC442" s="274"/>
      <c r="AD442" s="40"/>
    </row>
    <row r="443" spans="16:30" ht="10.5" customHeight="1">
      <c r="P443" s="150" t="s">
        <v>4705</v>
      </c>
      <c r="Q443" s="150"/>
      <c r="R443" s="98"/>
      <c r="S443" s="146"/>
      <c r="T443" s="284" t="s">
        <v>4706</v>
      </c>
      <c r="U443" s="284" t="s">
        <v>3783</v>
      </c>
      <c r="AA443"/>
      <c r="AB443"/>
      <c r="AC443" s="274"/>
      <c r="AD443" s="40"/>
    </row>
    <row r="444" spans="16:30" ht="10.5" customHeight="1">
      <c r="P444" s="150" t="s">
        <v>4707</v>
      </c>
      <c r="Q444" s="150"/>
      <c r="R444" s="98"/>
      <c r="S444" s="146"/>
      <c r="T444" s="284" t="s">
        <v>4708</v>
      </c>
      <c r="U444" s="284" t="s">
        <v>4423</v>
      </c>
      <c r="AA444"/>
      <c r="AB444"/>
      <c r="AC444" s="274"/>
      <c r="AD444" s="40"/>
    </row>
    <row r="445" spans="16:30" ht="10.5" customHeight="1">
      <c r="P445" s="150" t="s">
        <v>4709</v>
      </c>
      <c r="Q445" s="150"/>
      <c r="R445" s="98"/>
      <c r="S445" s="146"/>
      <c r="T445" s="284" t="s">
        <v>4710</v>
      </c>
      <c r="U445" s="284" t="s">
        <v>3871</v>
      </c>
      <c r="AA445"/>
      <c r="AB445"/>
      <c r="AC445" s="274"/>
      <c r="AD445" s="40"/>
    </row>
    <row r="446" spans="16:30" ht="10.5" customHeight="1">
      <c r="P446" s="150" t="s">
        <v>4711</v>
      </c>
      <c r="Q446" s="150"/>
      <c r="R446" s="98"/>
      <c r="S446" s="146"/>
      <c r="T446" s="284" t="s">
        <v>4712</v>
      </c>
      <c r="U446" s="284" t="s">
        <v>3848</v>
      </c>
      <c r="AA446"/>
      <c r="AB446"/>
      <c r="AC446" s="274"/>
      <c r="AD446" s="40"/>
    </row>
    <row r="447" spans="16:30" ht="10.5" customHeight="1">
      <c r="P447" s="150" t="s">
        <v>4713</v>
      </c>
      <c r="Q447" s="150"/>
      <c r="R447" s="98"/>
      <c r="S447" s="146"/>
      <c r="T447" s="284" t="s">
        <v>4714</v>
      </c>
      <c r="U447" s="284" t="s">
        <v>3742</v>
      </c>
      <c r="AA447"/>
      <c r="AB447"/>
      <c r="AC447" s="274"/>
      <c r="AD447" s="40"/>
    </row>
    <row r="448" spans="16:30" ht="10.5" customHeight="1">
      <c r="P448" s="150" t="s">
        <v>4715</v>
      </c>
      <c r="Q448" s="150"/>
      <c r="R448" s="98"/>
      <c r="S448" s="146"/>
      <c r="T448" s="284" t="s">
        <v>4716</v>
      </c>
      <c r="U448" s="284" t="s">
        <v>3858</v>
      </c>
      <c r="AA448"/>
      <c r="AB448"/>
      <c r="AC448" s="274"/>
      <c r="AD448" s="40"/>
    </row>
    <row r="449" spans="16:30" ht="10.5" customHeight="1">
      <c r="P449" s="150" t="s">
        <v>4717</v>
      </c>
      <c r="Q449" s="150"/>
      <c r="R449" s="98"/>
      <c r="S449" s="146"/>
      <c r="T449" s="284" t="s">
        <v>4718</v>
      </c>
      <c r="U449" s="284" t="s">
        <v>3853</v>
      </c>
      <c r="AA449"/>
      <c r="AB449"/>
      <c r="AC449" s="274"/>
      <c r="AD449" s="40"/>
    </row>
    <row r="450" spans="16:30" ht="10.5" customHeight="1">
      <c r="P450" s="150" t="s">
        <v>4719</v>
      </c>
      <c r="Q450" s="150"/>
      <c r="R450" s="98"/>
      <c r="S450" s="146"/>
      <c r="T450" s="284" t="s">
        <v>4720</v>
      </c>
      <c r="U450" s="284" t="s">
        <v>4165</v>
      </c>
      <c r="AA450"/>
      <c r="AB450"/>
      <c r="AC450" s="274"/>
      <c r="AD450" s="40"/>
    </row>
    <row r="451" spans="16:30" ht="10.5" customHeight="1">
      <c r="P451" s="150" t="s">
        <v>4721</v>
      </c>
      <c r="Q451" s="150"/>
      <c r="R451" s="98"/>
      <c r="S451" s="146"/>
      <c r="T451" s="318" t="s">
        <v>4722</v>
      </c>
      <c r="U451" s="284" t="s">
        <v>2187</v>
      </c>
      <c r="AA451"/>
      <c r="AB451"/>
      <c r="AC451" s="537"/>
      <c r="AD451" s="40"/>
    </row>
    <row r="452" spans="16:30" ht="10.5" customHeight="1">
      <c r="P452" s="150" t="s">
        <v>4723</v>
      </c>
      <c r="Q452" s="150"/>
      <c r="R452" s="98"/>
      <c r="S452" s="146"/>
      <c r="T452" s="284" t="s">
        <v>4724</v>
      </c>
      <c r="U452" s="284" t="s">
        <v>2736</v>
      </c>
      <c r="AA452"/>
      <c r="AB452"/>
      <c r="AC452" s="274"/>
      <c r="AD452" s="40"/>
    </row>
    <row r="453" spans="16:30" ht="10.5" customHeight="1">
      <c r="P453" s="150" t="s">
        <v>4725</v>
      </c>
      <c r="Q453" s="150"/>
      <c r="R453" s="98"/>
      <c r="S453" s="146"/>
      <c r="T453" s="284" t="s">
        <v>4726</v>
      </c>
      <c r="U453" s="284" t="s">
        <v>2187</v>
      </c>
      <c r="AA453"/>
      <c r="AB453"/>
      <c r="AC453" s="274"/>
      <c r="AD453" s="40"/>
    </row>
    <row r="454" spans="16:30" ht="10.5" customHeight="1">
      <c r="P454" s="150" t="s">
        <v>4727</v>
      </c>
      <c r="Q454" s="150"/>
      <c r="R454" s="98"/>
      <c r="S454" s="146"/>
      <c r="T454" s="284" t="s">
        <v>134</v>
      </c>
      <c r="U454" s="284" t="s">
        <v>135</v>
      </c>
      <c r="AA454"/>
      <c r="AB454"/>
      <c r="AC454" s="274"/>
      <c r="AD454" s="40"/>
    </row>
    <row r="455" spans="16:30" ht="10.5" customHeight="1">
      <c r="P455" s="150" t="s">
        <v>4728</v>
      </c>
      <c r="Q455" s="150"/>
      <c r="R455" s="98"/>
      <c r="S455" s="146"/>
      <c r="T455" s="284" t="s">
        <v>4729</v>
      </c>
      <c r="U455" s="284" t="s">
        <v>4361</v>
      </c>
      <c r="AA455"/>
      <c r="AB455"/>
      <c r="AC455" s="274"/>
      <c r="AD455" s="40"/>
    </row>
    <row r="456" spans="16:30" ht="10.5" customHeight="1">
      <c r="P456" s="150" t="s">
        <v>4730</v>
      </c>
      <c r="Q456" s="150"/>
      <c r="R456" s="98"/>
      <c r="S456" s="146"/>
      <c r="T456" s="146" t="s">
        <v>136</v>
      </c>
      <c r="U456" s="146" t="s">
        <v>101</v>
      </c>
      <c r="AA456"/>
      <c r="AB456"/>
      <c r="AC456" s="40"/>
      <c r="AD456" s="40"/>
    </row>
    <row r="457" spans="16:30" ht="10.5" customHeight="1">
      <c r="P457" s="150" t="s">
        <v>4731</v>
      </c>
      <c r="Q457" s="150"/>
      <c r="R457" s="98"/>
      <c r="S457" s="146"/>
      <c r="T457" s="284" t="s">
        <v>4732</v>
      </c>
      <c r="U457" s="284" t="s">
        <v>3788</v>
      </c>
      <c r="AA457"/>
      <c r="AB457"/>
      <c r="AC457" s="274"/>
      <c r="AD457" s="40"/>
    </row>
    <row r="458" spans="16:30" ht="10.5" customHeight="1">
      <c r="P458" s="150" t="s">
        <v>4733</v>
      </c>
      <c r="Q458" s="150"/>
      <c r="R458" s="98"/>
      <c r="S458" s="146"/>
      <c r="T458" s="284" t="s">
        <v>137</v>
      </c>
      <c r="U458" s="284" t="s">
        <v>138</v>
      </c>
      <c r="AA458"/>
      <c r="AB458"/>
      <c r="AC458" s="274"/>
      <c r="AD458" s="40"/>
    </row>
    <row r="459" spans="16:30" ht="10.5" customHeight="1">
      <c r="P459" s="150" t="s">
        <v>4734</v>
      </c>
      <c r="Q459" s="150"/>
      <c r="R459" s="98"/>
      <c r="S459" s="146"/>
      <c r="T459" s="284" t="s">
        <v>4735</v>
      </c>
      <c r="U459" s="284" t="s">
        <v>3788</v>
      </c>
      <c r="AA459"/>
      <c r="AB459"/>
      <c r="AC459" s="274"/>
      <c r="AD459" s="40"/>
    </row>
    <row r="460" spans="16:30" ht="10.5" customHeight="1">
      <c r="P460" s="150" t="s">
        <v>4736</v>
      </c>
      <c r="Q460" s="150"/>
      <c r="R460" s="98"/>
      <c r="S460" s="146"/>
      <c r="T460" s="284" t="s">
        <v>3853</v>
      </c>
      <c r="U460" s="284" t="s">
        <v>3813</v>
      </c>
      <c r="AA460"/>
      <c r="AB460"/>
      <c r="AC460" s="274"/>
      <c r="AD460" s="40"/>
    </row>
    <row r="461" spans="16:30" ht="10.5" customHeight="1">
      <c r="P461" s="150" t="s">
        <v>4737</v>
      </c>
      <c r="Q461" s="150"/>
      <c r="R461" s="98"/>
      <c r="S461" s="146"/>
      <c r="T461" s="284" t="s">
        <v>4738</v>
      </c>
      <c r="U461" s="284" t="s">
        <v>4396</v>
      </c>
      <c r="AA461"/>
      <c r="AB461"/>
      <c r="AC461" s="274"/>
      <c r="AD461" s="40"/>
    </row>
    <row r="462" spans="16:30" ht="10.5" customHeight="1">
      <c r="P462" s="150" t="s">
        <v>4739</v>
      </c>
      <c r="Q462" s="150"/>
      <c r="R462" s="98"/>
      <c r="S462" s="146"/>
      <c r="T462" s="284" t="s">
        <v>4740</v>
      </c>
      <c r="U462" s="284" t="s">
        <v>3977</v>
      </c>
      <c r="AA462"/>
      <c r="AB462"/>
      <c r="AC462" s="274"/>
      <c r="AD462" s="40"/>
    </row>
    <row r="463" spans="16:30" ht="10.5" customHeight="1">
      <c r="P463" s="150" t="s">
        <v>4741</v>
      </c>
      <c r="Q463" s="150"/>
      <c r="R463" s="98"/>
      <c r="S463" s="146"/>
      <c r="T463" s="284" t="s">
        <v>4138</v>
      </c>
      <c r="U463" s="284" t="s">
        <v>4302</v>
      </c>
      <c r="AA463"/>
      <c r="AB463"/>
      <c r="AC463" s="274"/>
      <c r="AD463" s="40"/>
    </row>
    <row r="464" spans="16:30" ht="10.5" customHeight="1">
      <c r="P464" s="150" t="s">
        <v>4742</v>
      </c>
      <c r="Q464" s="150"/>
      <c r="R464" s="98"/>
      <c r="S464" s="146"/>
      <c r="T464" s="284" t="s">
        <v>3915</v>
      </c>
      <c r="U464" s="284" t="s">
        <v>3853</v>
      </c>
      <c r="AA464"/>
      <c r="AB464"/>
      <c r="AC464" s="274"/>
      <c r="AD464" s="40"/>
    </row>
    <row r="465" spans="16:30" ht="10.5" customHeight="1">
      <c r="P465" s="150" t="s">
        <v>4743</v>
      </c>
      <c r="Q465" s="150"/>
      <c r="R465" s="98"/>
      <c r="S465" s="146"/>
      <c r="T465" s="146" t="s">
        <v>4744</v>
      </c>
      <c r="U465" s="146" t="s">
        <v>4431</v>
      </c>
      <c r="AA465"/>
      <c r="AB465"/>
      <c r="AC465" s="40"/>
      <c r="AD465" s="40"/>
    </row>
    <row r="466" spans="16:30" ht="10.5" customHeight="1">
      <c r="P466" s="150" t="s">
        <v>4745</v>
      </c>
      <c r="Q466" s="150"/>
      <c r="R466" s="98"/>
      <c r="S466" s="146"/>
      <c r="T466" s="146" t="s">
        <v>4746</v>
      </c>
      <c r="U466" s="146" t="s">
        <v>3813</v>
      </c>
      <c r="AA466"/>
      <c r="AB466"/>
      <c r="AC466" s="40"/>
      <c r="AD466" s="40"/>
    </row>
    <row r="467" spans="16:30" ht="10.5" customHeight="1">
      <c r="P467" s="150" t="s">
        <v>4747</v>
      </c>
      <c r="Q467" s="150"/>
      <c r="R467" s="98"/>
      <c r="S467" s="146"/>
      <c r="T467" s="284" t="s">
        <v>4748</v>
      </c>
      <c r="U467" s="284" t="s">
        <v>3992</v>
      </c>
      <c r="AA467"/>
      <c r="AB467"/>
      <c r="AC467" s="274"/>
      <c r="AD467" s="40"/>
    </row>
    <row r="468" spans="16:30" ht="10.5" customHeight="1">
      <c r="P468" s="150" t="s">
        <v>4749</v>
      </c>
      <c r="Q468" s="150"/>
      <c r="R468" s="98"/>
      <c r="S468" s="146"/>
      <c r="T468" s="284" t="s">
        <v>4750</v>
      </c>
      <c r="U468" s="284" t="s">
        <v>4461</v>
      </c>
      <c r="AA468"/>
      <c r="AB468"/>
      <c r="AC468" s="274"/>
      <c r="AD468" s="40"/>
    </row>
    <row r="469" spans="16:30" ht="10.5" customHeight="1">
      <c r="P469" s="150" t="s">
        <v>4751</v>
      </c>
      <c r="Q469" s="150"/>
      <c r="R469" s="98"/>
      <c r="S469" s="146"/>
      <c r="T469" s="284" t="s">
        <v>4752</v>
      </c>
      <c r="U469" s="284" t="s">
        <v>154</v>
      </c>
      <c r="AA469"/>
      <c r="AB469"/>
      <c r="AC469" s="274"/>
      <c r="AD469" s="40"/>
    </row>
    <row r="470" spans="16:30" ht="10.5" customHeight="1">
      <c r="P470" s="150" t="s">
        <v>4753</v>
      </c>
      <c r="Q470" s="150"/>
      <c r="R470" s="98"/>
      <c r="S470" s="146"/>
      <c r="T470" s="284" t="s">
        <v>4754</v>
      </c>
      <c r="U470" s="284" t="s">
        <v>101</v>
      </c>
      <c r="AA470"/>
      <c r="AB470"/>
      <c r="AC470" s="274"/>
      <c r="AD470" s="40"/>
    </row>
    <row r="471" spans="16:30" ht="10.5" customHeight="1">
      <c r="P471" s="150" t="s">
        <v>4755</v>
      </c>
      <c r="Q471" s="150"/>
      <c r="R471" s="98"/>
      <c r="S471" s="146"/>
      <c r="T471" s="284" t="s">
        <v>4756</v>
      </c>
      <c r="U471" s="284" t="s">
        <v>4380</v>
      </c>
      <c r="AA471"/>
      <c r="AB471"/>
      <c r="AC471" s="274"/>
      <c r="AD471" s="40"/>
    </row>
    <row r="472" spans="16:30" ht="10.5" customHeight="1">
      <c r="P472" s="150" t="s">
        <v>4757</v>
      </c>
      <c r="Q472" s="150"/>
      <c r="R472" s="98"/>
      <c r="S472" s="146"/>
      <c r="T472" s="284" t="s">
        <v>4758</v>
      </c>
      <c r="U472" s="284" t="s">
        <v>121</v>
      </c>
      <c r="AA472"/>
      <c r="AB472"/>
      <c r="AC472" s="274"/>
      <c r="AD472" s="40"/>
    </row>
    <row r="473" spans="16:30" ht="10.5" customHeight="1">
      <c r="P473" s="150" t="s">
        <v>4759</v>
      </c>
      <c r="Q473" s="150"/>
      <c r="R473" s="98"/>
      <c r="S473" s="146"/>
      <c r="T473" s="284" t="s">
        <v>4760</v>
      </c>
      <c r="U473" s="284" t="s">
        <v>3807</v>
      </c>
      <c r="AA473"/>
      <c r="AB473"/>
      <c r="AC473" s="274"/>
      <c r="AD473" s="40"/>
    </row>
    <row r="474" spans="16:30" ht="10.5" customHeight="1">
      <c r="P474" s="150" t="s">
        <v>4761</v>
      </c>
      <c r="Q474" s="150"/>
      <c r="R474" s="98"/>
      <c r="S474" s="146"/>
      <c r="T474" s="284" t="s">
        <v>139</v>
      </c>
      <c r="U474" s="284" t="s">
        <v>140</v>
      </c>
      <c r="AA474"/>
      <c r="AB474"/>
      <c r="AC474" s="274"/>
      <c r="AD474" s="40"/>
    </row>
    <row r="475" spans="16:30" ht="10.5" customHeight="1">
      <c r="P475" s="150" t="s">
        <v>4762</v>
      </c>
      <c r="Q475" s="150"/>
      <c r="R475" s="98"/>
      <c r="S475" s="146"/>
      <c r="T475" s="284" t="s">
        <v>4763</v>
      </c>
      <c r="U475" s="284" t="s">
        <v>140</v>
      </c>
      <c r="AA475"/>
      <c r="AB475"/>
      <c r="AC475" s="274"/>
      <c r="AD475" s="40"/>
    </row>
    <row r="476" spans="16:30" ht="10.5" customHeight="1">
      <c r="P476" s="150" t="s">
        <v>4764</v>
      </c>
      <c r="Q476" s="150"/>
      <c r="R476" s="98"/>
      <c r="S476" s="146"/>
      <c r="T476" s="146" t="s">
        <v>4765</v>
      </c>
      <c r="U476" s="146" t="s">
        <v>3733</v>
      </c>
      <c r="AA476"/>
      <c r="AB476"/>
      <c r="AC476" s="40"/>
      <c r="AD476" s="40"/>
    </row>
    <row r="477" spans="16:30" ht="10.5" customHeight="1">
      <c r="P477" s="150" t="s">
        <v>4766</v>
      </c>
      <c r="Q477" s="150"/>
      <c r="R477" s="98"/>
      <c r="S477" s="146"/>
      <c r="T477" s="284" t="s">
        <v>4767</v>
      </c>
      <c r="U477" s="284" t="s">
        <v>3749</v>
      </c>
      <c r="AA477"/>
      <c r="AB477"/>
      <c r="AC477" s="274"/>
      <c r="AD477" s="40"/>
    </row>
    <row r="478" spans="16:30" ht="10.5" customHeight="1">
      <c r="P478" s="150" t="s">
        <v>4768</v>
      </c>
      <c r="Q478" s="150"/>
      <c r="R478" s="98"/>
      <c r="S478" s="146"/>
      <c r="T478" s="284" t="s">
        <v>4769</v>
      </c>
      <c r="U478" s="284" t="s">
        <v>3927</v>
      </c>
      <c r="AA478"/>
      <c r="AB478"/>
      <c r="AC478" s="274"/>
      <c r="AD478" s="40"/>
    </row>
    <row r="479" spans="16:30" ht="10.5" customHeight="1">
      <c r="P479" s="150" t="s">
        <v>4770</v>
      </c>
      <c r="Q479" s="150"/>
      <c r="R479" s="98"/>
      <c r="S479" s="146"/>
      <c r="T479" s="284" t="s">
        <v>4771</v>
      </c>
      <c r="U479" s="284" t="s">
        <v>104</v>
      </c>
      <c r="AA479"/>
      <c r="AB479"/>
      <c r="AC479" s="274"/>
      <c r="AD479" s="40"/>
    </row>
    <row r="480" spans="16:30" ht="10.5" customHeight="1">
      <c r="P480" s="150" t="s">
        <v>4772</v>
      </c>
      <c r="Q480" s="150"/>
      <c r="R480" s="98"/>
      <c r="S480" s="146"/>
      <c r="T480" s="284" t="s">
        <v>4773</v>
      </c>
      <c r="U480" s="284" t="s">
        <v>4423</v>
      </c>
      <c r="AA480"/>
      <c r="AB480"/>
      <c r="AC480" s="274"/>
      <c r="AD480" s="40"/>
    </row>
    <row r="481" spans="16:30" ht="10.5" customHeight="1">
      <c r="P481" s="150" t="s">
        <v>4774</v>
      </c>
      <c r="Q481" s="150"/>
      <c r="R481" s="98"/>
      <c r="S481" s="146"/>
      <c r="T481" s="284" t="s">
        <v>4775</v>
      </c>
      <c r="U481" s="284" t="s">
        <v>101</v>
      </c>
      <c r="AA481"/>
      <c r="AB481"/>
      <c r="AC481" s="274"/>
      <c r="AD481" s="40"/>
    </row>
    <row r="482" spans="16:30" ht="10.5" customHeight="1">
      <c r="P482" s="150" t="s">
        <v>4776</v>
      </c>
      <c r="Q482" s="150"/>
      <c r="R482" s="98"/>
      <c r="S482" s="146"/>
      <c r="T482" s="284" t="s">
        <v>4777</v>
      </c>
      <c r="U482" s="284" t="s">
        <v>152</v>
      </c>
      <c r="AA482"/>
      <c r="AB482"/>
      <c r="AC482" s="274"/>
      <c r="AD482" s="40"/>
    </row>
    <row r="483" spans="16:30" ht="10.5" customHeight="1">
      <c r="P483" s="150" t="s">
        <v>4778</v>
      </c>
      <c r="Q483" s="150"/>
      <c r="R483" s="98"/>
      <c r="S483" s="146"/>
      <c r="T483" s="284" t="s">
        <v>4779</v>
      </c>
      <c r="U483" s="284" t="s">
        <v>4177</v>
      </c>
      <c r="AA483"/>
      <c r="AB483"/>
      <c r="AC483" s="274"/>
      <c r="AD483" s="40"/>
    </row>
    <row r="484" spans="16:30" ht="10.5" customHeight="1">
      <c r="P484" s="150" t="s">
        <v>4780</v>
      </c>
      <c r="Q484" s="150"/>
      <c r="R484" s="98"/>
      <c r="S484" s="146"/>
      <c r="T484" s="284" t="s">
        <v>141</v>
      </c>
      <c r="U484" s="284" t="s">
        <v>135</v>
      </c>
      <c r="AA484"/>
      <c r="AB484"/>
      <c r="AC484" s="274"/>
      <c r="AD484" s="40"/>
    </row>
    <row r="485" spans="16:30" ht="10.5" customHeight="1">
      <c r="P485" s="150" t="s">
        <v>4781</v>
      </c>
      <c r="Q485" s="150"/>
      <c r="R485" s="98"/>
      <c r="S485" s="146"/>
      <c r="T485" s="284" t="s">
        <v>142</v>
      </c>
      <c r="U485" s="284" t="s">
        <v>143</v>
      </c>
      <c r="AA485"/>
      <c r="AB485"/>
      <c r="AC485" s="274"/>
      <c r="AD485" s="40"/>
    </row>
    <row r="486" spans="16:30" ht="10.5" customHeight="1">
      <c r="P486" s="150" t="s">
        <v>4782</v>
      </c>
      <c r="Q486" s="150"/>
      <c r="R486" s="98"/>
      <c r="S486" s="146"/>
      <c r="T486" s="284" t="s">
        <v>4783</v>
      </c>
      <c r="U486" s="284" t="s">
        <v>4035</v>
      </c>
      <c r="AA486"/>
      <c r="AB486"/>
      <c r="AC486" s="274"/>
      <c r="AD486" s="40"/>
    </row>
    <row r="487" spans="16:30" ht="10.5" customHeight="1">
      <c r="P487" s="150" t="s">
        <v>4784</v>
      </c>
      <c r="Q487" s="150"/>
      <c r="R487" s="98"/>
      <c r="S487" s="146"/>
      <c r="T487" s="284" t="s">
        <v>4785</v>
      </c>
      <c r="U487" s="284" t="s">
        <v>3975</v>
      </c>
      <c r="AA487"/>
      <c r="AB487"/>
      <c r="AC487" s="274"/>
      <c r="AD487" s="40"/>
    </row>
    <row r="488" spans="16:30" ht="10.5" customHeight="1">
      <c r="P488" s="150" t="s">
        <v>4786</v>
      </c>
      <c r="Q488" s="150"/>
      <c r="R488" s="98"/>
      <c r="S488" s="146"/>
      <c r="T488" s="284" t="s">
        <v>4787</v>
      </c>
      <c r="U488" s="284" t="s">
        <v>3820</v>
      </c>
      <c r="AA488"/>
      <c r="AB488"/>
      <c r="AC488" s="274"/>
      <c r="AD488" s="40"/>
    </row>
    <row r="489" spans="16:30" ht="10.5" customHeight="1">
      <c r="P489" s="150" t="s">
        <v>4788</v>
      </c>
      <c r="Q489" s="150"/>
      <c r="R489" s="98"/>
      <c r="S489" s="146"/>
      <c r="T489" s="284" t="s">
        <v>4789</v>
      </c>
      <c r="U489" s="284" t="s">
        <v>4188</v>
      </c>
      <c r="AA489"/>
      <c r="AB489"/>
      <c r="AC489" s="274"/>
      <c r="AD489" s="40"/>
    </row>
    <row r="490" spans="16:30" ht="10.5" customHeight="1">
      <c r="P490" s="150" t="s">
        <v>4790</v>
      </c>
      <c r="Q490" s="150"/>
      <c r="R490" s="98"/>
      <c r="S490" s="146"/>
      <c r="T490" s="284" t="s">
        <v>4791</v>
      </c>
      <c r="U490" s="284" t="s">
        <v>3740</v>
      </c>
      <c r="AA490"/>
      <c r="AB490"/>
      <c r="AC490" s="274"/>
      <c r="AD490" s="40"/>
    </row>
    <row r="491" spans="16:30" ht="10.5" customHeight="1">
      <c r="P491" s="150" t="s">
        <v>4792</v>
      </c>
      <c r="Q491" s="150"/>
      <c r="R491" s="98"/>
      <c r="S491" s="146"/>
      <c r="T491" s="284" t="s">
        <v>4793</v>
      </c>
      <c r="U491" s="284" t="s">
        <v>3825</v>
      </c>
      <c r="AA491"/>
      <c r="AB491"/>
      <c r="AC491" s="274"/>
      <c r="AD491" s="40"/>
    </row>
    <row r="492" spans="16:30" ht="10.5" customHeight="1">
      <c r="P492" s="150" t="s">
        <v>4794</v>
      </c>
      <c r="Q492" s="150"/>
      <c r="R492" s="98"/>
      <c r="S492" s="146"/>
      <c r="T492" s="284" t="s">
        <v>4795</v>
      </c>
      <c r="U492" s="284" t="s">
        <v>3869</v>
      </c>
      <c r="AA492"/>
      <c r="AB492"/>
      <c r="AC492" s="274"/>
      <c r="AD492" s="40"/>
    </row>
    <row r="493" spans="16:30" ht="10.5" customHeight="1">
      <c r="P493" s="150" t="s">
        <v>4796</v>
      </c>
      <c r="Q493" s="150"/>
      <c r="R493" s="98"/>
      <c r="S493" s="146"/>
      <c r="T493" s="284" t="s">
        <v>4797</v>
      </c>
      <c r="U493" s="284" t="s">
        <v>3975</v>
      </c>
      <c r="AA493"/>
      <c r="AB493"/>
      <c r="AC493" s="274"/>
      <c r="AD493" s="40"/>
    </row>
    <row r="494" spans="16:30" ht="10.5" customHeight="1">
      <c r="P494" s="150" t="s">
        <v>4798</v>
      </c>
      <c r="Q494" s="150"/>
      <c r="R494" s="98"/>
      <c r="S494" s="146"/>
      <c r="T494" s="146" t="s">
        <v>4799</v>
      </c>
      <c r="U494" s="146" t="s">
        <v>3962</v>
      </c>
      <c r="AA494"/>
      <c r="AB494"/>
      <c r="AC494" s="40"/>
      <c r="AD494" s="40"/>
    </row>
    <row r="495" spans="16:30" ht="10.5" customHeight="1">
      <c r="P495" s="150" t="s">
        <v>4800</v>
      </c>
      <c r="Q495" s="150"/>
      <c r="R495" s="98"/>
      <c r="S495" s="146"/>
      <c r="T495" s="284" t="s">
        <v>144</v>
      </c>
      <c r="U495" s="284" t="s">
        <v>131</v>
      </c>
      <c r="AA495"/>
      <c r="AB495"/>
      <c r="AC495" s="274"/>
      <c r="AD495" s="40"/>
    </row>
    <row r="496" spans="16:30" ht="10.5" customHeight="1">
      <c r="P496" s="150" t="s">
        <v>4801</v>
      </c>
      <c r="Q496" s="150"/>
      <c r="R496" s="98"/>
      <c r="S496" s="146"/>
      <c r="T496" s="284" t="s">
        <v>4802</v>
      </c>
      <c r="U496" s="284" t="s">
        <v>4198</v>
      </c>
      <c r="AA496"/>
      <c r="AB496"/>
      <c r="AC496" s="274"/>
      <c r="AD496" s="40"/>
    </row>
    <row r="497" spans="16:30" ht="10.5" customHeight="1">
      <c r="P497" s="150" t="s">
        <v>4803</v>
      </c>
      <c r="Q497" s="150"/>
      <c r="R497" s="98"/>
      <c r="S497" s="146"/>
      <c r="T497" s="284" t="s">
        <v>4804</v>
      </c>
      <c r="U497" s="284" t="s">
        <v>104</v>
      </c>
      <c r="AA497"/>
      <c r="AB497"/>
      <c r="AC497" s="274"/>
      <c r="AD497" s="40"/>
    </row>
    <row r="498" spans="16:30" ht="10.5" customHeight="1">
      <c r="P498" s="150" t="s">
        <v>4805</v>
      </c>
      <c r="Q498" s="150"/>
      <c r="R498" s="98"/>
      <c r="S498" s="146"/>
      <c r="T498" s="284" t="s">
        <v>145</v>
      </c>
      <c r="U498" s="284" t="s">
        <v>146</v>
      </c>
      <c r="AA498"/>
      <c r="AB498"/>
      <c r="AC498" s="274"/>
      <c r="AD498" s="40"/>
    </row>
    <row r="499" spans="16:30" ht="10.5" customHeight="1">
      <c r="P499" s="150" t="s">
        <v>4806</v>
      </c>
      <c r="Q499" s="150"/>
      <c r="R499" s="98"/>
      <c r="S499" s="146"/>
      <c r="T499" s="284" t="s">
        <v>2185</v>
      </c>
      <c r="U499" s="284" t="s">
        <v>96</v>
      </c>
      <c r="AA499"/>
      <c r="AB499"/>
      <c r="AC499" s="274"/>
      <c r="AD499" s="40"/>
    </row>
    <row r="500" spans="16:30" ht="10.5" customHeight="1">
      <c r="P500" s="150" t="s">
        <v>4807</v>
      </c>
      <c r="Q500" s="150"/>
      <c r="R500" s="98"/>
      <c r="S500" s="146"/>
      <c r="T500" s="284" t="s">
        <v>4808</v>
      </c>
      <c r="U500" s="284" t="s">
        <v>99</v>
      </c>
      <c r="AA500"/>
      <c r="AB500"/>
      <c r="AC500" s="274"/>
      <c r="AD500" s="40"/>
    </row>
    <row r="501" spans="16:30" ht="10.5" customHeight="1">
      <c r="P501" s="150" t="s">
        <v>4809</v>
      </c>
      <c r="Q501" s="150"/>
      <c r="R501" s="98"/>
      <c r="S501" s="146"/>
      <c r="T501" s="284" t="s">
        <v>4810</v>
      </c>
      <c r="U501" s="284" t="s">
        <v>3992</v>
      </c>
      <c r="AA501"/>
      <c r="AB501"/>
      <c r="AC501" s="274"/>
      <c r="AD501" s="40"/>
    </row>
    <row r="502" spans="16:30" ht="10.5" customHeight="1">
      <c r="P502" s="150" t="s">
        <v>4811</v>
      </c>
      <c r="Q502" s="150"/>
      <c r="R502" s="98"/>
      <c r="S502" s="146"/>
      <c r="T502" s="284" t="s">
        <v>4812</v>
      </c>
      <c r="U502" s="284" t="s">
        <v>4243</v>
      </c>
      <c r="AA502"/>
      <c r="AB502"/>
      <c r="AC502" s="274"/>
      <c r="AD502" s="40"/>
    </row>
    <row r="503" spans="16:30" ht="10.5" customHeight="1">
      <c r="P503" s="150" t="s">
        <v>4813</v>
      </c>
      <c r="Q503" s="150"/>
      <c r="R503" s="98"/>
      <c r="S503" s="146"/>
      <c r="T503" s="146" t="s">
        <v>4814</v>
      </c>
      <c r="U503" s="146" t="s">
        <v>104</v>
      </c>
      <c r="AA503"/>
      <c r="AB503"/>
      <c r="AC503" s="40"/>
      <c r="AD503" s="40"/>
    </row>
    <row r="504" spans="16:30" ht="10.5" customHeight="1">
      <c r="P504" s="150" t="s">
        <v>4815</v>
      </c>
      <c r="Q504" s="150"/>
      <c r="R504" s="98"/>
      <c r="S504" s="146"/>
      <c r="T504" s="284" t="s">
        <v>4816</v>
      </c>
      <c r="U504" s="284" t="s">
        <v>3915</v>
      </c>
      <c r="AA504"/>
      <c r="AB504"/>
      <c r="AC504" s="274"/>
      <c r="AD504" s="40"/>
    </row>
    <row r="505" spans="16:30" ht="10.5" customHeight="1">
      <c r="P505" s="150" t="s">
        <v>4817</v>
      </c>
      <c r="Q505" s="150"/>
      <c r="R505" s="98"/>
      <c r="S505" s="146"/>
      <c r="T505" s="284" t="s">
        <v>4818</v>
      </c>
      <c r="U505" s="284" t="s">
        <v>101</v>
      </c>
      <c r="AA505"/>
      <c r="AB505"/>
      <c r="AC505" s="274"/>
      <c r="AD505" s="40"/>
    </row>
    <row r="506" spans="16:30" ht="10.5" customHeight="1">
      <c r="P506" s="150" t="s">
        <v>4819</v>
      </c>
      <c r="Q506" s="150"/>
      <c r="R506" s="98"/>
      <c r="S506" s="146"/>
      <c r="T506" s="284" t="s">
        <v>4820</v>
      </c>
      <c r="U506" s="284" t="s">
        <v>4205</v>
      </c>
      <c r="AA506"/>
      <c r="AB506"/>
      <c r="AC506" s="274"/>
      <c r="AD506" s="40"/>
    </row>
    <row r="507" spans="16:30" ht="10.5" customHeight="1">
      <c r="P507" s="150" t="s">
        <v>4821</v>
      </c>
      <c r="Q507" s="150"/>
      <c r="R507" s="98"/>
      <c r="S507" s="146"/>
      <c r="T507" s="284" t="s">
        <v>4822</v>
      </c>
      <c r="U507" s="284" t="s">
        <v>4087</v>
      </c>
      <c r="AA507"/>
      <c r="AB507"/>
      <c r="AC507" s="274"/>
      <c r="AD507" s="40"/>
    </row>
    <row r="508" spans="16:30" ht="10.5" customHeight="1">
      <c r="P508" s="150" t="s">
        <v>4823</v>
      </c>
      <c r="Q508" s="150"/>
      <c r="R508" s="98"/>
      <c r="S508" s="146"/>
      <c r="T508" s="284" t="s">
        <v>4824</v>
      </c>
      <c r="U508" s="284" t="s">
        <v>4396</v>
      </c>
      <c r="AA508"/>
      <c r="AB508"/>
      <c r="AC508" s="274"/>
      <c r="AD508" s="40"/>
    </row>
    <row r="509" spans="16:30" ht="10.5" customHeight="1">
      <c r="P509" s="150" t="s">
        <v>4825</v>
      </c>
      <c r="Q509" s="150"/>
      <c r="R509" s="98"/>
      <c r="S509" s="146"/>
      <c r="T509" s="284" t="s">
        <v>4214</v>
      </c>
      <c r="U509" s="284" t="s">
        <v>4373</v>
      </c>
      <c r="AA509"/>
      <c r="AB509"/>
      <c r="AC509" s="274"/>
      <c r="AD509" s="40"/>
    </row>
    <row r="510" spans="16:30" ht="10.5" customHeight="1">
      <c r="P510" s="150" t="s">
        <v>4826</v>
      </c>
      <c r="Q510" s="150"/>
      <c r="R510" s="98"/>
      <c r="S510" s="146"/>
      <c r="T510" s="284" t="s">
        <v>4827</v>
      </c>
      <c r="U510" s="284" t="s">
        <v>4243</v>
      </c>
      <c r="AA510"/>
      <c r="AB510"/>
      <c r="AC510" s="274"/>
      <c r="AD510" s="40"/>
    </row>
    <row r="511" spans="16:30" ht="10.5" customHeight="1">
      <c r="P511" s="150" t="s">
        <v>4828</v>
      </c>
      <c r="Q511" s="150"/>
      <c r="R511" s="98"/>
      <c r="S511" s="146"/>
      <c r="T511" s="284" t="s">
        <v>4829</v>
      </c>
      <c r="U511" s="284" t="s">
        <v>3864</v>
      </c>
      <c r="AA511"/>
      <c r="AB511"/>
      <c r="AC511" s="274"/>
      <c r="AD511" s="40"/>
    </row>
    <row r="512" spans="16:30" ht="10.5" customHeight="1">
      <c r="P512" s="150" t="s">
        <v>4830</v>
      </c>
      <c r="Q512" s="150"/>
      <c r="R512" s="98"/>
      <c r="S512" s="146"/>
      <c r="T512" s="284" t="s">
        <v>4831</v>
      </c>
      <c r="U512" s="284" t="s">
        <v>4410</v>
      </c>
      <c r="AA512"/>
      <c r="AB512"/>
      <c r="AC512" s="274"/>
      <c r="AD512" s="40"/>
    </row>
    <row r="513" spans="16:30" ht="10.5" customHeight="1">
      <c r="P513" s="150" t="s">
        <v>4832</v>
      </c>
      <c r="Q513" s="150"/>
      <c r="R513" s="98"/>
      <c r="S513" s="146"/>
      <c r="T513" s="284" t="s">
        <v>147</v>
      </c>
      <c r="U513" s="284" t="s">
        <v>121</v>
      </c>
      <c r="AA513"/>
      <c r="AB513"/>
      <c r="AC513" s="274"/>
      <c r="AD513" s="40"/>
    </row>
    <row r="514" spans="16:30" ht="10.5" customHeight="1">
      <c r="P514" s="150" t="s">
        <v>4833</v>
      </c>
      <c r="Q514" s="150"/>
      <c r="R514" s="98"/>
      <c r="S514" s="146"/>
      <c r="T514" s="284" t="s">
        <v>2736</v>
      </c>
      <c r="U514" s="284" t="s">
        <v>3770</v>
      </c>
      <c r="AA514"/>
      <c r="AB514"/>
      <c r="AC514" s="274"/>
      <c r="AD514" s="40"/>
    </row>
    <row r="515" spans="16:30" ht="10.5" customHeight="1">
      <c r="P515" s="150" t="s">
        <v>4834</v>
      </c>
      <c r="Q515" s="150"/>
      <c r="R515" s="98"/>
      <c r="S515" s="146"/>
      <c r="T515" s="284" t="s">
        <v>2187</v>
      </c>
      <c r="U515" s="284" t="s">
        <v>4070</v>
      </c>
      <c r="AA515"/>
      <c r="AB515"/>
      <c r="AC515" s="274"/>
      <c r="AD515" s="40"/>
    </row>
    <row r="516" spans="16:30" ht="10.5" customHeight="1">
      <c r="P516" s="150" t="s">
        <v>4835</v>
      </c>
      <c r="Q516" s="150"/>
      <c r="R516" s="98"/>
      <c r="S516" s="146"/>
      <c r="T516" s="284" t="s">
        <v>4836</v>
      </c>
      <c r="U516" s="284" t="s">
        <v>4347</v>
      </c>
      <c r="AA516"/>
      <c r="AB516"/>
      <c r="AC516" s="274"/>
      <c r="AD516" s="40"/>
    </row>
    <row r="517" spans="16:30" ht="10.5" customHeight="1">
      <c r="P517" s="150" t="s">
        <v>4837</v>
      </c>
      <c r="Q517" s="150"/>
      <c r="R517" s="98"/>
      <c r="S517" s="146"/>
      <c r="T517" s="284" t="s">
        <v>4838</v>
      </c>
      <c r="U517" s="284" t="s">
        <v>4243</v>
      </c>
      <c r="AA517"/>
      <c r="AB517"/>
      <c r="AC517" s="274"/>
      <c r="AD517" s="40"/>
    </row>
    <row r="518" spans="16:30" ht="10.5" customHeight="1">
      <c r="P518" s="150" t="s">
        <v>4839</v>
      </c>
      <c r="Q518" s="150"/>
      <c r="R518" s="98"/>
      <c r="S518" s="146"/>
      <c r="T518" s="284" t="s">
        <v>4840</v>
      </c>
      <c r="U518" s="284" t="s">
        <v>4282</v>
      </c>
      <c r="AA518"/>
      <c r="AB518"/>
      <c r="AC518" s="274"/>
      <c r="AD518" s="40"/>
    </row>
    <row r="519" spans="16:30" ht="10.5" customHeight="1">
      <c r="P519" s="150" t="s">
        <v>4841</v>
      </c>
      <c r="Q519" s="150"/>
      <c r="R519" s="98"/>
      <c r="S519" s="146"/>
      <c r="T519" s="284" t="s">
        <v>4842</v>
      </c>
      <c r="U519" s="284" t="s">
        <v>121</v>
      </c>
      <c r="AA519"/>
      <c r="AB519"/>
      <c r="AC519" s="274"/>
      <c r="AD519" s="40"/>
    </row>
    <row r="520" spans="16:30" ht="10.5" customHeight="1">
      <c r="P520" s="150" t="s">
        <v>4843</v>
      </c>
      <c r="Q520" s="150"/>
      <c r="R520" s="98"/>
      <c r="S520" s="146"/>
      <c r="T520" s="318" t="s">
        <v>4844</v>
      </c>
      <c r="U520" s="284" t="s">
        <v>2736</v>
      </c>
      <c r="AA520"/>
      <c r="AB520"/>
      <c r="AC520" s="537"/>
      <c r="AD520" s="40"/>
    </row>
    <row r="521" spans="16:30" ht="10.5" customHeight="1">
      <c r="P521" s="150" t="s">
        <v>4845</v>
      </c>
      <c r="Q521" s="150"/>
      <c r="R521" s="98"/>
      <c r="S521" s="146"/>
      <c r="T521" s="318" t="s">
        <v>4846</v>
      </c>
      <c r="U521" s="284" t="s">
        <v>3910</v>
      </c>
      <c r="AA521"/>
      <c r="AB521"/>
      <c r="AC521" s="537"/>
      <c r="AD521" s="40"/>
    </row>
    <row r="522" spans="16:30" ht="10.5" customHeight="1">
      <c r="P522" s="150" t="s">
        <v>4847</v>
      </c>
      <c r="Q522" s="150"/>
      <c r="R522" s="98"/>
      <c r="S522" s="146"/>
      <c r="T522" s="284" t="s">
        <v>148</v>
      </c>
      <c r="U522" s="284" t="s">
        <v>118</v>
      </c>
      <c r="AA522"/>
      <c r="AB522"/>
      <c r="AC522" s="274"/>
      <c r="AD522" s="40"/>
    </row>
    <row r="523" spans="16:30" ht="10.5" customHeight="1">
      <c r="P523" s="150" t="s">
        <v>4848</v>
      </c>
      <c r="Q523" s="150"/>
      <c r="R523" s="98"/>
      <c r="S523" s="146"/>
      <c r="T523" s="284" t="s">
        <v>4849</v>
      </c>
      <c r="U523" s="284" t="s">
        <v>3915</v>
      </c>
      <c r="AA523"/>
      <c r="AB523"/>
      <c r="AC523" s="274"/>
      <c r="AD523" s="40"/>
    </row>
    <row r="524" spans="16:30" ht="10.5" customHeight="1">
      <c r="P524" s="150" t="s">
        <v>4850</v>
      </c>
      <c r="Q524" s="150"/>
      <c r="R524" s="98"/>
      <c r="S524" s="146"/>
      <c r="T524" s="284" t="s">
        <v>4851</v>
      </c>
      <c r="U524" s="284" t="s">
        <v>3869</v>
      </c>
      <c r="AA524"/>
      <c r="AB524"/>
      <c r="AC524" s="274"/>
      <c r="AD524" s="40"/>
    </row>
    <row r="525" spans="16:30" ht="10.5" customHeight="1">
      <c r="P525" s="150" t="s">
        <v>4852</v>
      </c>
      <c r="Q525" s="150"/>
      <c r="R525" s="98"/>
      <c r="S525" s="146"/>
      <c r="T525" s="284" t="s">
        <v>4853</v>
      </c>
      <c r="U525" s="284" t="s">
        <v>3742</v>
      </c>
      <c r="AA525"/>
      <c r="AB525"/>
      <c r="AC525" s="274"/>
      <c r="AD525" s="40"/>
    </row>
    <row r="526" spans="16:30" ht="10.5" customHeight="1">
      <c r="P526" s="150" t="s">
        <v>4854</v>
      </c>
      <c r="Q526" s="150"/>
      <c r="R526" s="98"/>
      <c r="S526" s="146"/>
      <c r="T526" s="146" t="s">
        <v>4855</v>
      </c>
      <c r="U526" s="146" t="s">
        <v>4014</v>
      </c>
      <c r="AA526"/>
      <c r="AB526"/>
      <c r="AC526" s="40"/>
      <c r="AD526" s="40"/>
    </row>
    <row r="527" spans="16:30" ht="10.5" customHeight="1">
      <c r="P527" s="150" t="s">
        <v>4856</v>
      </c>
      <c r="Q527" s="150"/>
      <c r="R527" s="98"/>
      <c r="S527" s="146"/>
      <c r="T527" s="284" t="s">
        <v>4857</v>
      </c>
      <c r="U527" s="284" t="s">
        <v>99</v>
      </c>
      <c r="AA527"/>
      <c r="AB527"/>
      <c r="AC527" s="274"/>
      <c r="AD527" s="40"/>
    </row>
    <row r="528" spans="16:30" ht="10.5" customHeight="1">
      <c r="P528" s="150" t="s">
        <v>4858</v>
      </c>
      <c r="Q528" s="150"/>
      <c r="R528" s="98"/>
      <c r="S528" s="146"/>
      <c r="T528" s="284" t="s">
        <v>4859</v>
      </c>
      <c r="U528" s="284" t="s">
        <v>3788</v>
      </c>
      <c r="AA528"/>
      <c r="AB528"/>
      <c r="AC528" s="274"/>
      <c r="AD528" s="40"/>
    </row>
    <row r="529" spans="16:30" ht="10.5" customHeight="1">
      <c r="P529" s="150" t="s">
        <v>4860</v>
      </c>
      <c r="Q529" s="150"/>
      <c r="R529" s="98"/>
      <c r="S529" s="146"/>
      <c r="T529" s="146" t="s">
        <v>2188</v>
      </c>
      <c r="U529" s="146" t="s">
        <v>4396</v>
      </c>
      <c r="AA529"/>
      <c r="AB529"/>
      <c r="AC529" s="40"/>
      <c r="AD529" s="40"/>
    </row>
    <row r="530" spans="16:30" ht="10.5" customHeight="1">
      <c r="P530" s="150" t="s">
        <v>4861</v>
      </c>
      <c r="Q530" s="150"/>
      <c r="R530" s="98"/>
      <c r="S530" s="146"/>
      <c r="T530" s="284" t="s">
        <v>4862</v>
      </c>
      <c r="U530" s="284" t="s">
        <v>133</v>
      </c>
      <c r="AA530"/>
      <c r="AB530"/>
      <c r="AC530" s="274"/>
      <c r="AD530" s="40"/>
    </row>
    <row r="531" spans="16:30" ht="10.5" customHeight="1">
      <c r="P531" s="150" t="s">
        <v>4863</v>
      </c>
      <c r="Q531" s="150"/>
      <c r="R531" s="98"/>
      <c r="S531" s="146"/>
      <c r="T531" s="284" t="s">
        <v>4864</v>
      </c>
      <c r="U531" s="284" t="s">
        <v>3954</v>
      </c>
      <c r="AA531"/>
      <c r="AB531"/>
      <c r="AC531" s="274"/>
      <c r="AD531" s="40"/>
    </row>
    <row r="532" spans="16:30" ht="10.5" customHeight="1">
      <c r="P532" s="150" t="s">
        <v>4865</v>
      </c>
      <c r="Q532" s="150"/>
      <c r="R532" s="98"/>
      <c r="S532" s="146"/>
      <c r="T532" s="284" t="s">
        <v>4866</v>
      </c>
      <c r="U532" s="284" t="s">
        <v>4347</v>
      </c>
      <c r="AA532"/>
      <c r="AB532"/>
      <c r="AC532" s="274"/>
      <c r="AD532" s="40"/>
    </row>
    <row r="533" spans="16:30" ht="10.5" customHeight="1">
      <c r="P533" s="150" t="s">
        <v>4867</v>
      </c>
      <c r="Q533" s="150"/>
      <c r="R533" s="98"/>
      <c r="S533" s="146"/>
      <c r="T533" s="284" t="s">
        <v>4868</v>
      </c>
      <c r="U533" s="284" t="s">
        <v>3864</v>
      </c>
      <c r="AA533"/>
      <c r="AB533"/>
      <c r="AC533" s="274"/>
      <c r="AD533" s="40"/>
    </row>
    <row r="534" spans="16:30" ht="10.5" customHeight="1">
      <c r="P534" s="150" t="s">
        <v>4869</v>
      </c>
      <c r="Q534" s="150"/>
      <c r="R534" s="98"/>
      <c r="S534" s="146"/>
      <c r="T534" s="284" t="s">
        <v>4870</v>
      </c>
      <c r="U534" s="284" t="s">
        <v>3831</v>
      </c>
      <c r="AA534"/>
      <c r="AB534"/>
      <c r="AC534" s="274"/>
      <c r="AD534" s="40"/>
    </row>
    <row r="535" spans="16:30" ht="10.5" customHeight="1">
      <c r="P535" s="150" t="s">
        <v>4871</v>
      </c>
      <c r="Q535" s="150"/>
      <c r="R535" s="98"/>
      <c r="S535" s="146"/>
      <c r="T535" s="284" t="s">
        <v>4872</v>
      </c>
      <c r="U535" s="284" t="s">
        <v>3807</v>
      </c>
      <c r="AA535"/>
      <c r="AB535"/>
      <c r="AC535" s="274"/>
      <c r="AD535" s="40"/>
    </row>
    <row r="536" spans="16:30" ht="10.5" customHeight="1">
      <c r="P536" s="150" t="s">
        <v>4873</v>
      </c>
      <c r="Q536" s="150"/>
      <c r="R536" s="98"/>
      <c r="S536" s="146"/>
      <c r="T536" s="284" t="s">
        <v>4874</v>
      </c>
      <c r="U536" s="284" t="s">
        <v>124</v>
      </c>
      <c r="AA536"/>
      <c r="AB536"/>
      <c r="AC536" s="274"/>
      <c r="AD536" s="40"/>
    </row>
    <row r="537" spans="16:30" ht="10.5" customHeight="1">
      <c r="P537" s="150" t="s">
        <v>4875</v>
      </c>
      <c r="Q537" s="150"/>
      <c r="R537" s="98"/>
      <c r="S537" s="146"/>
      <c r="T537" s="284" t="s">
        <v>4876</v>
      </c>
      <c r="U537" s="284" t="s">
        <v>4396</v>
      </c>
      <c r="AA537"/>
      <c r="AB537"/>
      <c r="AC537" s="274"/>
      <c r="AD537" s="40"/>
    </row>
    <row r="538" spans="16:30" ht="10.5" customHeight="1">
      <c r="P538" s="150" t="s">
        <v>4877</v>
      </c>
      <c r="Q538" s="150"/>
      <c r="R538" s="98"/>
      <c r="S538" s="146"/>
      <c r="T538" s="284" t="s">
        <v>4878</v>
      </c>
      <c r="U538" s="284" t="s">
        <v>3735</v>
      </c>
      <c r="AA538"/>
      <c r="AB538"/>
      <c r="AC538" s="274"/>
      <c r="AD538" s="40"/>
    </row>
    <row r="539" spans="16:30" ht="10.5" customHeight="1">
      <c r="P539" s="150" t="s">
        <v>4879</v>
      </c>
      <c r="Q539" s="150"/>
      <c r="R539" s="98"/>
      <c r="S539" s="146"/>
      <c r="T539" s="284" t="s">
        <v>2190</v>
      </c>
      <c r="U539" s="284" t="s">
        <v>4155</v>
      </c>
      <c r="AA539"/>
      <c r="AB539"/>
      <c r="AC539" s="274"/>
      <c r="AD539" s="40"/>
    </row>
    <row r="540" spans="16:30" ht="10.5" customHeight="1">
      <c r="P540" s="150" t="s">
        <v>4880</v>
      </c>
      <c r="Q540" s="150"/>
      <c r="R540" s="98"/>
      <c r="S540" s="146"/>
      <c r="T540" s="284" t="s">
        <v>4881</v>
      </c>
      <c r="U540" s="284" t="s">
        <v>3775</v>
      </c>
      <c r="AA540"/>
      <c r="AB540"/>
      <c r="AC540" s="274"/>
      <c r="AD540" s="40"/>
    </row>
    <row r="541" spans="16:30" ht="10.5" customHeight="1">
      <c r="P541" s="150" t="s">
        <v>4882</v>
      </c>
      <c r="Q541" s="150"/>
      <c r="R541" s="98"/>
      <c r="S541" s="146"/>
      <c r="T541" s="146" t="s">
        <v>4883</v>
      </c>
      <c r="U541" s="146" t="s">
        <v>154</v>
      </c>
      <c r="AA541"/>
      <c r="AB541"/>
      <c r="AC541" s="40"/>
      <c r="AD541" s="40"/>
    </row>
    <row r="542" spans="16:30" ht="10.5" customHeight="1">
      <c r="P542" s="150" t="s">
        <v>4884</v>
      </c>
      <c r="Q542" s="150"/>
      <c r="R542" s="98"/>
      <c r="S542" s="146"/>
      <c r="T542" s="284" t="s">
        <v>4885</v>
      </c>
      <c r="U542" s="284" t="s">
        <v>4014</v>
      </c>
      <c r="AA542"/>
      <c r="AB542"/>
      <c r="AC542" s="274"/>
      <c r="AD542" s="40"/>
    </row>
    <row r="543" spans="16:30" ht="10.5" customHeight="1">
      <c r="P543" s="150" t="s">
        <v>4886</v>
      </c>
      <c r="Q543" s="150"/>
      <c r="R543" s="98"/>
      <c r="S543" s="146"/>
      <c r="T543" s="284" t="s">
        <v>3925</v>
      </c>
      <c r="U543" s="284" t="s">
        <v>4050</v>
      </c>
      <c r="AA543"/>
      <c r="AB543"/>
      <c r="AC543" s="274"/>
      <c r="AD543" s="40"/>
    </row>
    <row r="544" spans="16:30" ht="10.5" customHeight="1">
      <c r="P544" s="150" t="s">
        <v>4887</v>
      </c>
      <c r="Q544" s="150"/>
      <c r="R544" s="98"/>
      <c r="S544" s="146"/>
      <c r="T544" s="284" t="s">
        <v>4888</v>
      </c>
      <c r="U544" s="284" t="s">
        <v>133</v>
      </c>
      <c r="AA544"/>
      <c r="AB544"/>
      <c r="AC544" s="274"/>
      <c r="AD544" s="40"/>
    </row>
    <row r="545" spans="16:30" ht="10.5" customHeight="1">
      <c r="P545" s="150" t="s">
        <v>4889</v>
      </c>
      <c r="Q545" s="150"/>
      <c r="R545" s="98"/>
      <c r="S545" s="146"/>
      <c r="T545" s="284" t="s">
        <v>4258</v>
      </c>
      <c r="U545" s="284" t="s">
        <v>3992</v>
      </c>
      <c r="AA545"/>
      <c r="AB545"/>
      <c r="AC545" s="274"/>
      <c r="AD545" s="40"/>
    </row>
    <row r="546" spans="16:30" ht="10.5" customHeight="1">
      <c r="P546" s="150" t="s">
        <v>4890</v>
      </c>
      <c r="Q546" s="150"/>
      <c r="R546" s="98"/>
      <c r="S546" s="146"/>
      <c r="T546" s="284" t="s">
        <v>4891</v>
      </c>
      <c r="U546" s="284" t="s">
        <v>2736</v>
      </c>
      <c r="AA546"/>
      <c r="AB546"/>
      <c r="AC546" s="274"/>
      <c r="AD546" s="40"/>
    </row>
    <row r="547" spans="16:30" ht="10.5" customHeight="1">
      <c r="P547" s="150" t="s">
        <v>4892</v>
      </c>
      <c r="Q547" s="150"/>
      <c r="R547" s="98"/>
      <c r="S547" s="146"/>
      <c r="T547" s="284" t="s">
        <v>150</v>
      </c>
      <c r="U547" s="284" t="s">
        <v>138</v>
      </c>
      <c r="AA547"/>
      <c r="AB547"/>
      <c r="AC547" s="274"/>
      <c r="AD547" s="40"/>
    </row>
    <row r="548" spans="16:30" ht="10.5" customHeight="1">
      <c r="P548" s="150" t="s">
        <v>4893</v>
      </c>
      <c r="Q548" s="150"/>
      <c r="R548" s="98"/>
      <c r="S548" s="146"/>
      <c r="T548" s="284" t="s">
        <v>4894</v>
      </c>
      <c r="U548" s="284" t="s">
        <v>4138</v>
      </c>
      <c r="AA548"/>
      <c r="AB548"/>
      <c r="AC548" s="274"/>
      <c r="AD548" s="40"/>
    </row>
    <row r="549" spans="16:30" ht="10.5" customHeight="1">
      <c r="P549" s="150" t="s">
        <v>4895</v>
      </c>
      <c r="Q549" s="150"/>
      <c r="R549" s="98"/>
      <c r="S549" s="146"/>
      <c r="T549" s="284" t="s">
        <v>4896</v>
      </c>
      <c r="U549" s="284" t="s">
        <v>4181</v>
      </c>
      <c r="AA549"/>
      <c r="AB549"/>
      <c r="AC549" s="274"/>
      <c r="AD549" s="40"/>
    </row>
    <row r="550" spans="16:30" ht="10.5" customHeight="1">
      <c r="P550" s="150" t="s">
        <v>4897</v>
      </c>
      <c r="Q550" s="150"/>
      <c r="R550" s="98"/>
      <c r="S550" s="146"/>
      <c r="T550" s="284" t="s">
        <v>151</v>
      </c>
      <c r="U550" s="284" t="s">
        <v>152</v>
      </c>
      <c r="AA550"/>
      <c r="AB550"/>
      <c r="AC550" s="274"/>
      <c r="AD550" s="40"/>
    </row>
    <row r="551" spans="16:30" ht="10.5" customHeight="1">
      <c r="P551" s="150" t="s">
        <v>4898</v>
      </c>
      <c r="Q551" s="150"/>
      <c r="R551" s="98"/>
      <c r="S551" s="146"/>
      <c r="T551" s="284" t="s">
        <v>4899</v>
      </c>
      <c r="U551" s="284" t="s">
        <v>116</v>
      </c>
      <c r="AA551"/>
      <c r="AB551"/>
      <c r="AC551" s="274"/>
      <c r="AD551" s="40"/>
    </row>
    <row r="552" spans="16:30" ht="10.5" customHeight="1">
      <c r="P552" s="150" t="s">
        <v>4900</v>
      </c>
      <c r="Q552" s="150"/>
      <c r="R552" s="98"/>
      <c r="S552" s="146"/>
      <c r="T552" s="284" t="s">
        <v>4070</v>
      </c>
      <c r="U552" s="284" t="s">
        <v>3820</v>
      </c>
      <c r="AA552"/>
      <c r="AB552"/>
      <c r="AC552" s="274"/>
      <c r="AD552" s="40"/>
    </row>
    <row r="553" spans="16:30" ht="10.5" customHeight="1">
      <c r="P553" s="150" t="s">
        <v>4901</v>
      </c>
      <c r="Q553" s="150"/>
      <c r="R553" s="98"/>
      <c r="S553" s="146"/>
      <c r="T553" s="284" t="s">
        <v>4902</v>
      </c>
      <c r="U553" s="284" t="s">
        <v>4014</v>
      </c>
      <c r="AA553"/>
      <c r="AB553"/>
      <c r="AC553" s="274"/>
      <c r="AD553" s="40"/>
    </row>
    <row r="554" spans="16:30" ht="10.5" customHeight="1">
      <c r="P554" s="150" t="s">
        <v>4903</v>
      </c>
      <c r="Q554" s="150"/>
      <c r="R554" s="98"/>
      <c r="S554" s="146"/>
      <c r="T554" s="146" t="s">
        <v>4904</v>
      </c>
      <c r="U554" s="146" t="s">
        <v>101</v>
      </c>
      <c r="AA554"/>
      <c r="AB554"/>
      <c r="AC554" s="40"/>
      <c r="AD554" s="40"/>
    </row>
    <row r="555" spans="16:30" ht="10.5" customHeight="1">
      <c r="P555" s="150" t="s">
        <v>4905</v>
      </c>
      <c r="Q555" s="150"/>
      <c r="R555" s="98"/>
      <c r="S555" s="146"/>
      <c r="T555" s="146" t="s">
        <v>4906</v>
      </c>
      <c r="U555" s="146" t="s">
        <v>3790</v>
      </c>
      <c r="AA555"/>
      <c r="AB555"/>
      <c r="AC555" s="40"/>
      <c r="AD555" s="40"/>
    </row>
    <row r="556" spans="16:30" ht="10.5" customHeight="1">
      <c r="P556" s="150" t="s">
        <v>4907</v>
      </c>
      <c r="Q556" s="150"/>
      <c r="R556" s="98"/>
      <c r="S556" s="146"/>
      <c r="T556" s="146" t="s">
        <v>4908</v>
      </c>
      <c r="U556" s="146" t="s">
        <v>3905</v>
      </c>
      <c r="AA556"/>
      <c r="AB556"/>
      <c r="AC556" s="40"/>
      <c r="AD556" s="40"/>
    </row>
    <row r="557" spans="16:30" ht="10.5" customHeight="1">
      <c r="P557" s="150" t="s">
        <v>4909</v>
      </c>
      <c r="Q557" s="150"/>
      <c r="R557" s="98"/>
      <c r="S557" s="146"/>
      <c r="T557" s="284" t="s">
        <v>4910</v>
      </c>
      <c r="U557" s="284" t="s">
        <v>164</v>
      </c>
      <c r="AA557"/>
      <c r="AB557"/>
      <c r="AC557" s="274"/>
      <c r="AD557" s="40"/>
    </row>
    <row r="558" spans="16:30" ht="10.5" customHeight="1">
      <c r="P558" s="150" t="s">
        <v>4911</v>
      </c>
      <c r="Q558" s="150"/>
      <c r="R558" s="98"/>
      <c r="S558" s="146"/>
      <c r="T558" s="284" t="s">
        <v>4912</v>
      </c>
      <c r="U558" s="284" t="s">
        <v>150</v>
      </c>
      <c r="AA558"/>
      <c r="AB558"/>
      <c r="AC558" s="274"/>
      <c r="AD558" s="40"/>
    </row>
    <row r="559" spans="16:30" ht="10.5" customHeight="1">
      <c r="P559" s="150" t="s">
        <v>4913</v>
      </c>
      <c r="Q559" s="150"/>
      <c r="R559" s="98"/>
      <c r="S559" s="146"/>
      <c r="T559" s="284" t="s">
        <v>4914</v>
      </c>
      <c r="U559" s="284" t="s">
        <v>3836</v>
      </c>
      <c r="AA559"/>
      <c r="AB559"/>
      <c r="AC559" s="274"/>
      <c r="AD559" s="40"/>
    </row>
    <row r="560" spans="16:30" ht="10.5" customHeight="1">
      <c r="P560" s="150" t="s">
        <v>4915</v>
      </c>
      <c r="Q560" s="150"/>
      <c r="R560" s="98"/>
      <c r="S560" s="146"/>
      <c r="T560" s="284" t="s">
        <v>4916</v>
      </c>
      <c r="U560" s="284" t="s">
        <v>4330</v>
      </c>
      <c r="AA560"/>
      <c r="AB560"/>
      <c r="AC560" s="274"/>
      <c r="AD560" s="40"/>
    </row>
    <row r="561" spans="16:30" ht="10.5" customHeight="1">
      <c r="P561" s="150" t="s">
        <v>4917</v>
      </c>
      <c r="Q561" s="150"/>
      <c r="R561" s="98"/>
      <c r="S561" s="146"/>
      <c r="T561" s="284" t="s">
        <v>153</v>
      </c>
      <c r="U561" s="284" t="s">
        <v>154</v>
      </c>
      <c r="AA561"/>
      <c r="AB561"/>
      <c r="AC561" s="274"/>
      <c r="AD561" s="40"/>
    </row>
    <row r="562" spans="16:30" ht="10.5" customHeight="1">
      <c r="P562" s="150" t="s">
        <v>4918</v>
      </c>
      <c r="Q562" s="150"/>
      <c r="R562" s="98"/>
      <c r="S562" s="146"/>
      <c r="T562" s="284" t="s">
        <v>4919</v>
      </c>
      <c r="U562" s="284" t="s">
        <v>3783</v>
      </c>
      <c r="AA562"/>
      <c r="AB562"/>
      <c r="AC562" s="274"/>
      <c r="AD562" s="40"/>
    </row>
    <row r="563" spans="16:30" ht="10.5" customHeight="1">
      <c r="P563" s="150" t="s">
        <v>4920</v>
      </c>
      <c r="Q563" s="150"/>
      <c r="R563" s="98"/>
      <c r="S563" s="146"/>
      <c r="T563" s="284" t="s">
        <v>4921</v>
      </c>
      <c r="U563" s="284" t="s">
        <v>3764</v>
      </c>
      <c r="AA563"/>
      <c r="AB563"/>
      <c r="AC563" s="274"/>
      <c r="AD563" s="40"/>
    </row>
    <row r="564" spans="16:30" ht="10.5" customHeight="1">
      <c r="P564" s="150" t="s">
        <v>4922</v>
      </c>
      <c r="Q564" s="150"/>
      <c r="R564" s="98"/>
      <c r="S564" s="146"/>
      <c r="T564" s="284" t="s">
        <v>4923</v>
      </c>
      <c r="U564" s="284" t="s">
        <v>152</v>
      </c>
      <c r="AA564"/>
      <c r="AB564"/>
      <c r="AC564" s="274"/>
      <c r="AD564" s="40"/>
    </row>
    <row r="565" spans="16:30" ht="10.5" customHeight="1">
      <c r="P565" s="150" t="s">
        <v>4924</v>
      </c>
      <c r="Q565" s="150"/>
      <c r="R565" s="98"/>
      <c r="S565" s="146"/>
      <c r="T565" s="284" t="s">
        <v>4925</v>
      </c>
      <c r="U565" s="284" t="s">
        <v>4302</v>
      </c>
      <c r="AA565"/>
      <c r="AB565"/>
      <c r="AC565" s="274"/>
      <c r="AD565" s="40"/>
    </row>
    <row r="566" spans="16:30" ht="10.5" customHeight="1">
      <c r="P566" s="150" t="s">
        <v>4926</v>
      </c>
      <c r="Q566" s="150"/>
      <c r="R566" s="98"/>
      <c r="S566" s="146"/>
      <c r="T566" s="284" t="s">
        <v>4927</v>
      </c>
      <c r="U566" s="284" t="s">
        <v>4282</v>
      </c>
      <c r="AA566"/>
      <c r="AB566"/>
      <c r="AC566" s="274"/>
      <c r="AD566" s="40"/>
    </row>
    <row r="567" spans="16:30" ht="10.5" customHeight="1">
      <c r="P567" s="150" t="s">
        <v>4928</v>
      </c>
      <c r="Q567" s="150"/>
      <c r="R567" s="98"/>
      <c r="S567" s="146"/>
      <c r="T567" s="284" t="s">
        <v>4929</v>
      </c>
      <c r="U567" s="284" t="s">
        <v>4352</v>
      </c>
      <c r="AA567"/>
      <c r="AB567"/>
      <c r="AC567" s="274"/>
      <c r="AD567" s="40"/>
    </row>
    <row r="568" spans="16:30" ht="10.5" customHeight="1">
      <c r="P568" s="150" t="s">
        <v>4930</v>
      </c>
      <c r="Q568" s="150"/>
      <c r="R568" s="98"/>
      <c r="S568" s="146"/>
      <c r="T568" s="284" t="s">
        <v>2191</v>
      </c>
      <c r="U568" s="284" t="s">
        <v>116</v>
      </c>
      <c r="AA568"/>
      <c r="AB568"/>
      <c r="AC568" s="274"/>
      <c r="AD568" s="40"/>
    </row>
    <row r="569" spans="16:30" ht="10.5" customHeight="1">
      <c r="P569" s="150" t="s">
        <v>4931</v>
      </c>
      <c r="Q569" s="150"/>
      <c r="R569" s="98"/>
      <c r="S569" s="146"/>
      <c r="T569" s="284" t="s">
        <v>4282</v>
      </c>
      <c r="U569" s="284" t="s">
        <v>3726</v>
      </c>
      <c r="AA569"/>
      <c r="AB569"/>
      <c r="AC569" s="274"/>
      <c r="AD569" s="40"/>
    </row>
    <row r="570" spans="16:30" ht="10.5" customHeight="1">
      <c r="P570" s="150" t="s">
        <v>4932</v>
      </c>
      <c r="Q570" s="150"/>
      <c r="R570" s="98"/>
      <c r="S570" s="146"/>
      <c r="T570" s="284" t="s">
        <v>4933</v>
      </c>
      <c r="U570" s="284" t="s">
        <v>3818</v>
      </c>
      <c r="AA570"/>
      <c r="AB570"/>
      <c r="AC570" s="274"/>
      <c r="AD570" s="40"/>
    </row>
    <row r="571" spans="16:30" ht="10.5" customHeight="1">
      <c r="P571" s="150" t="s">
        <v>4934</v>
      </c>
      <c r="Q571" s="150"/>
      <c r="R571" s="98"/>
      <c r="S571" s="146"/>
      <c r="T571" s="284" t="s">
        <v>4935</v>
      </c>
      <c r="U571" s="284" t="s">
        <v>3853</v>
      </c>
      <c r="AA571"/>
      <c r="AB571"/>
      <c r="AC571" s="274"/>
      <c r="AD571" s="40"/>
    </row>
    <row r="572" spans="16:30" ht="10.5" customHeight="1">
      <c r="P572" s="150" t="s">
        <v>4936</v>
      </c>
      <c r="Q572" s="150"/>
      <c r="R572" s="98"/>
      <c r="S572" s="146"/>
      <c r="T572" s="284" t="s">
        <v>2193</v>
      </c>
      <c r="U572" s="284" t="s">
        <v>3975</v>
      </c>
      <c r="AA572"/>
      <c r="AB572"/>
      <c r="AC572" s="274"/>
      <c r="AD572" s="40"/>
    </row>
    <row r="573" spans="16:30" ht="10.5" customHeight="1">
      <c r="P573" s="150" t="s">
        <v>4937</v>
      </c>
      <c r="Q573" s="150"/>
      <c r="R573" s="98"/>
      <c r="S573" s="146"/>
      <c r="T573" s="284" t="s">
        <v>4938</v>
      </c>
      <c r="U573" s="284" t="s">
        <v>3905</v>
      </c>
      <c r="AA573"/>
      <c r="AB573"/>
      <c r="AC573" s="274"/>
      <c r="AD573" s="40"/>
    </row>
    <row r="574" spans="16:30" ht="10.5" customHeight="1">
      <c r="P574" s="150" t="s">
        <v>4939</v>
      </c>
      <c r="Q574" s="150"/>
      <c r="R574" s="98"/>
      <c r="S574" s="146"/>
      <c r="T574" s="146" t="s">
        <v>4940</v>
      </c>
      <c r="U574" s="146" t="s">
        <v>4006</v>
      </c>
      <c r="AA574"/>
      <c r="AB574"/>
      <c r="AC574" s="40"/>
      <c r="AD574" s="40"/>
    </row>
    <row r="575" spans="16:30" ht="10.5" customHeight="1">
      <c r="P575" s="150" t="s">
        <v>4941</v>
      </c>
      <c r="Q575" s="150"/>
      <c r="R575" s="98"/>
      <c r="S575" s="146"/>
      <c r="T575" s="284" t="s">
        <v>4942</v>
      </c>
      <c r="U575" s="284" t="s">
        <v>4203</v>
      </c>
      <c r="AA575"/>
      <c r="AB575"/>
      <c r="AC575" s="274"/>
      <c r="AD575" s="40"/>
    </row>
    <row r="576" spans="16:30" ht="10.5" customHeight="1">
      <c r="P576" s="150" t="s">
        <v>4943</v>
      </c>
      <c r="Q576" s="150"/>
      <c r="R576" s="98"/>
      <c r="S576" s="146"/>
      <c r="T576" s="284" t="s">
        <v>4944</v>
      </c>
      <c r="U576" s="284" t="s">
        <v>4001</v>
      </c>
      <c r="AA576"/>
      <c r="AB576"/>
      <c r="AC576" s="274"/>
      <c r="AD576" s="40"/>
    </row>
    <row r="577" spans="16:30" ht="10.5" customHeight="1">
      <c r="P577" s="150" t="s">
        <v>4945</v>
      </c>
      <c r="Q577" s="150"/>
      <c r="R577" s="98"/>
      <c r="S577" s="146"/>
      <c r="T577" s="284" t="s">
        <v>4946</v>
      </c>
      <c r="U577" s="284" t="s">
        <v>4001</v>
      </c>
      <c r="AA577"/>
      <c r="AB577"/>
      <c r="AC577" s="274"/>
      <c r="AD577" s="40"/>
    </row>
    <row r="578" spans="16:30" ht="10.5" customHeight="1">
      <c r="P578" s="150" t="s">
        <v>4947</v>
      </c>
      <c r="Q578" s="150"/>
      <c r="R578" s="98"/>
      <c r="S578" s="146"/>
      <c r="T578" s="284" t="s">
        <v>4948</v>
      </c>
      <c r="U578" s="284" t="s">
        <v>4087</v>
      </c>
      <c r="AA578"/>
      <c r="AB578"/>
      <c r="AC578" s="274"/>
      <c r="AD578" s="40"/>
    </row>
    <row r="579" spans="16:30" ht="10.5" customHeight="1">
      <c r="P579" s="150" t="s">
        <v>4949</v>
      </c>
      <c r="Q579" s="150"/>
      <c r="R579" s="98"/>
      <c r="S579" s="146"/>
      <c r="T579" s="284" t="s">
        <v>4950</v>
      </c>
      <c r="U579" s="284" t="s">
        <v>3954</v>
      </c>
      <c r="AA579"/>
      <c r="AB579"/>
      <c r="AC579" s="274"/>
      <c r="AD579" s="40"/>
    </row>
    <row r="580" spans="16:30" ht="10.5" customHeight="1">
      <c r="P580" s="150" t="s">
        <v>4951</v>
      </c>
      <c r="Q580" s="150"/>
      <c r="R580" s="98"/>
      <c r="S580" s="146"/>
      <c r="T580" s="284" t="s">
        <v>2195</v>
      </c>
      <c r="U580" s="284" t="s">
        <v>4130</v>
      </c>
      <c r="AA580"/>
      <c r="AB580"/>
      <c r="AC580" s="274"/>
      <c r="AD580" s="40"/>
    </row>
    <row r="581" spans="16:30" ht="10.5" customHeight="1">
      <c r="P581" s="150" t="s">
        <v>4952</v>
      </c>
      <c r="Q581" s="150"/>
      <c r="R581" s="98"/>
      <c r="S581" s="146"/>
      <c r="T581" s="284" t="s">
        <v>4006</v>
      </c>
      <c r="U581" s="284" t="s">
        <v>2220</v>
      </c>
      <c r="AA581"/>
      <c r="AB581"/>
      <c r="AC581" s="274"/>
      <c r="AD581" s="40"/>
    </row>
    <row r="582" spans="16:30" ht="10.5" customHeight="1">
      <c r="P582" s="150" t="s">
        <v>4953</v>
      </c>
      <c r="Q582" s="150"/>
      <c r="R582" s="98"/>
      <c r="S582" s="146"/>
      <c r="T582" s="284" t="s">
        <v>4954</v>
      </c>
      <c r="U582" s="284" t="s">
        <v>4461</v>
      </c>
      <c r="AA582"/>
      <c r="AB582"/>
      <c r="AC582" s="274"/>
      <c r="AD582" s="40"/>
    </row>
    <row r="583" spans="16:30" ht="10.5" customHeight="1">
      <c r="P583" s="150" t="s">
        <v>4955</v>
      </c>
      <c r="Q583" s="150"/>
      <c r="R583" s="98"/>
      <c r="S583" s="146"/>
      <c r="T583" s="284" t="s">
        <v>4956</v>
      </c>
      <c r="U583" s="284" t="s">
        <v>4012</v>
      </c>
      <c r="AA583"/>
      <c r="AB583"/>
      <c r="AC583" s="274"/>
      <c r="AD583" s="40"/>
    </row>
    <row r="584" spans="16:30" ht="10.5" customHeight="1">
      <c r="P584" s="150" t="s">
        <v>4957</v>
      </c>
      <c r="Q584" s="150"/>
      <c r="R584" s="98"/>
      <c r="S584" s="146"/>
      <c r="T584" s="284" t="s">
        <v>3869</v>
      </c>
      <c r="U584" s="284" t="s">
        <v>2736</v>
      </c>
      <c r="AA584"/>
      <c r="AB584"/>
      <c r="AC584" s="274"/>
      <c r="AD584" s="40"/>
    </row>
    <row r="585" spans="16:30" ht="10.5" customHeight="1">
      <c r="P585" s="150" t="s">
        <v>4958</v>
      </c>
      <c r="Q585" s="150"/>
      <c r="R585" s="98"/>
      <c r="S585" s="146"/>
      <c r="T585" s="146" t="s">
        <v>4959</v>
      </c>
      <c r="U585" s="146" t="s">
        <v>4352</v>
      </c>
      <c r="AA585"/>
      <c r="AB585"/>
      <c r="AC585" s="40"/>
      <c r="AD585" s="40"/>
    </row>
    <row r="586" spans="16:30" ht="10.5" customHeight="1">
      <c r="P586" s="150" t="s">
        <v>4960</v>
      </c>
      <c r="Q586" s="150"/>
      <c r="R586" s="98"/>
      <c r="S586" s="146"/>
      <c r="T586" s="284" t="s">
        <v>4961</v>
      </c>
      <c r="U586" s="284" t="s">
        <v>4373</v>
      </c>
      <c r="AA586"/>
      <c r="AB586"/>
      <c r="AC586" s="274"/>
      <c r="AD586" s="40"/>
    </row>
    <row r="587" spans="16:30" ht="10.5" customHeight="1">
      <c r="P587" s="150" t="s">
        <v>4962</v>
      </c>
      <c r="Q587" s="150"/>
      <c r="R587" s="98"/>
      <c r="S587" s="146"/>
      <c r="T587" s="284" t="s">
        <v>4963</v>
      </c>
      <c r="U587" s="284" t="s">
        <v>160</v>
      </c>
      <c r="AA587"/>
      <c r="AB587"/>
      <c r="AC587" s="274"/>
      <c r="AD587" s="40"/>
    </row>
    <row r="588" spans="16:30" ht="10.5" customHeight="1">
      <c r="P588" s="150" t="s">
        <v>4964</v>
      </c>
      <c r="Q588" s="150"/>
      <c r="R588" s="98"/>
      <c r="S588" s="146"/>
      <c r="T588" s="284" t="s">
        <v>4965</v>
      </c>
      <c r="U588" s="284" t="s">
        <v>114</v>
      </c>
      <c r="AA588"/>
      <c r="AB588"/>
      <c r="AC588" s="274"/>
      <c r="AD588" s="40"/>
    </row>
    <row r="589" spans="16:30" ht="10.5" customHeight="1">
      <c r="P589" s="150" t="s">
        <v>4966</v>
      </c>
      <c r="Q589" s="150"/>
      <c r="R589" s="98"/>
      <c r="S589" s="146"/>
      <c r="T589" s="284" t="s">
        <v>4967</v>
      </c>
      <c r="U589" s="284" t="s">
        <v>4282</v>
      </c>
      <c r="AA589"/>
      <c r="AB589"/>
      <c r="AC589" s="274"/>
      <c r="AD589" s="40"/>
    </row>
    <row r="590" spans="16:30" ht="10.5" customHeight="1">
      <c r="P590" s="150" t="s">
        <v>4968</v>
      </c>
      <c r="Q590" s="150"/>
      <c r="R590" s="98"/>
      <c r="S590" s="146"/>
      <c r="T590" s="284" t="s">
        <v>4969</v>
      </c>
      <c r="U590" s="284" t="s">
        <v>154</v>
      </c>
      <c r="AA590"/>
      <c r="AB590"/>
      <c r="AC590" s="274"/>
      <c r="AD590" s="40"/>
    </row>
    <row r="591" spans="16:30" ht="10.5" customHeight="1">
      <c r="P591" s="150" t="s">
        <v>4970</v>
      </c>
      <c r="Q591" s="150"/>
      <c r="R591" s="98"/>
      <c r="S591" s="146"/>
      <c r="T591" s="284" t="s">
        <v>158</v>
      </c>
      <c r="U591" s="284" t="s">
        <v>96</v>
      </c>
      <c r="AA591"/>
      <c r="AB591"/>
      <c r="AC591" s="274"/>
      <c r="AD591" s="40"/>
    </row>
    <row r="592" spans="16:30" ht="10.5" customHeight="1">
      <c r="P592" s="150" t="s">
        <v>4971</v>
      </c>
      <c r="Q592" s="150"/>
      <c r="R592" s="98"/>
      <c r="S592" s="146"/>
      <c r="T592" s="284" t="s">
        <v>4972</v>
      </c>
      <c r="U592" s="284" t="s">
        <v>4115</v>
      </c>
      <c r="AA592"/>
      <c r="AB592"/>
      <c r="AC592" s="274"/>
      <c r="AD592" s="40"/>
    </row>
    <row r="593" spans="16:30" ht="10.5" customHeight="1">
      <c r="P593" s="150" t="s">
        <v>4973</v>
      </c>
      <c r="Q593" s="150"/>
      <c r="R593" s="98"/>
      <c r="S593" s="146"/>
      <c r="T593" s="284" t="s">
        <v>4974</v>
      </c>
      <c r="U593" s="284" t="s">
        <v>4012</v>
      </c>
      <c r="AA593"/>
      <c r="AB593"/>
      <c r="AC593" s="274"/>
      <c r="AD593" s="40"/>
    </row>
    <row r="594" spans="16:30" ht="10.5" customHeight="1">
      <c r="P594" s="150" t="s">
        <v>4975</v>
      </c>
      <c r="Q594" s="150"/>
      <c r="R594" s="98"/>
      <c r="S594" s="146"/>
      <c r="T594" s="284" t="s">
        <v>4976</v>
      </c>
      <c r="U594" s="284" t="s">
        <v>3954</v>
      </c>
      <c r="AA594"/>
      <c r="AB594"/>
      <c r="AC594" s="274"/>
      <c r="AD594" s="40"/>
    </row>
    <row r="595" spans="16:30" ht="10.5" customHeight="1">
      <c r="P595" s="150" t="s">
        <v>4977</v>
      </c>
      <c r="Q595" s="150"/>
      <c r="R595" s="98"/>
      <c r="S595" s="146"/>
      <c r="T595" s="284" t="s">
        <v>4978</v>
      </c>
      <c r="U595" s="284" t="s">
        <v>3770</v>
      </c>
      <c r="AA595"/>
      <c r="AB595"/>
      <c r="AC595" s="274"/>
      <c r="AD595" s="40"/>
    </row>
    <row r="596" spans="16:30" ht="10.5" customHeight="1">
      <c r="P596" s="150" t="s">
        <v>4979</v>
      </c>
      <c r="Q596" s="150"/>
      <c r="R596" s="98"/>
      <c r="S596" s="146"/>
      <c r="T596" s="284" t="s">
        <v>4980</v>
      </c>
      <c r="U596" s="284" t="s">
        <v>4019</v>
      </c>
      <c r="AA596"/>
      <c r="AB596"/>
      <c r="AC596" s="274"/>
      <c r="AD596" s="40"/>
    </row>
    <row r="597" spans="16:30" ht="10.5" customHeight="1">
      <c r="P597" s="150" t="s">
        <v>4981</v>
      </c>
      <c r="Q597" s="150"/>
      <c r="R597" s="98"/>
      <c r="S597" s="146"/>
      <c r="T597" s="284" t="s">
        <v>4982</v>
      </c>
      <c r="U597" s="284" t="s">
        <v>3975</v>
      </c>
      <c r="AA597"/>
      <c r="AB597"/>
      <c r="AC597" s="274"/>
      <c r="AD597" s="40"/>
    </row>
    <row r="598" spans="16:30" ht="10.5" customHeight="1">
      <c r="P598" s="150" t="s">
        <v>4983</v>
      </c>
      <c r="Q598" s="150"/>
      <c r="R598" s="98"/>
      <c r="S598" s="146"/>
      <c r="T598" s="284" t="s">
        <v>4984</v>
      </c>
      <c r="U598" s="284" t="s">
        <v>3713</v>
      </c>
      <c r="AA598"/>
      <c r="AB598"/>
      <c r="AC598" s="274"/>
      <c r="AD598" s="40"/>
    </row>
    <row r="599" spans="16:30" ht="10.5" customHeight="1">
      <c r="P599" s="150" t="s">
        <v>4985</v>
      </c>
      <c r="Q599" s="150"/>
      <c r="R599" s="98"/>
      <c r="S599" s="146"/>
      <c r="T599" s="284" t="s">
        <v>4986</v>
      </c>
      <c r="U599" s="284" t="s">
        <v>3925</v>
      </c>
      <c r="AA599"/>
      <c r="AB599"/>
      <c r="AC599" s="274"/>
      <c r="AD599" s="40"/>
    </row>
    <row r="600" spans="16:30" ht="10.5" customHeight="1">
      <c r="P600" s="150" t="s">
        <v>4987</v>
      </c>
      <c r="Q600" s="150"/>
      <c r="R600" s="98"/>
      <c r="S600" s="146"/>
      <c r="T600" s="284" t="s">
        <v>2197</v>
      </c>
      <c r="U600" s="284" t="s">
        <v>3796</v>
      </c>
      <c r="AA600"/>
      <c r="AB600"/>
      <c r="AC600" s="274"/>
      <c r="AD600" s="40"/>
    </row>
    <row r="601" spans="16:30" ht="10.5" customHeight="1">
      <c r="P601" s="150" t="s">
        <v>4988</v>
      </c>
      <c r="Q601" s="150"/>
      <c r="R601" s="98"/>
      <c r="S601" s="146"/>
      <c r="T601" s="146" t="s">
        <v>4989</v>
      </c>
      <c r="U601" s="146" t="s">
        <v>3853</v>
      </c>
      <c r="AA601"/>
      <c r="AB601"/>
      <c r="AC601" s="40"/>
      <c r="AD601" s="40"/>
    </row>
    <row r="602" spans="16:30" ht="10.5" customHeight="1">
      <c r="P602" s="150" t="s">
        <v>4990</v>
      </c>
      <c r="Q602" s="150"/>
      <c r="R602" s="98"/>
      <c r="S602" s="146"/>
      <c r="T602" s="284" t="s">
        <v>4991</v>
      </c>
      <c r="U602" s="284" t="s">
        <v>4155</v>
      </c>
      <c r="AA602"/>
      <c r="AB602"/>
      <c r="AC602" s="274"/>
      <c r="AD602" s="40"/>
    </row>
    <row r="603" spans="16:30" ht="10.5" customHeight="1">
      <c r="P603" s="150" t="s">
        <v>4992</v>
      </c>
      <c r="Q603" s="150"/>
      <c r="R603" s="98"/>
      <c r="S603" s="146"/>
      <c r="T603" s="284" t="s">
        <v>2199</v>
      </c>
      <c r="U603" s="284" t="s">
        <v>169</v>
      </c>
      <c r="AA603"/>
      <c r="AB603"/>
      <c r="AC603" s="274"/>
      <c r="AD603" s="40"/>
    </row>
    <row r="604" spans="16:30" ht="10.5" customHeight="1">
      <c r="P604" s="150" t="s">
        <v>4993</v>
      </c>
      <c r="Q604" s="150"/>
      <c r="R604" s="98"/>
      <c r="S604" s="146"/>
      <c r="T604" s="146" t="s">
        <v>159</v>
      </c>
      <c r="U604" s="146" t="s">
        <v>160</v>
      </c>
      <c r="AA604"/>
      <c r="AB604"/>
      <c r="AC604" s="40"/>
      <c r="AD604" s="40"/>
    </row>
    <row r="605" spans="16:30" ht="10.5" customHeight="1">
      <c r="P605" s="150" t="s">
        <v>4994</v>
      </c>
      <c r="Q605" s="150"/>
      <c r="R605" s="98"/>
      <c r="S605" s="146"/>
      <c r="T605" s="284" t="s">
        <v>4995</v>
      </c>
      <c r="U605" s="284" t="s">
        <v>96</v>
      </c>
      <c r="AA605"/>
      <c r="AB605"/>
      <c r="AC605" s="274"/>
      <c r="AD605" s="40"/>
    </row>
    <row r="606" spans="16:30" ht="10.5" customHeight="1">
      <c r="P606" s="150" t="s">
        <v>4996</v>
      </c>
      <c r="Q606" s="150"/>
      <c r="R606" s="98"/>
      <c r="S606" s="146"/>
      <c r="T606" s="284" t="s">
        <v>4997</v>
      </c>
      <c r="U606" s="284" t="s">
        <v>4106</v>
      </c>
      <c r="AA606"/>
      <c r="AB606"/>
      <c r="AC606" s="274"/>
      <c r="AD606" s="40"/>
    </row>
    <row r="607" spans="16:30" ht="10.5" customHeight="1">
      <c r="P607" s="150" t="s">
        <v>4998</v>
      </c>
      <c r="Q607" s="150"/>
      <c r="R607" s="98"/>
      <c r="S607" s="146"/>
      <c r="T607" s="284" t="s">
        <v>4999</v>
      </c>
      <c r="U607" s="284" t="s">
        <v>3962</v>
      </c>
      <c r="AA607"/>
      <c r="AB607"/>
      <c r="AC607" s="274"/>
      <c r="AD607" s="40"/>
    </row>
    <row r="608" spans="16:30" ht="10.5" customHeight="1">
      <c r="P608" s="150" t="s">
        <v>5000</v>
      </c>
      <c r="Q608" s="150"/>
      <c r="R608" s="98"/>
      <c r="S608" s="146"/>
      <c r="T608" s="146" t="s">
        <v>5001</v>
      </c>
      <c r="U608" s="146" t="s">
        <v>3719</v>
      </c>
      <c r="AA608"/>
      <c r="AB608"/>
      <c r="AC608" s="40"/>
      <c r="AD608" s="40"/>
    </row>
    <row r="609" spans="16:30" ht="10.5" customHeight="1">
      <c r="P609" s="150" t="s">
        <v>5002</v>
      </c>
      <c r="Q609" s="150"/>
      <c r="R609" s="98"/>
      <c r="S609" s="146"/>
      <c r="T609" s="146" t="s">
        <v>5003</v>
      </c>
      <c r="U609" s="146" t="s">
        <v>3719</v>
      </c>
      <c r="AA609"/>
      <c r="AB609"/>
      <c r="AC609" s="40"/>
      <c r="AD609" s="40"/>
    </row>
    <row r="610" spans="16:30" ht="10.5" customHeight="1">
      <c r="P610" s="150" t="s">
        <v>5004</v>
      </c>
      <c r="Q610" s="150"/>
      <c r="R610" s="98"/>
      <c r="S610" s="146"/>
      <c r="T610" s="284" t="s">
        <v>5005</v>
      </c>
      <c r="U610" s="284" t="s">
        <v>3825</v>
      </c>
      <c r="AA610"/>
      <c r="AB610"/>
      <c r="AC610" s="274"/>
      <c r="AD610" s="40"/>
    </row>
    <row r="611" spans="16:30" ht="10.5" customHeight="1">
      <c r="P611" s="150" t="s">
        <v>5006</v>
      </c>
      <c r="Q611" s="150"/>
      <c r="R611" s="98"/>
      <c r="S611" s="146"/>
      <c r="T611" s="284" t="s">
        <v>5007</v>
      </c>
      <c r="U611" s="284" t="s">
        <v>4059</v>
      </c>
      <c r="AA611"/>
      <c r="AB611"/>
      <c r="AC611" s="274"/>
      <c r="AD611" s="40"/>
    </row>
    <row r="612" spans="16:30" ht="10.5" customHeight="1">
      <c r="P612" s="150" t="s">
        <v>5008</v>
      </c>
      <c r="Q612" s="150"/>
      <c r="R612" s="98"/>
      <c r="S612" s="146"/>
      <c r="T612" s="284" t="s">
        <v>5009</v>
      </c>
      <c r="U612" s="284" t="s">
        <v>138</v>
      </c>
      <c r="AA612"/>
      <c r="AB612"/>
      <c r="AC612" s="274"/>
      <c r="AD612" s="40"/>
    </row>
    <row r="613" spans="16:30" ht="10.5" customHeight="1">
      <c r="P613" s="150" t="s">
        <v>5010</v>
      </c>
      <c r="Q613" s="150"/>
      <c r="R613" s="98"/>
      <c r="S613" s="146"/>
      <c r="T613" s="284" t="s">
        <v>5011</v>
      </c>
      <c r="U613" s="284" t="s">
        <v>138</v>
      </c>
      <c r="AA613"/>
      <c r="AB613"/>
      <c r="AC613" s="274"/>
      <c r="AD613" s="40"/>
    </row>
    <row r="614" spans="16:30" ht="10.5" customHeight="1">
      <c r="P614" s="150" t="s">
        <v>5012</v>
      </c>
      <c r="Q614" s="150"/>
      <c r="R614" s="98"/>
      <c r="S614" s="146"/>
      <c r="T614" s="284" t="s">
        <v>5013</v>
      </c>
      <c r="U614" s="284" t="s">
        <v>107</v>
      </c>
      <c r="AA614"/>
      <c r="AB614"/>
      <c r="AC614" s="274"/>
      <c r="AD614" s="40"/>
    </row>
    <row r="615" spans="16:30" ht="10.5" customHeight="1">
      <c r="P615" s="150" t="s">
        <v>5014</v>
      </c>
      <c r="Q615" s="150"/>
      <c r="R615" s="98"/>
      <c r="S615" s="146"/>
      <c r="T615" s="284" t="s">
        <v>2201</v>
      </c>
      <c r="U615" s="284" t="s">
        <v>4282</v>
      </c>
      <c r="AA615"/>
      <c r="AB615"/>
      <c r="AC615" s="274"/>
      <c r="AD615" s="40"/>
    </row>
    <row r="616" spans="16:30" ht="10.5" customHeight="1">
      <c r="P616" s="150" t="s">
        <v>5015</v>
      </c>
      <c r="Q616" s="150"/>
      <c r="R616" s="98"/>
      <c r="S616" s="146"/>
      <c r="T616" s="284" t="s">
        <v>5016</v>
      </c>
      <c r="U616" s="284" t="s">
        <v>4495</v>
      </c>
      <c r="AA616"/>
      <c r="AB616"/>
      <c r="AC616" s="274"/>
      <c r="AD616" s="40"/>
    </row>
    <row r="617" spans="16:30" ht="10.5" customHeight="1">
      <c r="P617" s="150" t="s">
        <v>5017</v>
      </c>
      <c r="Q617" s="150"/>
      <c r="R617" s="98"/>
      <c r="S617" s="146"/>
      <c r="T617" s="284" t="s">
        <v>5018</v>
      </c>
      <c r="U617" s="284" t="s">
        <v>121</v>
      </c>
      <c r="AA617"/>
      <c r="AB617"/>
      <c r="AC617" s="274"/>
      <c r="AD617" s="40"/>
    </row>
    <row r="618" spans="16:30" ht="10.5" customHeight="1">
      <c r="P618" s="150" t="s">
        <v>5019</v>
      </c>
      <c r="Q618" s="150"/>
      <c r="R618" s="98"/>
      <c r="S618" s="146"/>
      <c r="T618" s="284" t="s">
        <v>5020</v>
      </c>
      <c r="U618" s="284" t="s">
        <v>4466</v>
      </c>
      <c r="AA618"/>
      <c r="AB618"/>
      <c r="AC618" s="274"/>
      <c r="AD618" s="40"/>
    </row>
    <row r="619" spans="16:30" ht="10.5" customHeight="1">
      <c r="P619" s="150" t="s">
        <v>5021</v>
      </c>
      <c r="Q619" s="150"/>
      <c r="R619" s="98"/>
      <c r="S619" s="146"/>
      <c r="T619" s="284" t="s">
        <v>4317</v>
      </c>
      <c r="U619" s="284" t="s">
        <v>3831</v>
      </c>
      <c r="AA619"/>
      <c r="AB619"/>
      <c r="AC619" s="274"/>
      <c r="AD619" s="40"/>
    </row>
    <row r="620" spans="16:30" ht="10.5" customHeight="1">
      <c r="P620" s="150" t="s">
        <v>5022</v>
      </c>
      <c r="Q620" s="150"/>
      <c r="R620" s="98"/>
      <c r="S620" s="146"/>
      <c r="T620" s="284" t="s">
        <v>161</v>
      </c>
      <c r="U620" s="284" t="s">
        <v>162</v>
      </c>
      <c r="AA620"/>
      <c r="AB620"/>
      <c r="AC620" s="274"/>
      <c r="AD620" s="40"/>
    </row>
    <row r="621" spans="16:30" ht="10.5" customHeight="1">
      <c r="P621" s="150" t="s">
        <v>5023</v>
      </c>
      <c r="Q621" s="150"/>
      <c r="R621" s="98"/>
      <c r="S621" s="146"/>
      <c r="T621" s="284" t="s">
        <v>126</v>
      </c>
      <c r="U621" s="284" t="s">
        <v>3790</v>
      </c>
      <c r="AA621"/>
      <c r="AB621"/>
      <c r="AC621" s="274"/>
      <c r="AD621" s="40"/>
    </row>
    <row r="622" spans="16:30" ht="10.5" customHeight="1">
      <c r="P622" s="150" t="s">
        <v>5024</v>
      </c>
      <c r="Q622" s="150"/>
      <c r="R622" s="98"/>
      <c r="S622" s="146"/>
      <c r="T622" s="284" t="s">
        <v>5025</v>
      </c>
      <c r="U622" s="284" t="s">
        <v>4059</v>
      </c>
      <c r="AA622"/>
      <c r="AB622"/>
      <c r="AC622" s="274"/>
      <c r="AD622" s="40"/>
    </row>
    <row r="623" spans="16:30" ht="10.5" customHeight="1">
      <c r="P623" s="150" t="s">
        <v>5026</v>
      </c>
      <c r="Q623" s="150"/>
      <c r="R623" s="98"/>
      <c r="S623" s="146"/>
      <c r="T623" s="284" t="s">
        <v>163</v>
      </c>
      <c r="U623" s="284" t="s">
        <v>164</v>
      </c>
      <c r="AA623"/>
      <c r="AB623"/>
      <c r="AC623" s="274"/>
      <c r="AD623" s="40"/>
    </row>
    <row r="624" spans="16:30" ht="10.5" customHeight="1">
      <c r="P624" s="150" t="s">
        <v>5027</v>
      </c>
      <c r="Q624" s="150"/>
      <c r="R624" s="98"/>
      <c r="S624" s="146"/>
      <c r="T624" s="284" t="s">
        <v>5028</v>
      </c>
      <c r="U624" s="284" t="s">
        <v>3764</v>
      </c>
      <c r="AA624"/>
      <c r="AB624"/>
      <c r="AC624" s="274"/>
      <c r="AD624" s="40"/>
    </row>
    <row r="625" spans="16:30" ht="10.5" customHeight="1">
      <c r="P625" s="150" t="s">
        <v>5029</v>
      </c>
      <c r="Q625" s="150"/>
      <c r="R625" s="98"/>
      <c r="S625" s="146"/>
      <c r="T625" s="284" t="s">
        <v>5030</v>
      </c>
      <c r="U625" s="284" t="s">
        <v>4486</v>
      </c>
      <c r="AA625"/>
      <c r="AB625"/>
      <c r="AC625" s="274"/>
      <c r="AD625" s="40"/>
    </row>
    <row r="626" spans="16:30" ht="10.5" customHeight="1">
      <c r="P626" s="150" t="s">
        <v>5031</v>
      </c>
      <c r="Q626" s="150"/>
      <c r="R626" s="98"/>
      <c r="S626" s="146"/>
      <c r="T626" s="284" t="s">
        <v>5032</v>
      </c>
      <c r="U626" s="284" t="s">
        <v>3875</v>
      </c>
      <c r="AA626"/>
      <c r="AB626"/>
      <c r="AC626" s="274"/>
      <c r="AD626" s="40"/>
    </row>
    <row r="627" spans="16:30" ht="10.5" customHeight="1">
      <c r="P627" s="150" t="s">
        <v>5033</v>
      </c>
      <c r="Q627" s="150"/>
      <c r="R627" s="98"/>
      <c r="S627" s="146"/>
      <c r="T627" s="146" t="s">
        <v>165</v>
      </c>
      <c r="U627" s="146" t="s">
        <v>96</v>
      </c>
      <c r="AA627"/>
      <c r="AB627"/>
      <c r="AC627" s="40"/>
      <c r="AD627" s="40"/>
    </row>
    <row r="628" spans="16:30" ht="10.5" customHeight="1">
      <c r="P628" s="150" t="s">
        <v>5034</v>
      </c>
      <c r="Q628" s="150"/>
      <c r="R628" s="98"/>
      <c r="S628" s="146"/>
      <c r="T628" s="284" t="s">
        <v>166</v>
      </c>
      <c r="U628" s="284" t="s">
        <v>167</v>
      </c>
      <c r="AA628"/>
      <c r="AB628"/>
      <c r="AC628" s="274"/>
      <c r="AD628" s="40"/>
    </row>
    <row r="629" spans="16:30" ht="10.5" customHeight="1">
      <c r="P629" s="150" t="s">
        <v>5035</v>
      </c>
      <c r="Q629" s="150"/>
      <c r="R629" s="98"/>
      <c r="S629" s="146"/>
      <c r="T629" s="284" t="s">
        <v>5036</v>
      </c>
      <c r="U629" s="284" t="s">
        <v>107</v>
      </c>
      <c r="AA629"/>
      <c r="AB629"/>
      <c r="AC629" s="274"/>
      <c r="AD629" s="40"/>
    </row>
    <row r="630" spans="16:30" ht="10.5" customHeight="1">
      <c r="P630" s="150" t="s">
        <v>5037</v>
      </c>
      <c r="Q630" s="150"/>
      <c r="R630" s="98"/>
      <c r="S630" s="146"/>
      <c r="T630" s="284" t="s">
        <v>5038</v>
      </c>
      <c r="U630" s="284" t="s">
        <v>4347</v>
      </c>
      <c r="AA630"/>
      <c r="AB630"/>
      <c r="AC630" s="274"/>
      <c r="AD630" s="40"/>
    </row>
    <row r="631" spans="16:30" ht="10.5" customHeight="1">
      <c r="P631" s="150" t="s">
        <v>5039</v>
      </c>
      <c r="Q631" s="150"/>
      <c r="R631" s="98"/>
      <c r="S631" s="146"/>
      <c r="T631" s="284" t="s">
        <v>5040</v>
      </c>
      <c r="U631" s="284" t="s">
        <v>152</v>
      </c>
      <c r="AA631"/>
      <c r="AB631"/>
      <c r="AC631" s="274"/>
      <c r="AD631" s="40"/>
    </row>
    <row r="632" spans="16:30" ht="10.5" customHeight="1">
      <c r="P632" s="150" t="s">
        <v>5041</v>
      </c>
      <c r="Q632" s="150"/>
      <c r="R632" s="98"/>
      <c r="S632" s="146"/>
      <c r="T632" s="284" t="s">
        <v>5042</v>
      </c>
      <c r="U632" s="284" t="s">
        <v>4181</v>
      </c>
      <c r="AA632"/>
      <c r="AB632"/>
      <c r="AC632" s="274"/>
      <c r="AD632" s="40"/>
    </row>
    <row r="633" spans="16:30" ht="10.5" customHeight="1">
      <c r="P633" s="150" t="s">
        <v>5043</v>
      </c>
      <c r="Q633" s="150"/>
      <c r="R633" s="98"/>
      <c r="S633" s="146"/>
      <c r="T633" s="284" t="s">
        <v>5044</v>
      </c>
      <c r="U633" s="284" t="s">
        <v>4059</v>
      </c>
      <c r="AA633"/>
      <c r="AB633"/>
      <c r="AC633" s="274"/>
      <c r="AD633" s="40"/>
    </row>
    <row r="634" spans="16:30" ht="10.5" customHeight="1">
      <c r="P634" s="150" t="s">
        <v>5045</v>
      </c>
      <c r="Q634" s="150"/>
      <c r="R634" s="98"/>
      <c r="S634" s="146"/>
      <c r="T634" s="284" t="s">
        <v>5046</v>
      </c>
      <c r="U634" s="284" t="s">
        <v>3975</v>
      </c>
      <c r="AA634"/>
      <c r="AB634"/>
      <c r="AC634" s="274"/>
      <c r="AD634" s="40"/>
    </row>
    <row r="635" spans="16:30" ht="10.5" customHeight="1">
      <c r="P635" s="150" t="s">
        <v>5047</v>
      </c>
      <c r="Q635" s="150"/>
      <c r="R635" s="98"/>
      <c r="S635" s="146"/>
      <c r="T635" s="284" t="s">
        <v>5048</v>
      </c>
      <c r="U635" s="284" t="s">
        <v>4165</v>
      </c>
      <c r="AA635"/>
      <c r="AB635"/>
      <c r="AC635" s="274"/>
      <c r="AD635" s="40"/>
    </row>
    <row r="636" spans="16:30" ht="10.5" customHeight="1">
      <c r="P636" s="150" t="s">
        <v>5049</v>
      </c>
      <c r="Q636" s="150"/>
      <c r="R636" s="98"/>
      <c r="S636" s="146"/>
      <c r="T636" s="284" t="s">
        <v>5050</v>
      </c>
      <c r="U636" s="284" t="s">
        <v>3956</v>
      </c>
      <c r="AA636"/>
      <c r="AB636"/>
      <c r="AC636" s="274"/>
      <c r="AD636" s="40"/>
    </row>
    <row r="637" spans="16:30" ht="10.5" customHeight="1">
      <c r="P637" s="150" t="s">
        <v>5051</v>
      </c>
      <c r="Q637" s="150"/>
      <c r="R637" s="98"/>
      <c r="S637" s="146"/>
      <c r="T637" s="146" t="s">
        <v>5052</v>
      </c>
      <c r="U637" s="146" t="s">
        <v>124</v>
      </c>
      <c r="AA637"/>
      <c r="AB637"/>
      <c r="AC637" s="40"/>
      <c r="AD637" s="40"/>
    </row>
    <row r="638" spans="16:30" ht="10.5" customHeight="1">
      <c r="P638" s="150" t="s">
        <v>5053</v>
      </c>
      <c r="Q638" s="150"/>
      <c r="R638" s="98"/>
      <c r="S638" s="146"/>
      <c r="T638" s="284" t="s">
        <v>5054</v>
      </c>
      <c r="U638" s="284" t="s">
        <v>4373</v>
      </c>
      <c r="AA638"/>
      <c r="AB638"/>
      <c r="AC638" s="274"/>
      <c r="AD638" s="40"/>
    </row>
    <row r="639" spans="16:30" ht="10.5" customHeight="1">
      <c r="P639" s="150" t="s">
        <v>5055</v>
      </c>
      <c r="Q639" s="150"/>
      <c r="R639" s="98"/>
      <c r="S639" s="146"/>
      <c r="T639" s="284" t="s">
        <v>5056</v>
      </c>
      <c r="U639" s="284" t="s">
        <v>3796</v>
      </c>
      <c r="AA639"/>
      <c r="AB639"/>
      <c r="AC639" s="274"/>
      <c r="AD639" s="40"/>
    </row>
    <row r="640" spans="16:30" ht="10.5" customHeight="1">
      <c r="P640" s="150" t="s">
        <v>5057</v>
      </c>
      <c r="Q640" s="150"/>
      <c r="R640" s="98"/>
      <c r="S640" s="146"/>
      <c r="T640" s="146" t="s">
        <v>5058</v>
      </c>
      <c r="U640" s="146" t="s">
        <v>2220</v>
      </c>
      <c r="AA640"/>
      <c r="AB640"/>
      <c r="AC640" s="40"/>
      <c r="AD640" s="40"/>
    </row>
    <row r="641" spans="16:30" ht="10.5" customHeight="1">
      <c r="P641" s="150" t="s">
        <v>5059</v>
      </c>
      <c r="Q641" s="150"/>
      <c r="R641" s="98"/>
      <c r="S641" s="146"/>
      <c r="T641" s="284" t="s">
        <v>5060</v>
      </c>
      <c r="U641" s="284" t="s">
        <v>3988</v>
      </c>
      <c r="AA641"/>
      <c r="AB641"/>
      <c r="AC641" s="274"/>
      <c r="AD641" s="40"/>
    </row>
    <row r="642" spans="16:30" ht="10.5" customHeight="1">
      <c r="P642" s="150" t="s">
        <v>5061</v>
      </c>
      <c r="Q642" s="150"/>
      <c r="R642" s="98"/>
      <c r="S642" s="146"/>
      <c r="T642" s="284" t="s">
        <v>5062</v>
      </c>
      <c r="U642" s="284" t="s">
        <v>135</v>
      </c>
      <c r="AA642"/>
      <c r="AB642"/>
      <c r="AC642" s="274"/>
      <c r="AD642" s="40"/>
    </row>
    <row r="643" spans="16:30" ht="10.5" customHeight="1">
      <c r="P643" s="150" t="s">
        <v>5063</v>
      </c>
      <c r="Q643" s="150"/>
      <c r="R643" s="98"/>
      <c r="S643" s="146"/>
      <c r="T643" s="284" t="s">
        <v>5064</v>
      </c>
      <c r="U643" s="284" t="s">
        <v>101</v>
      </c>
      <c r="AA643"/>
      <c r="AB643"/>
      <c r="AC643" s="274"/>
      <c r="AD643" s="40"/>
    </row>
    <row r="644" spans="16:30" ht="10.5" customHeight="1">
      <c r="P644" s="150" t="s">
        <v>5065</v>
      </c>
      <c r="Q644" s="150"/>
      <c r="R644" s="98"/>
      <c r="S644" s="146"/>
      <c r="T644" s="284" t="s">
        <v>5066</v>
      </c>
      <c r="U644" s="284" t="s">
        <v>3905</v>
      </c>
      <c r="AA644"/>
      <c r="AB644"/>
      <c r="AC644" s="274"/>
      <c r="AD644" s="40"/>
    </row>
    <row r="645" spans="16:30" ht="10.5" customHeight="1">
      <c r="P645" s="150" t="s">
        <v>5067</v>
      </c>
      <c r="Q645" s="150"/>
      <c r="R645" s="98"/>
      <c r="S645" s="146"/>
      <c r="T645" s="284" t="s">
        <v>5068</v>
      </c>
      <c r="U645" s="284" t="s">
        <v>3927</v>
      </c>
      <c r="AA645"/>
      <c r="AB645"/>
      <c r="AC645" s="274"/>
      <c r="AD645" s="40"/>
    </row>
    <row r="646" spans="16:30" ht="10.5" customHeight="1">
      <c r="P646" s="150" t="s">
        <v>5069</v>
      </c>
      <c r="Q646" s="150"/>
      <c r="R646" s="98"/>
      <c r="S646" s="146"/>
      <c r="T646" s="284" t="s">
        <v>168</v>
      </c>
      <c r="U646" s="284" t="s">
        <v>169</v>
      </c>
      <c r="AA646"/>
      <c r="AB646"/>
      <c r="AC646" s="274"/>
      <c r="AD646" s="40"/>
    </row>
    <row r="647" spans="16:30" ht="10.5" customHeight="1">
      <c r="P647" s="150" t="s">
        <v>5070</v>
      </c>
      <c r="Q647" s="150"/>
      <c r="R647" s="98"/>
      <c r="S647" s="146"/>
      <c r="T647" s="284" t="s">
        <v>5071</v>
      </c>
      <c r="U647" s="284" t="s">
        <v>3719</v>
      </c>
      <c r="AA647"/>
      <c r="AB647"/>
      <c r="AC647" s="274"/>
      <c r="AD647" s="40"/>
    </row>
    <row r="648" spans="16:30" ht="10.5" customHeight="1">
      <c r="P648" s="150" t="s">
        <v>5072</v>
      </c>
      <c r="Q648" s="150"/>
      <c r="R648" s="98"/>
      <c r="S648" s="146"/>
      <c r="T648" s="146" t="s">
        <v>5073</v>
      </c>
      <c r="U648" s="146" t="s">
        <v>3720</v>
      </c>
      <c r="AA648"/>
      <c r="AB648"/>
      <c r="AC648" s="40"/>
      <c r="AD648" s="40"/>
    </row>
    <row r="649" spans="16:30" ht="10.5" customHeight="1">
      <c r="P649" s="150" t="s">
        <v>5074</v>
      </c>
      <c r="Q649" s="150"/>
      <c r="R649" s="98"/>
      <c r="S649" s="146"/>
      <c r="T649" s="284" t="s">
        <v>2203</v>
      </c>
      <c r="U649" s="284" t="s">
        <v>3846</v>
      </c>
      <c r="AA649"/>
      <c r="AB649"/>
      <c r="AC649" s="274"/>
      <c r="AD649" s="40"/>
    </row>
    <row r="650" spans="16:30" ht="10.5" customHeight="1">
      <c r="P650" s="150" t="s">
        <v>5075</v>
      </c>
      <c r="Q650" s="150"/>
      <c r="R650" s="98"/>
      <c r="S650" s="146"/>
      <c r="T650" s="284" t="s">
        <v>5076</v>
      </c>
      <c r="U650" s="284" t="s">
        <v>4352</v>
      </c>
      <c r="AA650"/>
      <c r="AB650"/>
      <c r="AC650" s="274"/>
      <c r="AD650" s="40"/>
    </row>
    <row r="651" spans="16:30" ht="10.5" customHeight="1">
      <c r="P651" s="150" t="s">
        <v>5077</v>
      </c>
      <c r="Q651" s="150"/>
      <c r="R651" s="98"/>
      <c r="S651" s="146"/>
      <c r="T651" s="284" t="s">
        <v>2205</v>
      </c>
      <c r="U651" s="284" t="s">
        <v>176</v>
      </c>
      <c r="AA651"/>
      <c r="AB651"/>
      <c r="AC651" s="274"/>
      <c r="AD651" s="40"/>
    </row>
    <row r="652" spans="16:30" ht="10.5" customHeight="1">
      <c r="P652" s="150" t="s">
        <v>5078</v>
      </c>
      <c r="Q652" s="150"/>
      <c r="R652" s="98"/>
      <c r="S652" s="146"/>
      <c r="T652" s="284" t="s">
        <v>5079</v>
      </c>
      <c r="U652" s="284" t="s">
        <v>3836</v>
      </c>
      <c r="AA652"/>
      <c r="AB652"/>
      <c r="AC652" s="274"/>
      <c r="AD652" s="40"/>
    </row>
    <row r="653" spans="16:30" ht="10.5" customHeight="1">
      <c r="P653" s="150" t="s">
        <v>5080</v>
      </c>
      <c r="Q653" s="150"/>
      <c r="R653" s="98"/>
      <c r="S653" s="146"/>
      <c r="T653" s="146" t="s">
        <v>5081</v>
      </c>
      <c r="U653" s="146" t="s">
        <v>104</v>
      </c>
      <c r="AA653"/>
      <c r="AB653"/>
      <c r="AC653" s="40"/>
      <c r="AD653" s="40"/>
    </row>
    <row r="654" spans="16:30" ht="10.5" customHeight="1">
      <c r="P654" s="150" t="s">
        <v>5082</v>
      </c>
      <c r="Q654" s="150"/>
      <c r="R654" s="98"/>
      <c r="S654" s="146"/>
      <c r="T654" s="284" t="s">
        <v>5083</v>
      </c>
      <c r="U654" s="284" t="s">
        <v>154</v>
      </c>
      <c r="AA654"/>
      <c r="AB654"/>
      <c r="AC654" s="274"/>
      <c r="AD654" s="40"/>
    </row>
    <row r="655" spans="16:30" ht="10.5" customHeight="1">
      <c r="P655" s="150" t="s">
        <v>5084</v>
      </c>
      <c r="Q655" s="150"/>
      <c r="R655" s="98"/>
      <c r="S655" s="146"/>
      <c r="T655" s="284" t="s">
        <v>5085</v>
      </c>
      <c r="U655" s="284" t="s">
        <v>4035</v>
      </c>
      <c r="AA655"/>
      <c r="AB655"/>
      <c r="AC655" s="274"/>
      <c r="AD655" s="40"/>
    </row>
    <row r="656" spans="16:30" ht="10.5" customHeight="1">
      <c r="P656" s="150" t="s">
        <v>5086</v>
      </c>
      <c r="Q656" s="150"/>
      <c r="R656" s="98"/>
      <c r="S656" s="146"/>
      <c r="T656" s="284" t="s">
        <v>170</v>
      </c>
      <c r="U656" s="284" t="s">
        <v>171</v>
      </c>
      <c r="AA656"/>
      <c r="AB656"/>
      <c r="AC656" s="274"/>
      <c r="AD656" s="40"/>
    </row>
    <row r="657" spans="16:30" ht="10.5" customHeight="1">
      <c r="P657" s="150" t="s">
        <v>5087</v>
      </c>
      <c r="Q657" s="150"/>
      <c r="R657" s="98"/>
      <c r="S657" s="146"/>
      <c r="T657" s="284" t="s">
        <v>5088</v>
      </c>
      <c r="U657" s="284" t="s">
        <v>4070</v>
      </c>
      <c r="AA657"/>
      <c r="AB657"/>
      <c r="AC657" s="274"/>
      <c r="AD657" s="40"/>
    </row>
    <row r="658" spans="16:30" ht="10.5" customHeight="1">
      <c r="P658" s="150" t="s">
        <v>5089</v>
      </c>
      <c r="Q658" s="150"/>
      <c r="R658" s="98"/>
      <c r="S658" s="146"/>
      <c r="T658" s="284" t="s">
        <v>5090</v>
      </c>
      <c r="U658" s="284" t="s">
        <v>3925</v>
      </c>
      <c r="AA658"/>
      <c r="AB658"/>
      <c r="AC658" s="274"/>
      <c r="AD658" s="40"/>
    </row>
    <row r="659" spans="16:30" ht="10.5" customHeight="1">
      <c r="P659" s="150" t="s">
        <v>5091</v>
      </c>
      <c r="Q659" s="150"/>
      <c r="R659" s="98"/>
      <c r="S659" s="146"/>
      <c r="T659" s="146" t="s">
        <v>173</v>
      </c>
      <c r="U659" s="146" t="s">
        <v>135</v>
      </c>
      <c r="AA659"/>
      <c r="AB659"/>
      <c r="AC659" s="40"/>
      <c r="AD659" s="40"/>
    </row>
    <row r="660" spans="16:30" ht="10.5" customHeight="1">
      <c r="P660" s="150" t="s">
        <v>5092</v>
      </c>
      <c r="Q660" s="150"/>
      <c r="R660" s="98"/>
      <c r="S660" s="146"/>
      <c r="T660" s="284" t="s">
        <v>5093</v>
      </c>
      <c r="U660" s="284" t="s">
        <v>2220</v>
      </c>
      <c r="AA660"/>
      <c r="AB660"/>
      <c r="AC660" s="274"/>
      <c r="AD660" s="40"/>
    </row>
    <row r="661" spans="16:30" ht="10.5" customHeight="1">
      <c r="P661" s="150" t="s">
        <v>5094</v>
      </c>
      <c r="Q661" s="150"/>
      <c r="R661" s="98"/>
      <c r="S661" s="146"/>
      <c r="T661" s="284" t="s">
        <v>5095</v>
      </c>
      <c r="U661" s="284" t="s">
        <v>154</v>
      </c>
      <c r="AA661"/>
      <c r="AB661"/>
      <c r="AC661" s="274"/>
      <c r="AD661" s="40"/>
    </row>
    <row r="662" spans="16:30" ht="10.5" customHeight="1">
      <c r="P662" s="150" t="s">
        <v>5096</v>
      </c>
      <c r="Q662" s="150"/>
      <c r="R662" s="98"/>
      <c r="S662" s="146"/>
      <c r="T662" s="284" t="s">
        <v>5097</v>
      </c>
      <c r="U662" s="284" t="s">
        <v>4410</v>
      </c>
      <c r="AA662"/>
      <c r="AB662"/>
      <c r="AC662" s="274"/>
      <c r="AD662" s="40"/>
    </row>
    <row r="663" spans="16:30" ht="10.5" customHeight="1">
      <c r="P663" s="150" t="s">
        <v>5098</v>
      </c>
      <c r="Q663" s="150"/>
      <c r="R663" s="98"/>
      <c r="S663" s="146"/>
      <c r="T663" s="284" t="s">
        <v>5099</v>
      </c>
      <c r="U663" s="284" t="s">
        <v>3807</v>
      </c>
      <c r="AA663"/>
      <c r="AB663"/>
      <c r="AC663" s="274"/>
      <c r="AD663" s="40"/>
    </row>
    <row r="664" spans="16:30" ht="10.5" customHeight="1">
      <c r="P664" s="150" t="s">
        <v>5100</v>
      </c>
      <c r="Q664" s="150"/>
      <c r="R664" s="98"/>
      <c r="S664" s="146"/>
      <c r="T664" s="284" t="s">
        <v>5101</v>
      </c>
      <c r="U664" s="284" t="s">
        <v>4115</v>
      </c>
      <c r="AA664"/>
      <c r="AB664"/>
      <c r="AC664" s="274"/>
      <c r="AD664" s="40"/>
    </row>
    <row r="665" spans="16:30" ht="10.5" customHeight="1">
      <c r="P665" s="150" t="s">
        <v>5102</v>
      </c>
      <c r="Q665" s="150"/>
      <c r="R665" s="98"/>
      <c r="S665" s="146"/>
      <c r="T665" s="284" t="s">
        <v>5103</v>
      </c>
      <c r="U665" s="284" t="s">
        <v>4143</v>
      </c>
      <c r="AA665"/>
      <c r="AB665"/>
      <c r="AC665" s="274"/>
      <c r="AD665" s="40"/>
    </row>
    <row r="666" spans="16:30" ht="10.5" customHeight="1">
      <c r="P666" s="150" t="s">
        <v>5104</v>
      </c>
      <c r="Q666" s="150"/>
      <c r="R666" s="98"/>
      <c r="S666" s="146"/>
      <c r="T666" s="284" t="s">
        <v>5105</v>
      </c>
      <c r="U666" s="284" t="s">
        <v>4340</v>
      </c>
      <c r="AA666"/>
      <c r="AB666"/>
      <c r="AC666" s="274"/>
      <c r="AD666" s="40"/>
    </row>
    <row r="667" spans="16:30" ht="10.5" customHeight="1">
      <c r="P667" s="150" t="s">
        <v>5106</v>
      </c>
      <c r="Q667" s="150"/>
      <c r="R667" s="98"/>
      <c r="S667" s="146"/>
      <c r="T667" s="284" t="s">
        <v>2737</v>
      </c>
      <c r="U667" s="284" t="s">
        <v>138</v>
      </c>
      <c r="AA667"/>
      <c r="AB667"/>
      <c r="AC667" s="274"/>
      <c r="AD667" s="40"/>
    </row>
    <row r="668" spans="16:30" ht="10.5" customHeight="1">
      <c r="P668" s="150" t="s">
        <v>5107</v>
      </c>
      <c r="Q668" s="150"/>
      <c r="R668" s="98"/>
      <c r="S668" s="146"/>
      <c r="T668" s="284" t="s">
        <v>5108</v>
      </c>
      <c r="U668" s="284" t="s">
        <v>4396</v>
      </c>
      <c r="AA668"/>
      <c r="AB668"/>
      <c r="AC668" s="274"/>
      <c r="AD668" s="40"/>
    </row>
    <row r="669" spans="16:30" ht="10.5" customHeight="1">
      <c r="P669" s="150" t="s">
        <v>5109</v>
      </c>
      <c r="Q669" s="150"/>
      <c r="R669" s="98"/>
      <c r="S669" s="146"/>
      <c r="T669" s="284" t="s">
        <v>174</v>
      </c>
      <c r="U669" s="284" t="s">
        <v>96</v>
      </c>
      <c r="AA669"/>
      <c r="AB669"/>
      <c r="AC669" s="274"/>
      <c r="AD669" s="40"/>
    </row>
    <row r="670" spans="16:30" ht="10.5" customHeight="1">
      <c r="P670" s="150" t="s">
        <v>5110</v>
      </c>
      <c r="Q670" s="150"/>
      <c r="R670" s="98"/>
      <c r="S670" s="146"/>
      <c r="T670" s="146" t="s">
        <v>4352</v>
      </c>
      <c r="U670" s="146" t="s">
        <v>4461</v>
      </c>
      <c r="AA670"/>
      <c r="AB670"/>
      <c r="AC670" s="40"/>
      <c r="AD670" s="40"/>
    </row>
    <row r="671" spans="16:30" ht="10.5" customHeight="1">
      <c r="P671" s="150" t="s">
        <v>5111</v>
      </c>
      <c r="Q671" s="150"/>
      <c r="R671" s="98"/>
      <c r="S671" s="146"/>
      <c r="T671" s="284" t="s">
        <v>5112</v>
      </c>
      <c r="U671" s="284" t="s">
        <v>116</v>
      </c>
      <c r="AA671"/>
      <c r="AB671"/>
      <c r="AC671" s="274"/>
      <c r="AD671" s="40"/>
    </row>
    <row r="672" spans="16:30" ht="10.5" customHeight="1">
      <c r="P672" s="150" t="s">
        <v>5113</v>
      </c>
      <c r="Q672" s="150"/>
      <c r="R672" s="98"/>
      <c r="S672" s="146"/>
      <c r="T672" s="284" t="s">
        <v>5114</v>
      </c>
      <c r="U672" s="284" t="s">
        <v>3719</v>
      </c>
      <c r="AA672"/>
      <c r="AB672"/>
      <c r="AC672" s="274"/>
      <c r="AD672" s="40"/>
    </row>
    <row r="673" spans="16:30" ht="10.5" customHeight="1">
      <c r="P673" s="150" t="s">
        <v>5115</v>
      </c>
      <c r="Q673" s="150"/>
      <c r="R673" s="98"/>
      <c r="S673" s="146"/>
      <c r="T673" s="284" t="s">
        <v>5116</v>
      </c>
      <c r="U673" s="284" t="s">
        <v>4138</v>
      </c>
      <c r="AA673"/>
      <c r="AB673"/>
      <c r="AC673" s="274"/>
      <c r="AD673" s="40"/>
    </row>
    <row r="674" spans="16:30" ht="10.5" customHeight="1">
      <c r="P674" s="150" t="s">
        <v>5117</v>
      </c>
      <c r="Q674" s="150"/>
      <c r="R674" s="98"/>
      <c r="S674" s="146"/>
      <c r="T674" s="284" t="s">
        <v>175</v>
      </c>
      <c r="U674" s="284" t="s">
        <v>176</v>
      </c>
      <c r="AA674"/>
      <c r="AB674"/>
      <c r="AC674" s="274"/>
      <c r="AD674" s="40"/>
    </row>
    <row r="675" spans="16:30" ht="10.5" customHeight="1">
      <c r="P675" s="150" t="s">
        <v>5118</v>
      </c>
      <c r="Q675" s="150"/>
      <c r="R675" s="98"/>
      <c r="S675" s="146"/>
      <c r="T675" s="284" t="s">
        <v>5119</v>
      </c>
      <c r="U675" s="284" t="s">
        <v>4385</v>
      </c>
      <c r="AA675"/>
      <c r="AB675"/>
      <c r="AC675" s="274"/>
      <c r="AD675" s="40"/>
    </row>
    <row r="676" spans="16:30" ht="10.5" customHeight="1">
      <c r="P676" s="150" t="s">
        <v>5120</v>
      </c>
      <c r="Q676" s="150"/>
      <c r="R676" s="98"/>
      <c r="S676" s="146"/>
      <c r="T676" s="284" t="s">
        <v>5121</v>
      </c>
      <c r="U676" s="284" t="s">
        <v>116</v>
      </c>
      <c r="AA676"/>
      <c r="AB676"/>
      <c r="AC676" s="274"/>
      <c r="AD676" s="40"/>
    </row>
    <row r="677" spans="16:30" ht="10.5" customHeight="1">
      <c r="P677" s="150" t="s">
        <v>5122</v>
      </c>
      <c r="Q677" s="150"/>
      <c r="R677" s="98"/>
      <c r="S677" s="146"/>
      <c r="T677" s="284" t="s">
        <v>5123</v>
      </c>
      <c r="U677" s="284" t="s">
        <v>4335</v>
      </c>
      <c r="AA677"/>
      <c r="AB677"/>
      <c r="AC677" s="274"/>
      <c r="AD677" s="40"/>
    </row>
    <row r="678" spans="16:30" ht="10.5" customHeight="1">
      <c r="P678" s="150" t="s">
        <v>5124</v>
      </c>
      <c r="Q678" s="150"/>
      <c r="R678" s="98"/>
      <c r="S678" s="146"/>
      <c r="T678" s="284" t="s">
        <v>5125</v>
      </c>
      <c r="U678" s="284" t="s">
        <v>4106</v>
      </c>
      <c r="AA678"/>
      <c r="AB678"/>
      <c r="AC678" s="274"/>
      <c r="AD678" s="40"/>
    </row>
    <row r="679" spans="16:30" ht="10.5" customHeight="1">
      <c r="P679" s="150" t="s">
        <v>5126</v>
      </c>
      <c r="Q679" s="150"/>
      <c r="R679" s="98"/>
      <c r="S679" s="146"/>
      <c r="T679" s="284" t="s">
        <v>5127</v>
      </c>
      <c r="U679" s="284" t="s">
        <v>4072</v>
      </c>
      <c r="AA679"/>
      <c r="AB679"/>
      <c r="AC679" s="274"/>
      <c r="AD679" s="40"/>
    </row>
    <row r="680" spans="16:30" ht="10.5" customHeight="1">
      <c r="P680" s="150" t="s">
        <v>5128</v>
      </c>
      <c r="Q680" s="150"/>
      <c r="R680" s="98"/>
      <c r="S680" s="146"/>
      <c r="T680" s="284" t="s">
        <v>177</v>
      </c>
      <c r="U680" s="284" t="s">
        <v>138</v>
      </c>
      <c r="AA680"/>
      <c r="AB680"/>
      <c r="AC680" s="274"/>
      <c r="AD680" s="40"/>
    </row>
    <row r="681" spans="16:30" ht="10.5" customHeight="1">
      <c r="P681" s="150" t="s">
        <v>5129</v>
      </c>
      <c r="Q681" s="150"/>
      <c r="R681" s="98"/>
      <c r="S681" s="146"/>
      <c r="T681" s="284" t="s">
        <v>5130</v>
      </c>
      <c r="U681" s="284" t="s">
        <v>4330</v>
      </c>
      <c r="AA681"/>
      <c r="AB681"/>
      <c r="AC681" s="274"/>
      <c r="AD681" s="40"/>
    </row>
    <row r="682" spans="16:30" ht="10.5" customHeight="1">
      <c r="P682" s="150" t="s">
        <v>5131</v>
      </c>
      <c r="Q682" s="150"/>
      <c r="R682" s="98"/>
      <c r="S682" s="146"/>
      <c r="T682" s="146" t="s">
        <v>5132</v>
      </c>
      <c r="U682" s="146" t="s">
        <v>4188</v>
      </c>
      <c r="AA682"/>
      <c r="AB682"/>
      <c r="AC682" s="40"/>
      <c r="AD682" s="40"/>
    </row>
    <row r="683" spans="16:30" ht="10.5" customHeight="1">
      <c r="P683" s="150" t="s">
        <v>5133</v>
      </c>
      <c r="Q683" s="150"/>
      <c r="R683" s="98"/>
      <c r="S683" s="146"/>
      <c r="T683" s="146" t="s">
        <v>2208</v>
      </c>
      <c r="U683" s="146" t="s">
        <v>121</v>
      </c>
      <c r="AA683"/>
      <c r="AB683"/>
      <c r="AC683" s="40"/>
      <c r="AD683" s="40"/>
    </row>
    <row r="684" spans="16:30" ht="10.5" customHeight="1">
      <c r="P684" s="150" t="s">
        <v>5134</v>
      </c>
      <c r="Q684" s="150"/>
      <c r="R684" s="98"/>
      <c r="S684" s="146"/>
      <c r="T684" s="284" t="s">
        <v>5135</v>
      </c>
      <c r="U684" s="284" t="s">
        <v>3975</v>
      </c>
      <c r="AA684"/>
      <c r="AB684"/>
      <c r="AC684" s="274"/>
      <c r="AD684" s="40"/>
    </row>
    <row r="685" spans="16:30" ht="10.5" customHeight="1">
      <c r="P685" s="150" t="s">
        <v>5136</v>
      </c>
      <c r="Q685" s="150"/>
      <c r="R685" s="98"/>
      <c r="S685" s="146"/>
      <c r="T685" s="284" t="s">
        <v>2209</v>
      </c>
      <c r="U685" s="284" t="s">
        <v>3992</v>
      </c>
      <c r="AA685"/>
      <c r="AB685"/>
      <c r="AC685" s="274"/>
      <c r="AD685" s="40"/>
    </row>
    <row r="686" spans="16:30" ht="10.5" customHeight="1">
      <c r="P686" s="150" t="s">
        <v>5137</v>
      </c>
      <c r="Q686" s="150"/>
      <c r="R686" s="98"/>
      <c r="S686" s="146"/>
      <c r="T686" s="284" t="s">
        <v>5138</v>
      </c>
      <c r="U686" s="284" t="s">
        <v>4418</v>
      </c>
      <c r="AA686"/>
      <c r="AB686"/>
      <c r="AC686" s="274"/>
      <c r="AD686" s="40"/>
    </row>
    <row r="687" spans="16:30" ht="10.5" customHeight="1">
      <c r="P687" s="150" t="s">
        <v>5139</v>
      </c>
      <c r="Q687" s="150"/>
      <c r="R687" s="98"/>
      <c r="S687" s="146"/>
      <c r="T687" s="284" t="s">
        <v>5140</v>
      </c>
      <c r="U687" s="284" t="s">
        <v>154</v>
      </c>
      <c r="AA687"/>
      <c r="AB687"/>
      <c r="AC687" s="274"/>
      <c r="AD687" s="40"/>
    </row>
    <row r="688" spans="16:30" ht="10.5" customHeight="1">
      <c r="P688" s="150" t="s">
        <v>5141</v>
      </c>
      <c r="Q688" s="150"/>
      <c r="R688" s="98"/>
      <c r="S688" s="146"/>
      <c r="T688" s="284" t="s">
        <v>5142</v>
      </c>
      <c r="U688" s="284" t="s">
        <v>3740</v>
      </c>
      <c r="AA688"/>
      <c r="AB688"/>
      <c r="AC688" s="274"/>
      <c r="AD688" s="40"/>
    </row>
    <row r="689" spans="16:30" ht="10.5" customHeight="1">
      <c r="P689" s="150" t="s">
        <v>5143</v>
      </c>
      <c r="Q689" s="150"/>
      <c r="R689" s="98"/>
      <c r="S689" s="146"/>
      <c r="T689" s="284" t="s">
        <v>5144</v>
      </c>
      <c r="U689" s="284" t="s">
        <v>4093</v>
      </c>
      <c r="AA689"/>
      <c r="AB689"/>
      <c r="AC689" s="274"/>
      <c r="AD689" s="40"/>
    </row>
    <row r="690" spans="16:30" ht="10.5" customHeight="1">
      <c r="P690" s="150" t="s">
        <v>5145</v>
      </c>
      <c r="Q690" s="150"/>
      <c r="R690" s="98"/>
      <c r="S690" s="146"/>
      <c r="T690" s="284" t="s">
        <v>5146</v>
      </c>
      <c r="U690" s="284" t="s">
        <v>3988</v>
      </c>
      <c r="AA690"/>
      <c r="AB690"/>
      <c r="AC690" s="274"/>
      <c r="AD690" s="40"/>
    </row>
    <row r="691" spans="16:30" ht="10.5" customHeight="1">
      <c r="P691" s="150" t="s">
        <v>5147</v>
      </c>
      <c r="Q691" s="150"/>
      <c r="R691" s="98"/>
      <c r="S691" s="146"/>
      <c r="T691" s="284" t="s">
        <v>5148</v>
      </c>
      <c r="U691" s="284" t="s">
        <v>140</v>
      </c>
      <c r="AA691"/>
      <c r="AB691"/>
      <c r="AC691" s="274"/>
      <c r="AD691" s="40"/>
    </row>
    <row r="692" spans="16:30" ht="10.5" customHeight="1">
      <c r="P692" s="150" t="s">
        <v>5149</v>
      </c>
      <c r="Q692" s="150"/>
      <c r="R692" s="98"/>
      <c r="S692" s="146"/>
      <c r="T692" s="284" t="s">
        <v>172</v>
      </c>
      <c r="U692" s="284" t="s">
        <v>111</v>
      </c>
      <c r="AA692"/>
      <c r="AB692"/>
      <c r="AC692" s="274"/>
      <c r="AD692" s="40"/>
    </row>
    <row r="693" spans="16:30" ht="10.5" customHeight="1">
      <c r="P693" s="150" t="s">
        <v>5150</v>
      </c>
      <c r="Q693" s="150"/>
      <c r="R693" s="98"/>
      <c r="S693" s="146"/>
      <c r="T693" s="284" t="s">
        <v>5151</v>
      </c>
      <c r="U693" s="284" t="s">
        <v>3915</v>
      </c>
      <c r="AA693"/>
      <c r="AB693"/>
      <c r="AC693" s="274"/>
      <c r="AD693" s="40"/>
    </row>
    <row r="694" spans="16:30" ht="10.5" customHeight="1">
      <c r="P694" s="150" t="s">
        <v>5152</v>
      </c>
      <c r="Q694" s="150"/>
      <c r="R694" s="98"/>
      <c r="S694" s="146"/>
      <c r="T694" s="284" t="s">
        <v>5153</v>
      </c>
      <c r="U694" s="284" t="s">
        <v>3983</v>
      </c>
      <c r="AA694"/>
      <c r="AB694"/>
      <c r="AC694" s="274"/>
      <c r="AD694" s="40"/>
    </row>
    <row r="695" spans="16:30" ht="10.5" customHeight="1">
      <c r="P695" s="150" t="s">
        <v>5154</v>
      </c>
      <c r="Q695" s="150"/>
      <c r="R695" s="98"/>
      <c r="S695" s="146"/>
      <c r="T695" s="284" t="s">
        <v>2210</v>
      </c>
      <c r="U695" s="284" t="s">
        <v>107</v>
      </c>
      <c r="AA695"/>
      <c r="AB695"/>
      <c r="AC695" s="274"/>
      <c r="AD695" s="40"/>
    </row>
    <row r="696" spans="16:30" ht="10.5" customHeight="1">
      <c r="P696" s="150" t="s">
        <v>5155</v>
      </c>
      <c r="Q696" s="150"/>
      <c r="R696" s="98"/>
      <c r="S696" s="146"/>
      <c r="T696" s="284" t="s">
        <v>5156</v>
      </c>
      <c r="U696" s="284" t="s">
        <v>171</v>
      </c>
      <c r="AA696"/>
      <c r="AB696"/>
      <c r="AC696" s="274"/>
      <c r="AD696" s="40"/>
    </row>
    <row r="697" spans="16:30" ht="10.5" customHeight="1">
      <c r="P697" s="150" t="s">
        <v>5157</v>
      </c>
      <c r="Q697" s="150"/>
      <c r="R697" s="98"/>
      <c r="S697" s="146"/>
      <c r="T697" s="284" t="s">
        <v>5158</v>
      </c>
      <c r="U697" s="284" t="s">
        <v>4001</v>
      </c>
      <c r="AA697"/>
      <c r="AB697"/>
      <c r="AC697" s="274"/>
      <c r="AD697" s="40"/>
    </row>
    <row r="698" spans="16:30" ht="10.5" customHeight="1">
      <c r="P698" s="150" t="s">
        <v>5159</v>
      </c>
      <c r="Q698" s="150"/>
      <c r="R698" s="98"/>
      <c r="S698" s="146"/>
      <c r="T698" s="284" t="s">
        <v>5160</v>
      </c>
      <c r="U698" s="284" t="s">
        <v>99</v>
      </c>
      <c r="AA698"/>
      <c r="AB698"/>
      <c r="AC698" s="274"/>
      <c r="AD698" s="40"/>
    </row>
    <row r="699" spans="16:30" ht="10.5" customHeight="1">
      <c r="P699" s="150" t="s">
        <v>5161</v>
      </c>
      <c r="Q699" s="150"/>
      <c r="R699" s="98"/>
      <c r="S699" s="146"/>
      <c r="T699" s="284" t="s">
        <v>5162</v>
      </c>
      <c r="U699" s="284" t="s">
        <v>96</v>
      </c>
      <c r="AA699"/>
      <c r="AB699"/>
      <c r="AC699" s="274"/>
      <c r="AD699" s="40"/>
    </row>
    <row r="700" spans="16:30" ht="10.5" customHeight="1">
      <c r="P700" s="150" t="s">
        <v>5163</v>
      </c>
      <c r="Q700" s="150"/>
      <c r="R700" s="98"/>
      <c r="S700" s="146"/>
      <c r="T700" s="284" t="s">
        <v>5164</v>
      </c>
      <c r="U700" s="284" t="s">
        <v>96</v>
      </c>
      <c r="AA700"/>
      <c r="AB700"/>
      <c r="AC700" s="274"/>
      <c r="AD700" s="40"/>
    </row>
    <row r="701" spans="16:30" ht="10.5" customHeight="1">
      <c r="P701" s="150" t="s">
        <v>5165</v>
      </c>
      <c r="Q701" s="150"/>
      <c r="R701" s="98"/>
      <c r="S701" s="146"/>
      <c r="T701" s="284" t="s">
        <v>5166</v>
      </c>
      <c r="U701" s="284" t="s">
        <v>3975</v>
      </c>
      <c r="AA701"/>
      <c r="AB701"/>
      <c r="AC701" s="274"/>
      <c r="AD701" s="40"/>
    </row>
    <row r="702" spans="16:30" ht="10.5" customHeight="1">
      <c r="P702" s="150" t="s">
        <v>5167</v>
      </c>
      <c r="Q702" s="150"/>
      <c r="R702" s="98"/>
      <c r="S702" s="146"/>
      <c r="T702" s="284" t="s">
        <v>5168</v>
      </c>
      <c r="U702" s="284" t="s">
        <v>4001</v>
      </c>
      <c r="AA702"/>
      <c r="AB702"/>
      <c r="AC702" s="274"/>
      <c r="AD702" s="40"/>
    </row>
    <row r="703" spans="16:30" ht="10.5" customHeight="1">
      <c r="P703" s="150" t="s">
        <v>5169</v>
      </c>
      <c r="Q703" s="150"/>
      <c r="R703" s="98"/>
      <c r="S703" s="146"/>
      <c r="T703" s="284" t="s">
        <v>5170</v>
      </c>
      <c r="U703" s="284" t="s">
        <v>3864</v>
      </c>
      <c r="AA703"/>
      <c r="AB703"/>
      <c r="AC703" s="274"/>
      <c r="AD703" s="40"/>
    </row>
    <row r="704" spans="16:30" ht="10.5" customHeight="1">
      <c r="P704" s="150" t="s">
        <v>5171</v>
      </c>
      <c r="Q704" s="150"/>
      <c r="R704" s="98"/>
      <c r="S704" s="146"/>
      <c r="T704" s="284" t="s">
        <v>5172</v>
      </c>
      <c r="U704" s="284" t="s">
        <v>4495</v>
      </c>
      <c r="AA704"/>
      <c r="AB704"/>
      <c r="AC704" s="274"/>
      <c r="AD704" s="40"/>
    </row>
    <row r="705" spans="16:30" ht="10.5" customHeight="1">
      <c r="P705" s="150" t="s">
        <v>5173</v>
      </c>
      <c r="Q705" s="2839"/>
      <c r="R705" s="2839"/>
      <c r="S705" s="2840"/>
      <c r="T705" s="284" t="s">
        <v>5174</v>
      </c>
      <c r="U705" s="284" t="s">
        <v>114</v>
      </c>
      <c r="AA705"/>
      <c r="AB705"/>
      <c r="AC705" s="274"/>
      <c r="AD705" s="40"/>
    </row>
    <row r="706" spans="16:30" ht="10.5" customHeight="1">
      <c r="P706" s="2841"/>
      <c r="Q706" s="265"/>
      <c r="R706" s="2512"/>
      <c r="S706" s="96"/>
      <c r="T706" s="284" t="s">
        <v>178</v>
      </c>
      <c r="U706" s="284" t="s">
        <v>129</v>
      </c>
      <c r="AA706"/>
      <c r="AB706"/>
      <c r="AC706" s="274"/>
      <c r="AD706" s="40"/>
    </row>
    <row r="707" spans="16:30" ht="10.5" customHeight="1">
      <c r="P707" s="319"/>
      <c r="Q707" s="96"/>
      <c r="R707" s="96"/>
      <c r="S707" s="96"/>
      <c r="T707" s="284" t="s">
        <v>179</v>
      </c>
      <c r="U707" s="284" t="s">
        <v>131</v>
      </c>
      <c r="AA707"/>
      <c r="AB707"/>
      <c r="AC707" s="274"/>
      <c r="AD707" s="40"/>
    </row>
    <row r="708" spans="16:30" ht="10.5" customHeight="1">
      <c r="P708" s="96"/>
      <c r="Q708" s="96"/>
      <c r="R708" s="96"/>
      <c r="S708" s="96"/>
      <c r="T708" s="284" t="s">
        <v>5175</v>
      </c>
      <c r="U708" s="284" t="s">
        <v>3704</v>
      </c>
      <c r="AA708"/>
      <c r="AB708"/>
      <c r="AC708" s="274"/>
      <c r="AD708" s="40"/>
    </row>
    <row r="709" spans="16:30" ht="10.5" customHeight="1">
      <c r="P709" s="96"/>
      <c r="Q709" s="96"/>
      <c r="R709" s="96"/>
      <c r="S709" s="96"/>
      <c r="T709" s="284" t="s">
        <v>5176</v>
      </c>
      <c r="U709" s="284" t="s">
        <v>3975</v>
      </c>
      <c r="AA709"/>
      <c r="AB709"/>
      <c r="AC709" s="274"/>
      <c r="AD709" s="40"/>
    </row>
    <row r="710" spans="16:30" ht="10.5" customHeight="1">
      <c r="P710" s="96"/>
      <c r="Q710" s="96"/>
      <c r="R710" s="96"/>
      <c r="S710" s="96"/>
      <c r="T710" s="284" t="s">
        <v>5177</v>
      </c>
      <c r="U710" s="284" t="s">
        <v>4001</v>
      </c>
      <c r="AA710"/>
      <c r="AB710"/>
      <c r="AC710" s="274"/>
      <c r="AD710" s="40"/>
    </row>
    <row r="711" spans="16:30" ht="10.5" customHeight="1">
      <c r="P711" s="96"/>
      <c r="Q711" s="96"/>
      <c r="R711" s="96"/>
      <c r="S711" s="96"/>
      <c r="T711" s="146" t="s">
        <v>5178</v>
      </c>
      <c r="U711" s="146" t="s">
        <v>3875</v>
      </c>
      <c r="AA711"/>
      <c r="AB711"/>
      <c r="AC711" s="40"/>
      <c r="AD711" s="40"/>
    </row>
    <row r="712" spans="16:30" ht="10.5" customHeight="1">
      <c r="P712" s="96"/>
      <c r="Q712" s="96"/>
      <c r="R712" s="96"/>
      <c r="S712" s="96"/>
      <c r="T712" s="284" t="s">
        <v>5179</v>
      </c>
      <c r="U712" s="284" t="s">
        <v>4352</v>
      </c>
      <c r="AA712"/>
      <c r="AB712"/>
      <c r="AC712" s="274"/>
      <c r="AD712" s="40"/>
    </row>
    <row r="713" spans="16:30" ht="10.5" customHeight="1">
      <c r="P713" s="96"/>
      <c r="Q713" s="96"/>
      <c r="R713" s="96"/>
      <c r="S713" s="96"/>
      <c r="T713" s="284" t="s">
        <v>2211</v>
      </c>
      <c r="U713" s="284" t="s">
        <v>4495</v>
      </c>
      <c r="AA713"/>
      <c r="AB713"/>
      <c r="AC713" s="274"/>
      <c r="AD713" s="40"/>
    </row>
    <row r="714" spans="16:30" ht="10.5" customHeight="1">
      <c r="P714" s="96"/>
      <c r="Q714" s="96"/>
      <c r="R714" s="96"/>
      <c r="S714" s="96"/>
      <c r="T714" s="284" t="s">
        <v>5180</v>
      </c>
      <c r="U714" s="284" t="s">
        <v>138</v>
      </c>
      <c r="AA714"/>
      <c r="AB714"/>
      <c r="AC714" s="274"/>
      <c r="AD714" s="40"/>
    </row>
    <row r="715" spans="16:30" ht="10.5" customHeight="1">
      <c r="P715" s="96"/>
      <c r="Q715" s="96"/>
      <c r="R715" s="96"/>
      <c r="S715" s="96"/>
      <c r="T715" s="284" t="s">
        <v>5181</v>
      </c>
      <c r="U715" s="284" t="s">
        <v>4380</v>
      </c>
      <c r="AA715"/>
      <c r="AB715"/>
      <c r="AC715" s="274"/>
      <c r="AD715" s="40"/>
    </row>
    <row r="716" spans="16:30" ht="10.5" customHeight="1">
      <c r="P716" s="96"/>
      <c r="Q716" s="96"/>
      <c r="R716" s="96"/>
      <c r="S716" s="96"/>
      <c r="T716" s="284" t="s">
        <v>5182</v>
      </c>
      <c r="U716" s="284" t="s">
        <v>4302</v>
      </c>
      <c r="AA716"/>
      <c r="AB716"/>
      <c r="AC716" s="274"/>
      <c r="AD716" s="40"/>
    </row>
    <row r="717" spans="16:30" ht="10.5" customHeight="1">
      <c r="P717" s="96"/>
      <c r="Q717" s="96"/>
      <c r="R717" s="96"/>
      <c r="S717" s="96"/>
      <c r="T717" s="284" t="s">
        <v>5183</v>
      </c>
      <c r="U717" s="284" t="s">
        <v>4100</v>
      </c>
      <c r="AA717"/>
      <c r="AB717"/>
      <c r="AC717" s="274"/>
      <c r="AD717" s="40"/>
    </row>
    <row r="718" spans="16:30" ht="10.5" customHeight="1">
      <c r="P718" s="96"/>
      <c r="Q718" s="96"/>
      <c r="R718" s="96"/>
      <c r="S718" s="96"/>
      <c r="T718" s="284" t="s">
        <v>5184</v>
      </c>
      <c r="U718" s="284" t="s">
        <v>164</v>
      </c>
      <c r="AA718"/>
      <c r="AB718"/>
      <c r="AC718" s="274"/>
      <c r="AD718" s="40"/>
    </row>
    <row r="719" spans="16:30" ht="10.5" customHeight="1">
      <c r="P719" s="96"/>
      <c r="Q719" s="96"/>
      <c r="R719" s="96"/>
      <c r="S719" s="96"/>
      <c r="T719" s="284" t="s">
        <v>5185</v>
      </c>
      <c r="U719" s="284" t="s">
        <v>3853</v>
      </c>
      <c r="AA719"/>
      <c r="AB719"/>
      <c r="AC719" s="274"/>
      <c r="AD719" s="40"/>
    </row>
    <row r="720" spans="16:30" ht="10.5" customHeight="1">
      <c r="P720" s="96"/>
      <c r="Q720" s="96"/>
      <c r="R720" s="96"/>
      <c r="S720" s="96"/>
      <c r="T720" s="284" t="s">
        <v>5186</v>
      </c>
      <c r="U720" s="284" t="s">
        <v>150</v>
      </c>
      <c r="AA720"/>
      <c r="AB720"/>
      <c r="AC720" s="274"/>
      <c r="AD720" s="40"/>
    </row>
    <row r="721" spans="16:30" ht="10.5" customHeight="1">
      <c r="P721" s="96"/>
      <c r="Q721" s="96"/>
      <c r="R721" s="96"/>
      <c r="S721" s="96"/>
      <c r="T721" s="146" t="s">
        <v>5187</v>
      </c>
      <c r="U721" s="146" t="s">
        <v>129</v>
      </c>
      <c r="AA721"/>
      <c r="AB721"/>
      <c r="AC721" s="40"/>
      <c r="AD721" s="40"/>
    </row>
    <row r="722" spans="16:30" ht="10.5" customHeight="1">
      <c r="P722" s="96"/>
      <c r="Q722" s="96"/>
      <c r="R722" s="96"/>
      <c r="S722" s="96"/>
      <c r="T722" s="284" t="s">
        <v>5188</v>
      </c>
      <c r="U722" s="284" t="s">
        <v>3733</v>
      </c>
      <c r="AA722"/>
      <c r="AB722"/>
      <c r="AC722" s="274"/>
      <c r="AD722" s="40"/>
    </row>
    <row r="723" spans="16:30" ht="10.5" customHeight="1">
      <c r="P723" s="96"/>
      <c r="Q723" s="96"/>
      <c r="R723" s="96"/>
      <c r="S723" s="96"/>
      <c r="T723" s="284" t="s">
        <v>5189</v>
      </c>
      <c r="U723" s="284" t="s">
        <v>3836</v>
      </c>
      <c r="AA723"/>
      <c r="AB723"/>
      <c r="AC723" s="274"/>
      <c r="AD723" s="40"/>
    </row>
    <row r="724" spans="16:30" ht="10.5" customHeight="1">
      <c r="P724" s="96"/>
      <c r="Q724" s="96"/>
      <c r="R724" s="96"/>
      <c r="S724" s="96"/>
      <c r="T724" s="284" t="s">
        <v>5190</v>
      </c>
      <c r="U724" s="284" t="s">
        <v>2220</v>
      </c>
      <c r="AA724"/>
      <c r="AB724"/>
      <c r="AC724" s="274"/>
      <c r="AD724" s="40"/>
    </row>
    <row r="725" spans="16:30" ht="10.5" customHeight="1">
      <c r="P725" s="96"/>
      <c r="Q725" s="96"/>
      <c r="R725" s="96"/>
      <c r="S725" s="96"/>
      <c r="T725" s="284" t="s">
        <v>5191</v>
      </c>
      <c r="U725" s="284" t="s">
        <v>131</v>
      </c>
      <c r="AA725"/>
      <c r="AB725"/>
      <c r="AC725" s="274"/>
      <c r="AD725" s="40"/>
    </row>
    <row r="726" spans="16:30" ht="10.5" customHeight="1">
      <c r="P726" s="96"/>
      <c r="Q726" s="96"/>
      <c r="R726" s="96"/>
      <c r="S726" s="96"/>
      <c r="T726" s="284" t="s">
        <v>5192</v>
      </c>
      <c r="U726" s="284" t="s">
        <v>131</v>
      </c>
      <c r="AA726"/>
      <c r="AB726"/>
      <c r="AC726" s="274"/>
      <c r="AD726" s="40"/>
    </row>
    <row r="727" spans="16:30" ht="10.5" customHeight="1">
      <c r="P727" s="96"/>
      <c r="Q727" s="96"/>
      <c r="R727" s="96"/>
      <c r="S727" s="96"/>
      <c r="T727" s="284" t="s">
        <v>2212</v>
      </c>
      <c r="U727" s="284" t="s">
        <v>3954</v>
      </c>
      <c r="AA727"/>
      <c r="AB727"/>
      <c r="AC727" s="274"/>
      <c r="AD727" s="40"/>
    </row>
    <row r="728" spans="16:30" ht="10.5" customHeight="1">
      <c r="P728" s="96"/>
      <c r="Q728" s="96"/>
      <c r="R728" s="96"/>
      <c r="S728" s="96"/>
      <c r="T728" s="284" t="s">
        <v>5193</v>
      </c>
      <c r="U728" s="284" t="s">
        <v>4233</v>
      </c>
      <c r="AA728"/>
      <c r="AB728"/>
      <c r="AC728" s="274"/>
      <c r="AD728" s="40"/>
    </row>
    <row r="729" spans="16:30" ht="10.5" customHeight="1">
      <c r="P729" s="96"/>
      <c r="Q729" s="96"/>
      <c r="R729" s="96"/>
      <c r="S729" s="96"/>
      <c r="T729" s="284" t="s">
        <v>5194</v>
      </c>
      <c r="U729" s="284" t="s">
        <v>138</v>
      </c>
      <c r="AA729"/>
      <c r="AB729"/>
      <c r="AC729" s="274"/>
      <c r="AD729" s="40"/>
    </row>
    <row r="730" spans="16:30" ht="10.5" customHeight="1">
      <c r="P730" s="96"/>
      <c r="Q730" s="96"/>
      <c r="R730" s="96"/>
      <c r="S730" s="96"/>
      <c r="T730" s="146" t="s">
        <v>2213</v>
      </c>
      <c r="U730" s="146" t="s">
        <v>160</v>
      </c>
      <c r="AA730"/>
      <c r="AB730"/>
      <c r="AC730" s="40"/>
      <c r="AD730" s="40"/>
    </row>
    <row r="731" spans="16:30" ht="10.5" customHeight="1">
      <c r="P731" s="96"/>
      <c r="Q731" s="96"/>
      <c r="R731" s="96"/>
      <c r="S731" s="96"/>
      <c r="T731" s="284" t="s">
        <v>5195</v>
      </c>
      <c r="U731" s="284" t="s">
        <v>4330</v>
      </c>
      <c r="AA731"/>
      <c r="AB731"/>
      <c r="AC731" s="274"/>
      <c r="AD731" s="40"/>
    </row>
    <row r="732" spans="16:30" ht="10.5" customHeight="1">
      <c r="P732" s="96"/>
      <c r="Q732" s="96"/>
      <c r="R732" s="96"/>
      <c r="S732" s="96"/>
      <c r="T732" s="284" t="s">
        <v>5196</v>
      </c>
      <c r="U732" s="284" t="s">
        <v>4486</v>
      </c>
      <c r="AA732"/>
      <c r="AB732"/>
      <c r="AC732" s="274"/>
      <c r="AD732" s="40"/>
    </row>
    <row r="733" spans="16:30" ht="10.5" customHeight="1">
      <c r="P733" s="96"/>
      <c r="Q733" s="96"/>
      <c r="R733" s="96"/>
      <c r="S733" s="96"/>
      <c r="T733" s="284" t="s">
        <v>5197</v>
      </c>
      <c r="U733" s="284" t="s">
        <v>3910</v>
      </c>
      <c r="AA733"/>
      <c r="AB733"/>
      <c r="AC733" s="274"/>
      <c r="AD733" s="40"/>
    </row>
    <row r="734" spans="16:30" ht="10.5" customHeight="1">
      <c r="P734" s="96"/>
      <c r="Q734" s="96"/>
      <c r="R734" s="96"/>
      <c r="S734" s="96"/>
      <c r="T734" s="284" t="s">
        <v>5198</v>
      </c>
      <c r="U734" s="284" t="s">
        <v>3788</v>
      </c>
      <c r="AA734"/>
      <c r="AB734"/>
      <c r="AC734" s="274"/>
      <c r="AD734" s="40"/>
    </row>
    <row r="735" spans="16:30" ht="10.5" customHeight="1">
      <c r="P735" s="96"/>
      <c r="Q735" s="96"/>
      <c r="R735" s="96"/>
      <c r="S735" s="96"/>
      <c r="T735" s="284" t="s">
        <v>5199</v>
      </c>
      <c r="U735" s="284" t="s">
        <v>3936</v>
      </c>
      <c r="AA735"/>
      <c r="AB735"/>
      <c r="AC735" s="274"/>
      <c r="AD735" s="40"/>
    </row>
    <row r="736" spans="16:30" ht="10.5" customHeight="1">
      <c r="P736" s="96"/>
      <c r="Q736" s="96"/>
      <c r="R736" s="96"/>
      <c r="S736" s="96"/>
      <c r="T736" s="284" t="s">
        <v>5200</v>
      </c>
      <c r="U736" s="284" t="s">
        <v>3864</v>
      </c>
      <c r="AA736"/>
      <c r="AB736"/>
      <c r="AC736" s="274"/>
      <c r="AD736" s="40"/>
    </row>
    <row r="737" spans="16:30" ht="10.5" customHeight="1">
      <c r="P737" s="96"/>
      <c r="Q737" s="96"/>
      <c r="R737" s="96"/>
      <c r="S737" s="96"/>
      <c r="T737" s="284" t="s">
        <v>180</v>
      </c>
      <c r="U737" s="284" t="s">
        <v>96</v>
      </c>
      <c r="AA737"/>
      <c r="AB737"/>
      <c r="AC737" s="274"/>
      <c r="AD737" s="40"/>
    </row>
    <row r="738" spans="16:30" ht="10.5" customHeight="1">
      <c r="P738" s="96"/>
      <c r="Q738" s="96"/>
      <c r="R738" s="96"/>
      <c r="S738" s="96"/>
      <c r="T738" s="284" t="s">
        <v>5201</v>
      </c>
      <c r="U738" s="284" t="s">
        <v>4357</v>
      </c>
      <c r="AA738"/>
      <c r="AB738"/>
      <c r="AC738" s="274"/>
      <c r="AD738" s="40"/>
    </row>
    <row r="739" spans="16:30" ht="10.5" customHeight="1">
      <c r="P739" s="96"/>
      <c r="Q739" s="96"/>
      <c r="R739" s="96"/>
      <c r="S739" s="96"/>
      <c r="T739" s="284" t="s">
        <v>5202</v>
      </c>
      <c r="U739" s="284" t="s">
        <v>116</v>
      </c>
      <c r="AA739"/>
      <c r="AB739"/>
      <c r="AC739" s="274"/>
      <c r="AD739" s="40"/>
    </row>
    <row r="740" spans="16:30" ht="10.5" customHeight="1">
      <c r="P740" s="96"/>
      <c r="Q740" s="96"/>
      <c r="R740" s="96"/>
      <c r="S740" s="96"/>
      <c r="T740" s="284" t="s">
        <v>5203</v>
      </c>
      <c r="U740" s="284" t="s">
        <v>4001</v>
      </c>
      <c r="AA740"/>
      <c r="AB740"/>
      <c r="AC740" s="274"/>
      <c r="AD740" s="40"/>
    </row>
    <row r="741" spans="16:30" ht="10.5" customHeight="1">
      <c r="P741" s="96"/>
      <c r="Q741" s="96"/>
      <c r="R741" s="96"/>
      <c r="S741" s="96"/>
      <c r="T741" s="284" t="s">
        <v>5204</v>
      </c>
      <c r="U741" s="284" t="s">
        <v>160</v>
      </c>
      <c r="AA741"/>
      <c r="AB741"/>
      <c r="AC741" s="274"/>
      <c r="AD741" s="40"/>
    </row>
    <row r="742" spans="16:30" ht="10.5" customHeight="1">
      <c r="P742" s="96"/>
      <c r="Q742" s="96"/>
      <c r="R742" s="96"/>
      <c r="S742" s="96"/>
      <c r="T742" s="284" t="s">
        <v>5205</v>
      </c>
      <c r="U742" s="284" t="s">
        <v>138</v>
      </c>
      <c r="AA742"/>
      <c r="AB742"/>
      <c r="AC742" s="274"/>
      <c r="AD742" s="40"/>
    </row>
    <row r="743" spans="16:30" ht="10.5" customHeight="1">
      <c r="P743" s="96"/>
      <c r="Q743" s="96"/>
      <c r="R743" s="96"/>
      <c r="S743" s="96"/>
      <c r="T743" s="284" t="s">
        <v>5206</v>
      </c>
      <c r="U743" s="284" t="s">
        <v>4019</v>
      </c>
      <c r="AA743"/>
      <c r="AB743"/>
      <c r="AC743" s="274"/>
      <c r="AD743" s="40"/>
    </row>
    <row r="744" spans="16:30" ht="10.5" customHeight="1">
      <c r="P744" s="96"/>
      <c r="Q744" s="96"/>
      <c r="R744" s="96"/>
      <c r="S744" s="96"/>
      <c r="T744" s="284" t="s">
        <v>5207</v>
      </c>
      <c r="U744" s="284" t="s">
        <v>3962</v>
      </c>
      <c r="AA744"/>
      <c r="AB744"/>
      <c r="AC744" s="274"/>
      <c r="AD744" s="40"/>
    </row>
    <row r="745" spans="16:30" ht="10.5" customHeight="1">
      <c r="P745" s="96"/>
      <c r="Q745" s="96"/>
      <c r="R745" s="96"/>
      <c r="S745" s="96"/>
      <c r="T745" s="284" t="s">
        <v>2215</v>
      </c>
      <c r="U745" s="284" t="s">
        <v>154</v>
      </c>
      <c r="AA745"/>
      <c r="AB745"/>
      <c r="AC745" s="274"/>
      <c r="AD745" s="40"/>
    </row>
    <row r="746" spans="16:30" ht="10.5" customHeight="1">
      <c r="P746" s="96"/>
      <c r="Q746" s="96"/>
      <c r="R746" s="96"/>
      <c r="S746" s="96"/>
      <c r="T746" s="284" t="s">
        <v>5208</v>
      </c>
      <c r="U746" s="284" t="s">
        <v>4072</v>
      </c>
      <c r="AA746"/>
      <c r="AB746"/>
      <c r="AC746" s="274"/>
      <c r="AD746" s="40"/>
    </row>
    <row r="747" spans="16:30" ht="10.5" customHeight="1">
      <c r="P747" s="96"/>
      <c r="Q747" s="96"/>
      <c r="R747" s="96"/>
      <c r="S747" s="96"/>
      <c r="T747" s="284" t="s">
        <v>181</v>
      </c>
      <c r="U747" s="284" t="s">
        <v>160</v>
      </c>
      <c r="AA747"/>
      <c r="AB747"/>
      <c r="AC747" s="274"/>
      <c r="AD747" s="40"/>
    </row>
    <row r="748" spans="16:30" ht="10.5" customHeight="1">
      <c r="P748" s="96"/>
      <c r="Q748" s="96"/>
      <c r="R748" s="96"/>
      <c r="S748" s="96"/>
      <c r="T748" s="284" t="s">
        <v>5209</v>
      </c>
      <c r="U748" s="284" t="s">
        <v>150</v>
      </c>
      <c r="AA748"/>
      <c r="AB748"/>
      <c r="AC748" s="274"/>
      <c r="AD748" s="40"/>
    </row>
    <row r="749" spans="16:30" ht="10.5" customHeight="1">
      <c r="P749" s="96"/>
      <c r="Q749" s="96"/>
      <c r="R749" s="96"/>
      <c r="S749" s="96"/>
      <c r="T749" s="284" t="s">
        <v>2216</v>
      </c>
      <c r="U749" s="284" t="s">
        <v>152</v>
      </c>
      <c r="AA749"/>
      <c r="AB749"/>
      <c r="AC749" s="274"/>
      <c r="AD749" s="40"/>
    </row>
    <row r="750" spans="16:30" ht="10.5" customHeight="1">
      <c r="P750" s="96"/>
      <c r="Q750" s="96"/>
      <c r="R750" s="96"/>
      <c r="S750" s="96"/>
      <c r="T750" s="146" t="s">
        <v>5210</v>
      </c>
      <c r="U750" s="146" t="s">
        <v>4357</v>
      </c>
      <c r="AA750"/>
      <c r="AB750"/>
      <c r="AC750" s="40"/>
      <c r="AD750" s="40"/>
    </row>
    <row r="751" spans="16:30" ht="10.5" customHeight="1">
      <c r="P751" s="96"/>
      <c r="Q751" s="96"/>
      <c r="R751" s="96"/>
      <c r="S751" s="96"/>
      <c r="T751" s="284" t="s">
        <v>5211</v>
      </c>
      <c r="U751" s="284" t="s">
        <v>138</v>
      </c>
      <c r="AA751"/>
      <c r="AB751"/>
      <c r="AC751" s="274"/>
      <c r="AD751" s="40"/>
    </row>
    <row r="752" spans="16:30" ht="10.5" customHeight="1">
      <c r="P752" s="96"/>
      <c r="Q752" s="96"/>
      <c r="R752" s="96"/>
      <c r="S752" s="96"/>
      <c r="T752" s="284" t="s">
        <v>5212</v>
      </c>
      <c r="U752" s="284" t="s">
        <v>4410</v>
      </c>
      <c r="AA752"/>
      <c r="AB752"/>
      <c r="AC752" s="274"/>
      <c r="AD752" s="40"/>
    </row>
    <row r="753" spans="16:30" ht="10.5" customHeight="1">
      <c r="P753" s="96"/>
      <c r="Q753" s="96"/>
      <c r="R753" s="96"/>
      <c r="S753" s="96"/>
      <c r="T753" s="284" t="s">
        <v>5213</v>
      </c>
      <c r="U753" s="284" t="s">
        <v>3807</v>
      </c>
      <c r="AA753"/>
      <c r="AB753"/>
      <c r="AC753" s="274"/>
      <c r="AD753" s="40"/>
    </row>
    <row r="754" spans="16:30" ht="10.5" customHeight="1">
      <c r="P754" s="96"/>
      <c r="Q754" s="96"/>
      <c r="R754" s="96"/>
      <c r="S754" s="96"/>
      <c r="T754" s="146" t="s">
        <v>2217</v>
      </c>
      <c r="U754" s="146" t="s">
        <v>3962</v>
      </c>
      <c r="AA754"/>
      <c r="AB754"/>
      <c r="AC754" s="40"/>
      <c r="AD754" s="40"/>
    </row>
    <row r="755" spans="16:30" ht="10.5" customHeight="1">
      <c r="P755" s="96"/>
      <c r="Q755" s="96"/>
      <c r="R755" s="96"/>
      <c r="S755" s="96"/>
      <c r="T755" s="284" t="s">
        <v>5214</v>
      </c>
      <c r="U755" s="284" t="s">
        <v>3836</v>
      </c>
      <c r="AA755"/>
      <c r="AB755"/>
      <c r="AC755" s="274"/>
      <c r="AD755" s="40"/>
    </row>
    <row r="756" spans="16:30" ht="10.5" customHeight="1">
      <c r="P756" s="96"/>
      <c r="Q756" s="96"/>
      <c r="R756" s="96"/>
      <c r="S756" s="96"/>
      <c r="T756" s="284" t="s">
        <v>182</v>
      </c>
      <c r="U756" s="284" t="s">
        <v>121</v>
      </c>
      <c r="AA756"/>
      <c r="AB756"/>
      <c r="AC756" s="274"/>
      <c r="AD756" s="40"/>
    </row>
    <row r="757" spans="16:30" ht="10.5" customHeight="1">
      <c r="P757" s="96"/>
      <c r="Q757" s="96"/>
      <c r="R757" s="96"/>
      <c r="S757" s="96"/>
      <c r="T757" s="284" t="s">
        <v>5215</v>
      </c>
      <c r="U757" s="284" t="s">
        <v>4100</v>
      </c>
      <c r="AA757"/>
      <c r="AB757"/>
      <c r="AC757" s="274"/>
      <c r="AD757" s="40"/>
    </row>
    <row r="758" spans="16:30" ht="10.5" customHeight="1">
      <c r="P758" s="96"/>
      <c r="Q758" s="96"/>
      <c r="R758" s="96"/>
      <c r="S758" s="96"/>
      <c r="T758" s="284" t="s">
        <v>5216</v>
      </c>
      <c r="U758" s="284" t="s">
        <v>3915</v>
      </c>
      <c r="AA758"/>
      <c r="AB758"/>
      <c r="AC758" s="274"/>
      <c r="AD758" s="40"/>
    </row>
    <row r="759" spans="16:30" ht="10.5" customHeight="1">
      <c r="P759" s="96"/>
      <c r="Q759" s="96"/>
      <c r="R759" s="96"/>
      <c r="S759" s="96"/>
      <c r="T759" s="284" t="s">
        <v>5217</v>
      </c>
      <c r="U759" s="284" t="s">
        <v>3871</v>
      </c>
      <c r="AA759"/>
      <c r="AB759"/>
      <c r="AC759" s="274"/>
      <c r="AD759" s="40"/>
    </row>
    <row r="760" spans="16:30" ht="10.5" customHeight="1">
      <c r="P760" s="96"/>
      <c r="Q760" s="96"/>
      <c r="R760" s="96"/>
      <c r="S760" s="96"/>
      <c r="T760" s="284" t="s">
        <v>5218</v>
      </c>
      <c r="U760" s="284" t="s">
        <v>3992</v>
      </c>
      <c r="AA760"/>
      <c r="AB760"/>
      <c r="AC760" s="274"/>
      <c r="AD760" s="40"/>
    </row>
    <row r="761" spans="16:30" ht="10.5" customHeight="1">
      <c r="P761" s="96"/>
      <c r="Q761" s="96"/>
      <c r="R761" s="96"/>
      <c r="S761" s="96"/>
      <c r="T761" s="284" t="s">
        <v>5219</v>
      </c>
      <c r="U761" s="284" t="s">
        <v>124</v>
      </c>
      <c r="AA761"/>
      <c r="AB761"/>
      <c r="AC761" s="274"/>
      <c r="AD761" s="40"/>
    </row>
    <row r="762" spans="16:30" ht="10.5" customHeight="1">
      <c r="P762" s="96"/>
      <c r="Q762" s="96"/>
      <c r="R762" s="96"/>
      <c r="S762" s="96"/>
      <c r="T762" s="284" t="s">
        <v>5220</v>
      </c>
      <c r="U762" s="284" t="s">
        <v>4243</v>
      </c>
      <c r="AA762"/>
      <c r="AB762"/>
      <c r="AC762" s="274"/>
      <c r="AD762" s="40"/>
    </row>
    <row r="763" spans="16:30" ht="10.5" customHeight="1">
      <c r="P763" s="96"/>
      <c r="Q763" s="96"/>
      <c r="R763" s="96"/>
      <c r="S763" s="96"/>
      <c r="T763" s="284" t="s">
        <v>2218</v>
      </c>
      <c r="U763" s="284" t="s">
        <v>169</v>
      </c>
      <c r="AA763"/>
      <c r="AB763"/>
      <c r="AC763" s="274"/>
      <c r="AD763" s="40"/>
    </row>
    <row r="764" spans="16:30" ht="10.5" customHeight="1">
      <c r="P764" s="96"/>
      <c r="Q764" s="96"/>
      <c r="R764" s="96"/>
      <c r="S764" s="96"/>
      <c r="T764" s="284" t="s">
        <v>2219</v>
      </c>
      <c r="U764" s="284" t="s">
        <v>4203</v>
      </c>
      <c r="AA764"/>
      <c r="AB764"/>
      <c r="AC764" s="274"/>
      <c r="AD764" s="40"/>
    </row>
    <row r="765" spans="16:30" ht="10.5" customHeight="1">
      <c r="P765" s="96"/>
      <c r="Q765" s="96"/>
      <c r="R765" s="96"/>
      <c r="S765" s="96"/>
      <c r="T765" s="284" t="s">
        <v>5221</v>
      </c>
      <c r="U765" s="284" t="s">
        <v>4495</v>
      </c>
      <c r="AA765"/>
      <c r="AB765"/>
      <c r="AC765" s="274"/>
      <c r="AD765" s="40"/>
    </row>
    <row r="766" spans="16:30" ht="10.5" customHeight="1">
      <c r="P766" s="96"/>
      <c r="Q766" s="96"/>
      <c r="R766" s="96"/>
      <c r="S766" s="96"/>
      <c r="T766" s="284" t="s">
        <v>2220</v>
      </c>
      <c r="U766" s="284" t="s">
        <v>4486</v>
      </c>
      <c r="AA766"/>
      <c r="AB766"/>
      <c r="AC766" s="274"/>
      <c r="AD766" s="40"/>
    </row>
    <row r="767" spans="16:30" ht="10.5" customHeight="1">
      <c r="P767" s="96"/>
      <c r="Q767" s="96"/>
      <c r="R767" s="96"/>
      <c r="S767" s="96"/>
      <c r="T767" s="284" t="s">
        <v>5222</v>
      </c>
      <c r="U767" s="284" t="s">
        <v>4006</v>
      </c>
      <c r="AA767"/>
      <c r="AB767"/>
      <c r="AC767" s="274"/>
      <c r="AD767" s="40"/>
    </row>
    <row r="768" spans="16:30" ht="10.5" customHeight="1">
      <c r="P768" s="96"/>
      <c r="Q768" s="96"/>
      <c r="R768" s="96"/>
      <c r="S768" s="96"/>
      <c r="T768" s="146" t="s">
        <v>5223</v>
      </c>
      <c r="U768" s="146" t="s">
        <v>4106</v>
      </c>
      <c r="AA768"/>
      <c r="AB768"/>
      <c r="AC768" s="40"/>
      <c r="AD768" s="40"/>
    </row>
    <row r="769" spans="16:30" ht="10.5" customHeight="1">
      <c r="P769" s="96"/>
      <c r="Q769" s="96"/>
      <c r="R769" s="96"/>
      <c r="S769" s="96"/>
      <c r="T769" s="284" t="s">
        <v>5224</v>
      </c>
      <c r="U769" s="284" t="s">
        <v>109</v>
      </c>
      <c r="AA769"/>
      <c r="AB769"/>
      <c r="AC769" s="274"/>
      <c r="AD769" s="40"/>
    </row>
    <row r="770" spans="16:30" ht="13.5">
      <c r="P770" s="96"/>
      <c r="Q770" s="96"/>
      <c r="R770" s="96"/>
      <c r="S770" s="96"/>
      <c r="T770" s="284" t="s">
        <v>2221</v>
      </c>
      <c r="U770" s="146" t="s">
        <v>3807</v>
      </c>
      <c r="AA770"/>
      <c r="AB770"/>
      <c r="AC770" s="274"/>
      <c r="AD770" s="40"/>
    </row>
    <row r="771" spans="16:30" ht="13.5">
      <c r="P771" s="96"/>
      <c r="Q771" s="96"/>
      <c r="R771" s="96"/>
      <c r="S771" s="96"/>
      <c r="T771" s="146" t="s">
        <v>5225</v>
      </c>
      <c r="U771" s="146" t="s">
        <v>4423</v>
      </c>
      <c r="AA771"/>
      <c r="AB771"/>
      <c r="AC771" s="40"/>
      <c r="AD771" s="40"/>
    </row>
    <row r="772" spans="16:30" ht="13.5">
      <c r="P772" s="96"/>
      <c r="Q772" s="96"/>
      <c r="R772" s="96"/>
      <c r="S772" s="96"/>
      <c r="T772" s="146" t="s">
        <v>5226</v>
      </c>
      <c r="U772" s="146" t="s">
        <v>4466</v>
      </c>
      <c r="AA772"/>
      <c r="AB772"/>
      <c r="AC772" s="40"/>
      <c r="AD772" s="40"/>
    </row>
    <row r="773" spans="16:30" ht="13.5">
      <c r="P773" s="96"/>
      <c r="Q773" s="96"/>
      <c r="R773" s="96"/>
      <c r="S773" s="96"/>
      <c r="T773" s="146" t="s">
        <v>5227</v>
      </c>
      <c r="U773" s="146" t="s">
        <v>4065</v>
      </c>
      <c r="AA773"/>
      <c r="AB773"/>
      <c r="AC773" s="40"/>
      <c r="AD773" s="40"/>
    </row>
    <row r="774" spans="16:30" ht="13.5">
      <c r="P774" s="96"/>
      <c r="Q774" s="96"/>
      <c r="R774" s="96"/>
      <c r="S774" s="96"/>
      <c r="T774" s="146" t="s">
        <v>4340</v>
      </c>
      <c r="U774" s="146" t="s">
        <v>3733</v>
      </c>
      <c r="AA774"/>
      <c r="AB774"/>
      <c r="AC774" s="40"/>
      <c r="AD774" s="40"/>
    </row>
    <row r="775" spans="16:30" ht="13.5">
      <c r="P775" s="96"/>
      <c r="Q775" s="96"/>
      <c r="R775" s="96"/>
      <c r="S775" s="96"/>
      <c r="T775" s="146" t="s">
        <v>5228</v>
      </c>
      <c r="U775" s="146" t="s">
        <v>4072</v>
      </c>
      <c r="AA775"/>
      <c r="AB775"/>
      <c r="AC775" s="40"/>
      <c r="AD775" s="40"/>
    </row>
    <row r="776" spans="16:30" ht="13.5">
      <c r="P776" s="96"/>
      <c r="Q776" s="96"/>
      <c r="R776" s="96"/>
      <c r="S776" s="96"/>
      <c r="T776" s="146" t="s">
        <v>183</v>
      </c>
      <c r="U776" s="146" t="s">
        <v>138</v>
      </c>
      <c r="AA776"/>
      <c r="AB776"/>
      <c r="AC776" s="40"/>
      <c r="AD776" s="40"/>
    </row>
    <row r="777" spans="16:30" ht="13.5">
      <c r="P777" s="96"/>
      <c r="Q777" s="96"/>
      <c r="R777" s="96"/>
      <c r="S777" s="96"/>
      <c r="T777" s="146" t="s">
        <v>5229</v>
      </c>
      <c r="U777" s="146" t="s">
        <v>3836</v>
      </c>
      <c r="AA777"/>
      <c r="AB777"/>
      <c r="AC777" s="40"/>
      <c r="AD777" s="40"/>
    </row>
    <row r="778" spans="16:30" ht="13.5">
      <c r="P778" s="96"/>
      <c r="Q778" s="96"/>
      <c r="R778" s="96"/>
      <c r="S778" s="96"/>
      <c r="T778" s="146" t="s">
        <v>5230</v>
      </c>
      <c r="U778" s="146" t="s">
        <v>3713</v>
      </c>
      <c r="AA778"/>
      <c r="AB778"/>
      <c r="AC778" s="40"/>
      <c r="AD778" s="40"/>
    </row>
    <row r="779" spans="16:30" ht="13.5">
      <c r="P779" s="96"/>
      <c r="Q779" s="96"/>
      <c r="R779" s="96"/>
      <c r="S779" s="96"/>
      <c r="T779" s="146" t="s">
        <v>5231</v>
      </c>
      <c r="U779" s="146" t="s">
        <v>133</v>
      </c>
      <c r="AA779"/>
      <c r="AB779"/>
      <c r="AC779" s="40"/>
      <c r="AD779" s="40"/>
    </row>
    <row r="780" spans="16:30" ht="13.5">
      <c r="P780" s="96"/>
      <c r="Q780" s="96"/>
      <c r="R780" s="96"/>
      <c r="S780" s="96"/>
      <c r="T780" s="146" t="s">
        <v>184</v>
      </c>
      <c r="U780" s="146" t="s">
        <v>138</v>
      </c>
      <c r="AA780"/>
      <c r="AB780"/>
      <c r="AC780" s="40"/>
      <c r="AD780" s="40"/>
    </row>
    <row r="781" spans="16:30" ht="13.5">
      <c r="P781" s="96"/>
      <c r="Q781" s="96"/>
      <c r="R781" s="96"/>
      <c r="S781" s="96"/>
      <c r="T781" s="146" t="s">
        <v>2222</v>
      </c>
      <c r="U781" s="146" t="s">
        <v>171</v>
      </c>
      <c r="AA781"/>
      <c r="AB781"/>
      <c r="AC781" s="40"/>
      <c r="AD781" s="40"/>
    </row>
    <row r="782" spans="16:30" ht="13.5">
      <c r="P782" s="96"/>
      <c r="Q782" s="96"/>
      <c r="R782" s="96"/>
      <c r="S782" s="96"/>
      <c r="T782" s="146" t="s">
        <v>5232</v>
      </c>
      <c r="U782" s="146" t="s">
        <v>3876</v>
      </c>
      <c r="AA782"/>
      <c r="AB782"/>
      <c r="AC782" s="40"/>
      <c r="AD782" s="40"/>
    </row>
    <row r="783" spans="16:30" ht="13.5">
      <c r="P783" s="96"/>
      <c r="Q783" s="96"/>
      <c r="R783" s="96"/>
      <c r="S783" s="96"/>
      <c r="T783" s="146" t="s">
        <v>5233</v>
      </c>
      <c r="U783" s="146" t="s">
        <v>140</v>
      </c>
      <c r="AA783"/>
      <c r="AB783"/>
      <c r="AC783" s="40"/>
      <c r="AD783" s="40"/>
    </row>
    <row r="784" spans="16:30" ht="13.5">
      <c r="P784" s="96"/>
      <c r="Q784" s="96"/>
      <c r="R784" s="96"/>
      <c r="S784" s="96"/>
      <c r="T784" s="146" t="s">
        <v>5234</v>
      </c>
      <c r="U784" s="146" t="s">
        <v>4243</v>
      </c>
      <c r="AA784"/>
      <c r="AB784"/>
      <c r="AC784" s="40"/>
      <c r="AD784" s="40"/>
    </row>
    <row r="785" spans="16:30" ht="13.5">
      <c r="P785" s="96"/>
      <c r="Q785" s="96"/>
      <c r="R785" s="96"/>
      <c r="S785" s="96"/>
      <c r="T785" s="146" t="s">
        <v>5235</v>
      </c>
      <c r="U785" s="146" t="s">
        <v>4380</v>
      </c>
      <c r="AA785"/>
      <c r="AB785"/>
      <c r="AC785" s="40"/>
      <c r="AD785" s="40"/>
    </row>
    <row r="786" spans="16:30" ht="13.5">
      <c r="P786" s="96"/>
      <c r="Q786" s="96"/>
      <c r="R786" s="96"/>
      <c r="S786" s="96"/>
      <c r="T786" s="146" t="s">
        <v>5236</v>
      </c>
      <c r="U786" s="146" t="s">
        <v>3871</v>
      </c>
      <c r="AA786"/>
      <c r="AB786"/>
      <c r="AC786" s="40"/>
      <c r="AD786" s="40"/>
    </row>
    <row r="787" spans="16:30" ht="13.5">
      <c r="P787" s="96"/>
      <c r="Q787" s="96"/>
      <c r="R787" s="96"/>
      <c r="S787" s="96"/>
      <c r="T787" s="146" t="s">
        <v>5237</v>
      </c>
      <c r="U787" s="146" t="s">
        <v>4072</v>
      </c>
      <c r="AA787"/>
      <c r="AB787"/>
      <c r="AC787" s="40"/>
      <c r="AD787" s="40"/>
    </row>
    <row r="788" spans="16:30" ht="13.5">
      <c r="P788" s="96"/>
      <c r="Q788" s="96"/>
      <c r="R788" s="96"/>
      <c r="S788" s="96"/>
      <c r="T788" s="146" t="s">
        <v>5238</v>
      </c>
      <c r="U788" s="146" t="s">
        <v>4019</v>
      </c>
      <c r="AA788"/>
      <c r="AB788"/>
      <c r="AC788" s="40"/>
      <c r="AD788" s="40"/>
    </row>
    <row r="789" spans="16:30" ht="13.5">
      <c r="P789" s="96"/>
      <c r="Q789" s="96"/>
      <c r="R789" s="96"/>
      <c r="S789" s="96"/>
      <c r="T789" s="146" t="s">
        <v>5239</v>
      </c>
      <c r="U789" s="146" t="s">
        <v>3915</v>
      </c>
      <c r="AA789"/>
      <c r="AB789"/>
      <c r="AC789" s="40"/>
      <c r="AD789" s="40"/>
    </row>
    <row r="790" spans="16:30" ht="13.5">
      <c r="P790" s="96"/>
      <c r="Q790" s="96"/>
      <c r="R790" s="96"/>
      <c r="S790" s="96"/>
      <c r="T790" s="146" t="s">
        <v>5240</v>
      </c>
      <c r="U790" s="146" t="s">
        <v>3749</v>
      </c>
      <c r="AA790"/>
      <c r="AB790"/>
      <c r="AC790" s="40"/>
      <c r="AD790" s="40"/>
    </row>
    <row r="791" spans="16:30" ht="13.5">
      <c r="P791" s="96"/>
      <c r="Q791" s="96"/>
      <c r="R791" s="96"/>
      <c r="S791" s="96"/>
      <c r="T791" s="146" t="s">
        <v>5241</v>
      </c>
      <c r="U791" s="146" t="s">
        <v>131</v>
      </c>
      <c r="AA791"/>
      <c r="AB791"/>
      <c r="AC791" s="40"/>
      <c r="AD791" s="40"/>
    </row>
    <row r="792" spans="16:30" ht="13.5">
      <c r="P792" s="96"/>
      <c r="Q792" s="96"/>
      <c r="R792" s="96"/>
      <c r="S792" s="96"/>
      <c r="T792" s="146" t="s">
        <v>5242</v>
      </c>
      <c r="U792" s="146" t="s">
        <v>4340</v>
      </c>
      <c r="AA792"/>
      <c r="AB792"/>
      <c r="AC792" s="40"/>
      <c r="AD792" s="40"/>
    </row>
    <row r="793" spans="16:30" ht="13.5">
      <c r="P793" s="96"/>
      <c r="Q793" s="96"/>
      <c r="R793" s="96"/>
      <c r="S793" s="96"/>
      <c r="T793" s="146" t="s">
        <v>5243</v>
      </c>
      <c r="U793" s="146" t="s">
        <v>129</v>
      </c>
      <c r="AA793"/>
      <c r="AB793"/>
      <c r="AC793" s="40"/>
      <c r="AD793" s="40"/>
    </row>
    <row r="794" spans="16:30" ht="13.5">
      <c r="P794" s="96"/>
      <c r="Q794" s="96"/>
      <c r="R794" s="96"/>
      <c r="S794" s="96"/>
      <c r="T794" s="146" t="s">
        <v>5244</v>
      </c>
      <c r="U794" s="146" t="s">
        <v>133</v>
      </c>
      <c r="AA794"/>
      <c r="AB794"/>
      <c r="AC794" s="40"/>
      <c r="AD794" s="40"/>
    </row>
    <row r="795" spans="16:30" ht="13.5">
      <c r="P795" s="96"/>
      <c r="Q795" s="96"/>
      <c r="R795" s="96"/>
      <c r="S795" s="96"/>
      <c r="T795" s="146"/>
      <c r="U795" s="146"/>
      <c r="AA795"/>
      <c r="AB795"/>
      <c r="AC795" s="40"/>
      <c r="AD795" s="40"/>
    </row>
    <row r="796" spans="16:30" ht="13.5">
      <c r="P796" s="96"/>
      <c r="Q796" s="96"/>
      <c r="R796" s="96"/>
      <c r="S796" s="96"/>
      <c r="T796" s="146"/>
      <c r="U796" s="146"/>
      <c r="AA796"/>
      <c r="AB796"/>
      <c r="AC796" s="40"/>
      <c r="AD796" s="40"/>
    </row>
    <row r="797" spans="16:30" ht="13.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w0IiACLV7lFB/U+iJHDc3eHN7oE8sgxXtDfj7fDOC+Ry+ZRcB+Kh5EfVAtnf63rRPA7tEpzedL8VisJLTpqTCA==" saltValue="UhO/X1mM+tLIsmqEA0no7A==" spinCount="100000" sheet="1" objects="1" scenarios="1"/>
  <mergeCells count="78">
    <mergeCell ref="A150:B153"/>
    <mergeCell ref="D150:D152"/>
    <mergeCell ref="H152:H153"/>
    <mergeCell ref="C162:C164"/>
    <mergeCell ref="J136:K136"/>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S125:T125"/>
    <mergeCell ref="Q126:R126"/>
    <mergeCell ref="S126:T126"/>
    <mergeCell ref="Q128:R128"/>
    <mergeCell ref="Q129:R129"/>
    <mergeCell ref="Q118:R118"/>
    <mergeCell ref="Q93:R93"/>
    <mergeCell ref="Q94:R94"/>
    <mergeCell ref="Q95:R95"/>
    <mergeCell ref="Q96:R96"/>
    <mergeCell ref="Q97:R97"/>
    <mergeCell ref="Q98:R98"/>
    <mergeCell ref="Q99:R99"/>
    <mergeCell ref="Q105:R105"/>
    <mergeCell ref="Q113:R113"/>
    <mergeCell ref="Q114:R114"/>
    <mergeCell ref="Q117:R117"/>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5" workbookViewId="0">
      <selection activeCell="G34" sqref="G34"/>
    </sheetView>
  </sheetViews>
  <sheetFormatPr defaultColWidth="9.28515625" defaultRowHeight="13.5"/>
  <cols>
    <col min="1" max="1" width="4.28515625" style="93" customWidth="1"/>
    <col min="2" max="17" width="8.28515625" style="93" customWidth="1"/>
    <col min="18" max="18" width="3.28515625" style="93" customWidth="1"/>
    <col min="19" max="19" width="13.5703125" style="93" customWidth="1"/>
    <col min="20" max="20" width="98.7109375" style="93" customWidth="1"/>
    <col min="21" max="24" width="9.28515625" style="93"/>
    <col min="25" max="25" width="16.5703125" style="2074" bestFit="1" customWidth="1"/>
    <col min="26" max="26" width="9.28515625" style="1313"/>
    <col min="27" max="51" width="9.28515625" style="93"/>
    <col min="52" max="52" width="9.28515625" style="1249"/>
    <col min="53" max="16384" width="9.28515625" style="93"/>
  </cols>
  <sheetData>
    <row r="1" spans="1:52" s="1313" customFormat="1" ht="12" hidden="1" customHeight="1">
      <c r="A1" s="1312"/>
      <c r="B1" s="1312" t="s">
        <v>3</v>
      </c>
      <c r="C1" s="1312"/>
      <c r="D1" s="1312"/>
      <c r="E1" s="1312" t="s">
        <v>352</v>
      </c>
      <c r="F1" s="1312"/>
      <c r="G1" s="2641"/>
      <c r="H1" s="2641" t="s">
        <v>353</v>
      </c>
      <c r="I1" s="2641" t="s">
        <v>354</v>
      </c>
      <c r="J1" s="2641"/>
      <c r="K1" s="2641" t="s">
        <v>355</v>
      </c>
      <c r="L1" s="2641" t="s">
        <v>356</v>
      </c>
      <c r="M1" s="1313" t="s">
        <v>357</v>
      </c>
      <c r="N1" s="1313" t="s">
        <v>358</v>
      </c>
      <c r="P1" s="1313" t="s">
        <v>359</v>
      </c>
      <c r="Y1" s="2074"/>
      <c r="Z1" s="1279">
        <v>1</v>
      </c>
    </row>
    <row r="2" spans="1:52" s="135" customFormat="1" ht="14.1" customHeight="1">
      <c r="A2" s="2985" t="str">
        <f>CONCATENATE("PART TWO - SOURCES OF FUNDS (Proposed)","  -  ",'Part I-Project Identification'!$O$7," ",'Part I-Project Identification'!$F$26,", ",'Part I-Project Identification'!$F$27,", ",'Part I-Project Identification'!$J$27," County")</f>
        <v>PART TWO - SOURCES OF FUNDS (Proposed)  -  2024-0 Finley Place, Austell, Cobb County</v>
      </c>
      <c r="B2" s="2986"/>
      <c r="C2" s="2986"/>
      <c r="D2" s="2986"/>
      <c r="E2" s="2986"/>
      <c r="F2" s="2986"/>
      <c r="G2" s="2986"/>
      <c r="H2" s="2986"/>
      <c r="I2" s="2986"/>
      <c r="J2" s="2986"/>
      <c r="K2" s="2986"/>
      <c r="L2" s="2986"/>
      <c r="M2" s="2986"/>
      <c r="N2" s="2986"/>
      <c r="O2" s="2986"/>
      <c r="P2" s="2986"/>
      <c r="Q2" s="2987"/>
      <c r="S2" s="3017" t="str">
        <f>$A$2</f>
        <v>PART TWO - SOURCES OF FUNDS (Proposed)  -  2024-0 Finley Place, Austell, Cobb County</v>
      </c>
      <c r="T2" s="3017"/>
      <c r="Y2" s="2075"/>
      <c r="Z2" s="1279">
        <v>2</v>
      </c>
      <c r="AZ2" s="1250"/>
    </row>
    <row r="3" spans="1:52" ht="17.649999999999999" customHeight="1">
      <c r="A3" s="96"/>
      <c r="B3" s="96"/>
      <c r="C3" s="96"/>
      <c r="D3" s="96"/>
      <c r="E3" s="96"/>
      <c r="F3" s="96"/>
      <c r="G3" s="2642"/>
      <c r="H3" s="2642"/>
      <c r="I3" s="2642"/>
      <c r="J3" s="2642"/>
      <c r="K3" s="2642"/>
      <c r="L3" s="2642"/>
      <c r="Y3" s="2075"/>
      <c r="Z3" s="1279">
        <v>3</v>
      </c>
      <c r="AZ3" s="1250"/>
    </row>
    <row r="4" spans="1:52" s="135" customFormat="1" ht="13.35" customHeight="1">
      <c r="A4" s="151" t="s">
        <v>21</v>
      </c>
      <c r="B4" s="151" t="s">
        <v>360</v>
      </c>
      <c r="C4" s="2512"/>
      <c r="D4" s="2512"/>
      <c r="E4" s="2512"/>
      <c r="F4" s="2512"/>
      <c r="G4" s="2512"/>
      <c r="L4" s="3018" t="str">
        <f>'Part I-Project Identification'!$A$6</f>
        <v>2024 May 7</v>
      </c>
      <c r="M4" s="3019"/>
      <c r="N4" s="3019"/>
      <c r="O4" s="3019"/>
      <c r="P4" s="3020"/>
      <c r="S4" s="163" t="str">
        <f>B4</f>
        <v>GOVERNMENT FUNDING SOURCES  (check all that apply)</v>
      </c>
      <c r="Y4" s="2075"/>
      <c r="Z4" s="1279">
        <v>4</v>
      </c>
      <c r="AZ4" s="1250"/>
    </row>
    <row r="5" spans="1:52" s="135" customFormat="1" ht="15.75" customHeight="1">
      <c r="A5" s="159"/>
      <c r="B5" s="269"/>
      <c r="C5" s="159"/>
      <c r="D5" s="2512"/>
      <c r="E5" s="2512"/>
      <c r="F5" s="2512"/>
      <c r="G5" s="2512"/>
      <c r="S5" s="3021" t="s">
        <v>361</v>
      </c>
      <c r="T5" s="3021"/>
      <c r="Y5" s="2075"/>
      <c r="Z5" s="1279">
        <v>5</v>
      </c>
      <c r="AZ5" s="1250"/>
    </row>
    <row r="6" spans="1:52" s="135" customFormat="1" ht="16.5" customHeight="1">
      <c r="A6" s="269"/>
      <c r="B6" s="2645" t="s">
        <v>362</v>
      </c>
      <c r="C6" s="136" t="s">
        <v>363</v>
      </c>
      <c r="D6" s="2512"/>
      <c r="E6" s="2645" t="s">
        <v>56</v>
      </c>
      <c r="F6" s="136" t="s">
        <v>364</v>
      </c>
      <c r="G6" s="2512"/>
      <c r="I6" s="3022"/>
      <c r="J6" s="3023"/>
      <c r="L6" s="2645" t="s">
        <v>56</v>
      </c>
      <c r="M6" s="136" t="s">
        <v>365</v>
      </c>
      <c r="Q6" s="1200"/>
      <c r="S6" s="3002"/>
      <c r="T6" s="3003"/>
      <c r="Y6" s="2075"/>
      <c r="Z6" s="1279">
        <v>6</v>
      </c>
      <c r="AZ6" s="1250"/>
    </row>
    <row r="7" spans="1:52" s="135" customFormat="1" ht="16.5" customHeight="1">
      <c r="A7" s="269"/>
      <c r="B7" s="2517" t="s">
        <v>56</v>
      </c>
      <c r="C7" s="136" t="s">
        <v>366</v>
      </c>
      <c r="D7" s="2512"/>
      <c r="E7" s="2515" t="s">
        <v>56</v>
      </c>
      <c r="F7" s="136" t="s">
        <v>367</v>
      </c>
      <c r="I7" s="3024"/>
      <c r="J7" s="3025"/>
      <c r="L7" s="2517" t="s">
        <v>56</v>
      </c>
      <c r="M7" s="136" t="s">
        <v>368</v>
      </c>
      <c r="P7" s="1200"/>
      <c r="Q7" s="1200"/>
      <c r="S7" s="3004"/>
      <c r="T7" s="3005"/>
      <c r="Y7" s="2075"/>
      <c r="Z7" s="1279">
        <v>7</v>
      </c>
      <c r="AZ7" s="1250"/>
    </row>
    <row r="8" spans="1:52" s="135" customFormat="1" ht="16.5" customHeight="1">
      <c r="A8" s="2512"/>
      <c r="B8" s="2517" t="s">
        <v>56</v>
      </c>
      <c r="C8" s="136" t="s">
        <v>369</v>
      </c>
      <c r="F8" s="135" t="s">
        <v>370</v>
      </c>
      <c r="H8" s="3026" t="s">
        <v>371</v>
      </c>
      <c r="I8" s="3027"/>
      <c r="J8" s="3028"/>
      <c r="L8" s="2517" t="s">
        <v>56</v>
      </c>
      <c r="M8" s="136" t="s">
        <v>372</v>
      </c>
      <c r="P8" s="1200"/>
      <c r="Q8" s="1200"/>
      <c r="S8" s="3004"/>
      <c r="T8" s="3005"/>
      <c r="Y8" s="2075"/>
      <c r="Z8" s="1279">
        <v>8</v>
      </c>
      <c r="AZ8" s="1250"/>
    </row>
    <row r="9" spans="1:52" s="135" customFormat="1" ht="16.5" customHeight="1">
      <c r="A9" s="269"/>
      <c r="B9" s="2517" t="s">
        <v>56</v>
      </c>
      <c r="C9" s="135" t="s">
        <v>373</v>
      </c>
      <c r="E9" s="904" t="s">
        <v>56</v>
      </c>
      <c r="F9" s="3029" t="s">
        <v>374</v>
      </c>
      <c r="G9" s="3029"/>
      <c r="H9" s="3008"/>
      <c r="I9" s="3008"/>
      <c r="J9" s="3009"/>
      <c r="L9" s="2517" t="s">
        <v>56</v>
      </c>
      <c r="M9" s="136" t="s">
        <v>375</v>
      </c>
      <c r="Q9" s="1200"/>
      <c r="S9" s="3006"/>
      <c r="T9" s="3007"/>
      <c r="Y9" s="2075"/>
      <c r="Z9" s="1279">
        <v>9</v>
      </c>
      <c r="AZ9" s="1250"/>
    </row>
    <row r="10" spans="1:52" s="135" customFormat="1" ht="16.5" customHeight="1">
      <c r="A10" s="269"/>
      <c r="B10" s="2517" t="s">
        <v>56</v>
      </c>
      <c r="C10" s="136" t="s">
        <v>376</v>
      </c>
      <c r="F10" s="2999" t="s">
        <v>377</v>
      </c>
      <c r="G10" s="3000"/>
      <c r="H10" s="3000"/>
      <c r="I10" s="3000"/>
      <c r="J10" s="3001"/>
      <c r="L10" s="2517" t="s">
        <v>56</v>
      </c>
      <c r="M10" s="136" t="s">
        <v>378</v>
      </c>
      <c r="P10" s="1200"/>
      <c r="Q10" s="1200"/>
      <c r="S10" s="3002"/>
      <c r="T10" s="3003"/>
      <c r="Y10" s="2075"/>
      <c r="Z10" s="1279">
        <v>10</v>
      </c>
      <c r="AZ10" s="1250"/>
    </row>
    <row r="11" spans="1:52" s="135" customFormat="1" ht="16.5" customHeight="1">
      <c r="A11" s="269"/>
      <c r="B11" s="2517" t="s">
        <v>56</v>
      </c>
      <c r="C11" s="136" t="s">
        <v>379</v>
      </c>
      <c r="E11" s="904" t="s">
        <v>56</v>
      </c>
      <c r="F11" s="3008" t="s">
        <v>380</v>
      </c>
      <c r="G11" s="3008"/>
      <c r="H11" s="3008"/>
      <c r="I11" s="3008"/>
      <c r="J11" s="3009"/>
      <c r="L11" s="2517" t="s">
        <v>56</v>
      </c>
      <c r="M11" s="135" t="s">
        <v>381</v>
      </c>
      <c r="S11" s="3004"/>
      <c r="T11" s="3005"/>
      <c r="Y11" s="2075"/>
      <c r="Z11" s="1279">
        <v>11</v>
      </c>
      <c r="AZ11" s="1250"/>
    </row>
    <row r="12" spans="1:52" s="135" customFormat="1" ht="16.5" customHeight="1">
      <c r="A12" s="269"/>
      <c r="B12" s="2517" t="s">
        <v>56</v>
      </c>
      <c r="C12" s="136" t="s">
        <v>382</v>
      </c>
      <c r="F12" s="3010" t="s">
        <v>383</v>
      </c>
      <c r="G12" s="3011"/>
      <c r="H12" s="3012"/>
      <c r="I12" s="3012"/>
      <c r="J12" s="3013"/>
      <c r="L12" s="2517" t="s">
        <v>362</v>
      </c>
      <c r="M12" s="135" t="s">
        <v>384</v>
      </c>
      <c r="S12" s="3004"/>
      <c r="T12" s="3005"/>
      <c r="Y12" s="2075"/>
      <c r="Z12" s="1279">
        <v>12</v>
      </c>
      <c r="AZ12" s="1250"/>
    </row>
    <row r="13" spans="1:52" s="135" customFormat="1" ht="16.5" customHeight="1">
      <c r="A13" s="269"/>
      <c r="B13" s="2517" t="s">
        <v>56</v>
      </c>
      <c r="C13" s="136" t="s">
        <v>385</v>
      </c>
      <c r="E13" s="2645" t="s">
        <v>362</v>
      </c>
      <c r="F13" s="136" t="s">
        <v>386</v>
      </c>
      <c r="H13" s="3010" t="s">
        <v>387</v>
      </c>
      <c r="I13" s="3011"/>
      <c r="J13" s="3014"/>
      <c r="L13" s="2517" t="s">
        <v>56</v>
      </c>
      <c r="M13" s="135" t="s">
        <v>388</v>
      </c>
      <c r="S13" s="3004"/>
      <c r="T13" s="3005"/>
      <c r="Y13" s="2075"/>
      <c r="Z13" s="1279">
        <v>13</v>
      </c>
      <c r="AZ13" s="1250"/>
    </row>
    <row r="14" spans="1:52" s="135" customFormat="1" ht="16.5" customHeight="1">
      <c r="A14" s="269"/>
      <c r="B14" s="2517" t="s">
        <v>56</v>
      </c>
      <c r="C14" s="135" t="s">
        <v>389</v>
      </c>
      <c r="E14" s="2517" t="s">
        <v>56</v>
      </c>
      <c r="F14" s="136" t="s">
        <v>390</v>
      </c>
      <c r="L14" s="2517" t="s">
        <v>56</v>
      </c>
      <c r="M14" s="135" t="s">
        <v>391</v>
      </c>
      <c r="S14" s="3006"/>
      <c r="T14" s="3007"/>
      <c r="Y14" s="2075"/>
      <c r="Z14" s="1279">
        <v>14</v>
      </c>
      <c r="AZ14" s="1250"/>
    </row>
    <row r="15" spans="1:52" s="135" customFormat="1" ht="16.5" customHeight="1">
      <c r="A15" s="269"/>
      <c r="B15" s="2517" t="s">
        <v>56</v>
      </c>
      <c r="C15" s="135" t="s">
        <v>392</v>
      </c>
      <c r="E15" s="2517" t="s">
        <v>56</v>
      </c>
      <c r="F15" s="136" t="s">
        <v>393</v>
      </c>
      <c r="L15" s="2517" t="s">
        <v>56</v>
      </c>
      <c r="M15" s="1201" t="s">
        <v>394</v>
      </c>
      <c r="Y15" s="2075"/>
      <c r="Z15" s="1279">
        <v>15</v>
      </c>
      <c r="AZ15" s="1250"/>
    </row>
    <row r="16" spans="1:52" s="135" customFormat="1" ht="16.5" customHeight="1">
      <c r="A16" s="269"/>
      <c r="B16" s="2515" t="s">
        <v>56</v>
      </c>
      <c r="C16" s="136" t="s">
        <v>395</v>
      </c>
      <c r="E16" s="2515" t="s">
        <v>56</v>
      </c>
      <c r="F16" s="136" t="s">
        <v>396</v>
      </c>
      <c r="I16" s="3015"/>
      <c r="J16" s="3016"/>
      <c r="L16" s="2515" t="s">
        <v>56</v>
      </c>
      <c r="M16" s="1201" t="s">
        <v>397</v>
      </c>
      <c r="Y16" s="2075"/>
      <c r="Z16" s="1279">
        <v>16</v>
      </c>
      <c r="AZ16" s="1250"/>
    </row>
    <row r="17" spans="1:52" s="135" customFormat="1" ht="17.100000000000001" customHeight="1">
      <c r="A17" s="269"/>
      <c r="B17" s="135" t="s">
        <v>398</v>
      </c>
      <c r="C17" s="2512"/>
      <c r="D17" s="2512"/>
      <c r="E17" s="2512"/>
      <c r="F17" s="2512"/>
      <c r="G17" s="2512"/>
      <c r="H17" s="2512"/>
      <c r="I17" s="2512"/>
      <c r="J17" s="2512"/>
      <c r="K17" s="2512"/>
      <c r="L17" s="2512"/>
      <c r="M17" s="93"/>
      <c r="N17" s="2512"/>
      <c r="O17" s="2512"/>
      <c r="P17" s="2512"/>
      <c r="Q17" s="2512"/>
      <c r="Y17" s="2075"/>
      <c r="Z17" s="1279">
        <v>17</v>
      </c>
      <c r="AZ17" s="1250"/>
    </row>
    <row r="18" spans="1:52" s="135" customFormat="1" ht="12" customHeight="1">
      <c r="A18" s="269"/>
      <c r="L18" s="2512"/>
      <c r="M18" s="96"/>
      <c r="N18" s="2512"/>
      <c r="O18" s="2512"/>
      <c r="P18" s="2512"/>
      <c r="Q18" s="2512"/>
      <c r="Y18" s="2076"/>
      <c r="Z18" s="1279">
        <v>18</v>
      </c>
      <c r="AZ18" s="1251"/>
    </row>
    <row r="19" spans="1:52" s="163" customFormat="1" ht="15" customHeight="1">
      <c r="A19" s="151" t="s">
        <v>25</v>
      </c>
      <c r="B19" s="134" t="s">
        <v>399</v>
      </c>
      <c r="C19" s="2512"/>
      <c r="D19" s="2512"/>
      <c r="E19" s="2512"/>
      <c r="F19" s="2512"/>
      <c r="G19" s="2512"/>
      <c r="L19" s="2512"/>
      <c r="M19" s="2512"/>
      <c r="N19" s="3039"/>
      <c r="O19" s="3039"/>
      <c r="P19" s="2512"/>
      <c r="Q19" s="2512"/>
      <c r="S19" s="163" t="str">
        <f>B19</f>
        <v>CONSTRUCTION FINANCING</v>
      </c>
      <c r="Y19" s="2076"/>
      <c r="Z19" s="1279">
        <v>19</v>
      </c>
      <c r="AZ19" s="1251"/>
    </row>
    <row r="20" spans="1:52" s="163" customFormat="1" ht="5.25" customHeight="1">
      <c r="A20" s="151"/>
      <c r="B20" s="134"/>
      <c r="C20" s="2512"/>
      <c r="K20" s="2512"/>
      <c r="L20" s="2512"/>
      <c r="M20" s="2512"/>
      <c r="N20" s="2518"/>
      <c r="O20" s="2518"/>
      <c r="P20" s="2512"/>
      <c r="Q20" s="2512"/>
      <c r="Y20" s="2076"/>
      <c r="Z20" s="1279">
        <v>20</v>
      </c>
      <c r="AZ20" s="1250"/>
    </row>
    <row r="21" spans="1:52" s="135" customFormat="1" ht="17.100000000000001" customHeight="1">
      <c r="A21" s="2512"/>
      <c r="B21" s="2519" t="s">
        <v>400</v>
      </c>
      <c r="C21" s="2512"/>
      <c r="D21" s="2512"/>
      <c r="E21" s="2512"/>
      <c r="F21" s="2512"/>
      <c r="G21" s="2512"/>
      <c r="H21" s="3040" t="s">
        <v>401</v>
      </c>
      <c r="I21" s="3040"/>
      <c r="J21" s="3040"/>
      <c r="K21" s="3040"/>
      <c r="L21" s="3041" t="s">
        <v>402</v>
      </c>
      <c r="M21" s="3041"/>
      <c r="N21" s="3041" t="s">
        <v>403</v>
      </c>
      <c r="O21" s="3041"/>
      <c r="P21" s="3041" t="s">
        <v>404</v>
      </c>
      <c r="Q21" s="3041"/>
      <c r="S21" s="3021" t="s">
        <v>361</v>
      </c>
      <c r="T21" s="3021"/>
      <c r="Y21" s="2075"/>
      <c r="Z21" s="1279">
        <v>21</v>
      </c>
      <c r="AZ21" s="1250" t="s">
        <v>405</v>
      </c>
    </row>
    <row r="22" spans="1:52" s="135" customFormat="1" ht="15.75" customHeight="1">
      <c r="A22" s="2512"/>
      <c r="B22" s="3055" t="s">
        <v>406</v>
      </c>
      <c r="C22" s="3056"/>
      <c r="D22" s="3056"/>
      <c r="E22" s="2643"/>
      <c r="F22" s="2643"/>
      <c r="G22" s="2643"/>
      <c r="H22" s="3057" t="s">
        <v>407</v>
      </c>
      <c r="I22" s="3058"/>
      <c r="J22" s="3058"/>
      <c r="K22" s="3059"/>
      <c r="L22" s="3060">
        <v>13200000</v>
      </c>
      <c r="M22" s="3061"/>
      <c r="N22" s="3062">
        <v>7.2499999999999995E-2</v>
      </c>
      <c r="O22" s="3063"/>
      <c r="P22" s="3064">
        <v>30</v>
      </c>
      <c r="Q22" s="3065"/>
      <c r="S22" s="3002"/>
      <c r="T22" s="3003"/>
      <c r="Y22" s="2075" t="s">
        <v>405</v>
      </c>
      <c r="Z22" s="1279">
        <v>22</v>
      </c>
      <c r="AZ22" s="1250" t="s">
        <v>408</v>
      </c>
    </row>
    <row r="23" spans="1:52" s="135" customFormat="1" ht="15.75" customHeight="1">
      <c r="A23" s="2512"/>
      <c r="B23" s="3030" t="s">
        <v>409</v>
      </c>
      <c r="C23" s="3031"/>
      <c r="D23" s="3031"/>
      <c r="E23" s="2512"/>
      <c r="F23" s="2512"/>
      <c r="G23" s="2512"/>
      <c r="H23" s="3032" t="s">
        <v>410</v>
      </c>
      <c r="I23" s="3033"/>
      <c r="J23" s="3033"/>
      <c r="K23" s="3034"/>
      <c r="L23" s="3035">
        <v>2279916</v>
      </c>
      <c r="M23" s="3036"/>
      <c r="N23" s="3037">
        <v>0.01</v>
      </c>
      <c r="O23" s="3038"/>
      <c r="P23" s="3042">
        <v>24</v>
      </c>
      <c r="Q23" s="3043"/>
      <c r="S23" s="3004"/>
      <c r="T23" s="3005"/>
      <c r="Y23" s="2075" t="s">
        <v>408</v>
      </c>
      <c r="Z23" s="1279">
        <v>23</v>
      </c>
      <c r="AZ23" s="1250" t="s">
        <v>411</v>
      </c>
    </row>
    <row r="24" spans="1:52" s="135" customFormat="1" ht="15.75" customHeight="1">
      <c r="A24" s="2512"/>
      <c r="B24" s="3044" t="s">
        <v>412</v>
      </c>
      <c r="C24" s="3045"/>
      <c r="D24" s="3045"/>
      <c r="E24" s="2524"/>
      <c r="F24" s="2524"/>
      <c r="G24" s="2524"/>
      <c r="H24" s="3046"/>
      <c r="I24" s="3047"/>
      <c r="J24" s="3047"/>
      <c r="K24" s="3048"/>
      <c r="L24" s="3049"/>
      <c r="M24" s="3050"/>
      <c r="N24" s="3051"/>
      <c r="O24" s="3052"/>
      <c r="P24" s="3053"/>
      <c r="Q24" s="3054"/>
      <c r="S24" s="3004"/>
      <c r="T24" s="3005"/>
      <c r="Y24" s="2075" t="s">
        <v>411</v>
      </c>
      <c r="Z24" s="1279">
        <v>24</v>
      </c>
      <c r="AZ24" s="1250" t="s">
        <v>413</v>
      </c>
    </row>
    <row r="25" spans="1:52" s="135" customFormat="1" ht="15.75" customHeight="1">
      <c r="A25" s="2512"/>
      <c r="B25" s="3055" t="s">
        <v>414</v>
      </c>
      <c r="C25" s="3056"/>
      <c r="D25" s="3056"/>
      <c r="E25" s="2512"/>
      <c r="F25" s="2512"/>
      <c r="G25" s="2512"/>
      <c r="H25" s="3068"/>
      <c r="I25" s="3069"/>
      <c r="J25" s="3069"/>
      <c r="K25" s="3070"/>
      <c r="L25" s="3071"/>
      <c r="M25" s="3072"/>
      <c r="N25" s="3066"/>
      <c r="O25" s="3067"/>
      <c r="P25" s="3039"/>
      <c r="Q25" s="3039"/>
      <c r="S25" s="3004"/>
      <c r="T25" s="3005"/>
      <c r="Y25" s="2075" t="s">
        <v>413</v>
      </c>
      <c r="Z25" s="1279">
        <v>25</v>
      </c>
      <c r="AZ25" s="1250" t="s">
        <v>415</v>
      </c>
    </row>
    <row r="26" spans="1:52" s="135" customFormat="1" ht="15.75" customHeight="1">
      <c r="A26" s="2512"/>
      <c r="B26" s="3030" t="s">
        <v>416</v>
      </c>
      <c r="C26" s="3031"/>
      <c r="D26" s="3031"/>
      <c r="E26" s="2512"/>
      <c r="H26" s="3032"/>
      <c r="I26" s="3033"/>
      <c r="J26" s="3033"/>
      <c r="K26" s="3034"/>
      <c r="L26" s="3035"/>
      <c r="M26" s="3036"/>
      <c r="N26" s="3066"/>
      <c r="O26" s="3067"/>
      <c r="P26" s="3039"/>
      <c r="Q26" s="3039"/>
      <c r="S26" s="3004"/>
      <c r="T26" s="3005"/>
      <c r="Y26" s="2075" t="s">
        <v>415</v>
      </c>
      <c r="Z26" s="1279">
        <v>26</v>
      </c>
      <c r="AZ26" s="1250" t="s">
        <v>417</v>
      </c>
    </row>
    <row r="27" spans="1:52" s="135" customFormat="1" ht="15.75" customHeight="1">
      <c r="A27" s="2512"/>
      <c r="B27" s="3030" t="s">
        <v>418</v>
      </c>
      <c r="C27" s="3031"/>
      <c r="D27" s="3031"/>
      <c r="E27" s="2512"/>
      <c r="H27" s="3032"/>
      <c r="I27" s="3033"/>
      <c r="J27" s="3033"/>
      <c r="K27" s="3034"/>
      <c r="L27" s="3035"/>
      <c r="M27" s="3036"/>
      <c r="N27" s="3066"/>
      <c r="O27" s="3067"/>
      <c r="P27" s="3039"/>
      <c r="Q27" s="3039"/>
      <c r="S27" s="3004"/>
      <c r="T27" s="3005"/>
      <c r="Y27" s="2075" t="s">
        <v>417</v>
      </c>
      <c r="Z27" s="1279">
        <v>27</v>
      </c>
      <c r="AZ27" s="1250" t="s">
        <v>419</v>
      </c>
    </row>
    <row r="28" spans="1:52" s="135" customFormat="1" ht="15.75" customHeight="1">
      <c r="A28" s="2512"/>
      <c r="B28" s="3030" t="s">
        <v>420</v>
      </c>
      <c r="C28" s="3031"/>
      <c r="D28" s="3031"/>
      <c r="E28" s="2512"/>
      <c r="H28" s="3032" t="s">
        <v>421</v>
      </c>
      <c r="I28" s="3033"/>
      <c r="J28" s="3033"/>
      <c r="K28" s="3034"/>
      <c r="L28" s="3035">
        <v>7769223</v>
      </c>
      <c r="M28" s="3036"/>
      <c r="N28" s="2512"/>
      <c r="Q28" s="2512"/>
      <c r="S28" s="3006"/>
      <c r="T28" s="3007"/>
      <c r="Y28" s="2075" t="s">
        <v>419</v>
      </c>
      <c r="Z28" s="1279">
        <v>28</v>
      </c>
      <c r="AZ28" s="1250" t="s">
        <v>422</v>
      </c>
    </row>
    <row r="29" spans="1:52" s="135" customFormat="1" ht="15.75" customHeight="1">
      <c r="A29" s="2512"/>
      <c r="B29" s="3030" t="s">
        <v>423</v>
      </c>
      <c r="C29" s="3031"/>
      <c r="D29" s="3031"/>
      <c r="E29" s="2512"/>
      <c r="H29" s="3032" t="s">
        <v>421</v>
      </c>
      <c r="I29" s="3033"/>
      <c r="J29" s="3033"/>
      <c r="K29" s="3034"/>
      <c r="L29" s="3035">
        <v>4856250</v>
      </c>
      <c r="M29" s="3036"/>
      <c r="N29" s="2512"/>
      <c r="Q29" s="2512"/>
      <c r="S29" s="3002"/>
      <c r="T29" s="3003"/>
      <c r="Y29" s="2075" t="s">
        <v>422</v>
      </c>
      <c r="Z29" s="1279">
        <v>29</v>
      </c>
      <c r="AZ29" s="1250" t="s">
        <v>424</v>
      </c>
    </row>
    <row r="30" spans="1:52" s="135" customFormat="1" ht="15.75" customHeight="1">
      <c r="A30" s="2512"/>
      <c r="B30" s="2511" t="s">
        <v>425</v>
      </c>
      <c r="C30" s="2512"/>
      <c r="D30" s="3073"/>
      <c r="E30" s="3073"/>
      <c r="F30" s="3073"/>
      <c r="G30" s="3073"/>
      <c r="H30" s="3032"/>
      <c r="I30" s="3033"/>
      <c r="J30" s="3033"/>
      <c r="K30" s="3034"/>
      <c r="L30" s="3035"/>
      <c r="M30" s="3036"/>
      <c r="N30" s="2512"/>
      <c r="Q30" s="2512"/>
      <c r="S30" s="3004"/>
      <c r="T30" s="3005"/>
      <c r="Y30" s="2075" t="s">
        <v>424</v>
      </c>
      <c r="Z30" s="1279">
        <v>30</v>
      </c>
      <c r="AZ30" s="1250" t="s">
        <v>426</v>
      </c>
    </row>
    <row r="31" spans="1:52" s="135" customFormat="1" ht="15.75" customHeight="1">
      <c r="A31" s="2512"/>
      <c r="B31" s="2511" t="s">
        <v>425</v>
      </c>
      <c r="C31" s="2512"/>
      <c r="D31" s="3074"/>
      <c r="E31" s="3074"/>
      <c r="F31" s="3074"/>
      <c r="G31" s="3074"/>
      <c r="H31" s="3032"/>
      <c r="I31" s="3033"/>
      <c r="J31" s="3033"/>
      <c r="K31" s="3034"/>
      <c r="L31" s="3035"/>
      <c r="M31" s="3036"/>
      <c r="N31" s="2512"/>
      <c r="S31" s="3004"/>
      <c r="T31" s="3005"/>
      <c r="Y31" s="2075" t="s">
        <v>426</v>
      </c>
      <c r="Z31" s="1279">
        <v>31</v>
      </c>
      <c r="AZ31" s="1250" t="s">
        <v>427</v>
      </c>
    </row>
    <row r="32" spans="1:52" s="135" customFormat="1" ht="15.75" customHeight="1">
      <c r="A32" s="2512"/>
      <c r="B32" s="2523" t="s">
        <v>425</v>
      </c>
      <c r="C32" s="2524"/>
      <c r="D32" s="3078"/>
      <c r="E32" s="3078"/>
      <c r="F32" s="3078"/>
      <c r="G32" s="3078"/>
      <c r="H32" s="3046"/>
      <c r="I32" s="3047"/>
      <c r="J32" s="3047"/>
      <c r="K32" s="3048"/>
      <c r="L32" s="3049"/>
      <c r="M32" s="3050"/>
      <c r="N32" s="2512"/>
      <c r="S32" s="3004"/>
      <c r="T32" s="3005"/>
      <c r="Y32" s="2075" t="s">
        <v>427</v>
      </c>
      <c r="Z32" s="1279">
        <v>32</v>
      </c>
      <c r="AZ32" s="1250"/>
    </row>
    <row r="33" spans="1:52" s="135" customFormat="1" ht="16.5" customHeight="1">
      <c r="A33" s="2512"/>
      <c r="B33" s="134" t="s">
        <v>428</v>
      </c>
      <c r="C33" s="2512"/>
      <c r="D33" s="2512"/>
      <c r="E33" s="2512"/>
      <c r="F33" s="2512"/>
      <c r="G33" s="2512"/>
      <c r="H33" s="2512"/>
      <c r="I33" s="2512"/>
      <c r="L33" s="3079">
        <f>SUM(L22:L32)</f>
        <v>28105389</v>
      </c>
      <c r="M33" s="3080"/>
      <c r="N33" s="96"/>
      <c r="S33" s="3004"/>
      <c r="T33" s="3005"/>
      <c r="Y33" s="2075"/>
      <c r="Z33" s="1279">
        <v>33</v>
      </c>
      <c r="AZ33" s="1250"/>
    </row>
    <row r="34" spans="1:52" s="135" customFormat="1" ht="16.5" customHeight="1">
      <c r="A34" s="2512"/>
      <c r="B34" s="2519" t="s">
        <v>429</v>
      </c>
      <c r="C34" s="2512"/>
      <c r="D34" s="2512"/>
      <c r="E34" s="2512"/>
      <c r="F34" s="2512"/>
      <c r="G34" s="2512"/>
      <c r="H34" s="2512"/>
      <c r="I34" s="2512"/>
      <c r="L34" s="3081">
        <f>'Part III-A-Uses of Funds'!$G$146-'Part III-A-Uses of Funds'!$G$103-'Part III-A-Uses of Funds'!$G$109-'Part III-A-Uses of Funds'!$G$130-'Part III-A-Uses of Funds'!$G$131-'Part III-A-Uses of Funds'!$G$132-'Part III-A-Uses of Funds'!$G$127+'Part III-A-Uses of Funds'!$F$123</f>
        <v>20462023</v>
      </c>
      <c r="M34" s="3082"/>
      <c r="N34" s="496"/>
      <c r="S34" s="3004"/>
      <c r="T34" s="3005"/>
      <c r="Y34" s="2075"/>
      <c r="Z34" s="1279">
        <v>34</v>
      </c>
      <c r="AZ34" s="1250"/>
    </row>
    <row r="35" spans="1:52" s="135" customFormat="1" ht="16.5" customHeight="1">
      <c r="A35" s="2512"/>
      <c r="B35" s="2519" t="s">
        <v>430</v>
      </c>
      <c r="C35" s="2512"/>
      <c r="D35" s="2512"/>
      <c r="E35" s="2512"/>
      <c r="F35" s="2512"/>
      <c r="G35" s="2512"/>
      <c r="H35" s="2512"/>
      <c r="I35" s="2512"/>
      <c r="L35" s="3083">
        <f>L33-L34</f>
        <v>7643366</v>
      </c>
      <c r="M35" s="3084"/>
      <c r="N35" s="496"/>
      <c r="S35" s="3006"/>
      <c r="T35" s="3007"/>
      <c r="Y35" s="2075"/>
      <c r="Z35" s="1279">
        <v>35</v>
      </c>
      <c r="AZ35" s="1249"/>
    </row>
    <row r="36" spans="1:52" ht="9.6" customHeight="1">
      <c r="A36" s="159"/>
      <c r="B36" s="134"/>
      <c r="C36" s="96"/>
      <c r="D36" s="96"/>
      <c r="E36" s="96"/>
      <c r="F36" s="96"/>
      <c r="G36" s="96"/>
      <c r="H36" s="96"/>
      <c r="I36" s="96"/>
      <c r="J36" s="96"/>
      <c r="K36" s="96"/>
      <c r="L36" s="96"/>
      <c r="M36" s="2518"/>
      <c r="N36" s="2518"/>
      <c r="Z36" s="1279">
        <v>36</v>
      </c>
    </row>
    <row r="37" spans="1:52" ht="9.6" customHeight="1">
      <c r="A37" s="151" t="s">
        <v>32</v>
      </c>
      <c r="B37" s="134" t="s">
        <v>431</v>
      </c>
      <c r="C37" s="96"/>
      <c r="D37" s="96"/>
      <c r="E37" s="96"/>
      <c r="F37" s="96"/>
      <c r="G37" s="96"/>
      <c r="H37" s="96"/>
      <c r="I37" s="96"/>
      <c r="J37" s="96"/>
      <c r="K37" s="96"/>
      <c r="L37" s="96"/>
      <c r="M37" s="2518"/>
      <c r="N37" s="2518"/>
      <c r="O37" s="96"/>
      <c r="S37" s="163" t="str">
        <f>B37</f>
        <v>PERMANENT FINANCING</v>
      </c>
      <c r="Z37" s="1279">
        <v>37</v>
      </c>
      <c r="AZ37" s="1250"/>
    </row>
    <row r="38" spans="1:52" s="135" customFormat="1" ht="13.35" customHeight="1">
      <c r="A38" s="2512"/>
      <c r="B38" s="2512"/>
      <c r="C38" s="2512"/>
      <c r="D38" s="2512"/>
      <c r="E38" s="2512"/>
      <c r="F38" s="2518"/>
      <c r="G38" s="2518"/>
      <c r="H38" s="3039"/>
      <c r="I38" s="3039"/>
      <c r="K38" s="158" t="s">
        <v>432</v>
      </c>
      <c r="L38" s="2518" t="s">
        <v>433</v>
      </c>
      <c r="M38" s="2518" t="s">
        <v>434</v>
      </c>
      <c r="P38" s="3075" t="s">
        <v>435</v>
      </c>
      <c r="Q38" s="3075"/>
      <c r="S38" s="163"/>
      <c r="Y38" s="2075"/>
      <c r="Z38" s="1279">
        <v>38</v>
      </c>
      <c r="AZ38" s="1250"/>
    </row>
    <row r="39" spans="1:52" s="135" customFormat="1" ht="13.35" customHeight="1">
      <c r="A39" s="2512"/>
      <c r="B39" s="2522" t="s">
        <v>400</v>
      </c>
      <c r="C39" s="2524"/>
      <c r="D39" s="2524"/>
      <c r="E39" s="3077" t="s">
        <v>401</v>
      </c>
      <c r="F39" s="3077"/>
      <c r="G39" s="3077"/>
      <c r="H39" s="3077"/>
      <c r="I39" s="3041" t="s">
        <v>436</v>
      </c>
      <c r="J39" s="3041"/>
      <c r="K39" s="2520" t="s">
        <v>437</v>
      </c>
      <c r="L39" s="2520" t="s">
        <v>438</v>
      </c>
      <c r="M39" s="2520" t="s">
        <v>438</v>
      </c>
      <c r="N39" s="3041" t="s">
        <v>439</v>
      </c>
      <c r="O39" s="3041"/>
      <c r="P39" s="3076"/>
      <c r="Q39" s="3076"/>
      <c r="S39" s="3021" t="s">
        <v>361</v>
      </c>
      <c r="T39" s="3021"/>
      <c r="Y39" s="2075"/>
      <c r="Z39" s="1279">
        <v>39</v>
      </c>
      <c r="AZ39" s="1250" t="s">
        <v>440</v>
      </c>
    </row>
    <row r="40" spans="1:52" s="135" customFormat="1" ht="15" customHeight="1">
      <c r="A40" s="2512"/>
      <c r="B40" s="3055" t="s">
        <v>441</v>
      </c>
      <c r="C40" s="3056"/>
      <c r="D40" s="3056"/>
      <c r="E40" s="3057" t="s">
        <v>407</v>
      </c>
      <c r="F40" s="3058"/>
      <c r="G40" s="3058"/>
      <c r="H40" s="3059"/>
      <c r="I40" s="3089">
        <v>3110008</v>
      </c>
      <c r="J40" s="3090"/>
      <c r="K40" s="2644">
        <v>6.7500000000000004E-2</v>
      </c>
      <c r="L40" s="2645">
        <v>15</v>
      </c>
      <c r="M40" s="2645">
        <v>35</v>
      </c>
      <c r="N40" s="3091" t="s">
        <v>442</v>
      </c>
      <c r="O40" s="3091"/>
      <c r="P40" s="3092">
        <f>IF(OR(I40&lt;=0,I40=""),"",IF(N40="Cash Flow",0,IF(N40="Amortizing",-PMT(K40/12,M40*12,I40,0,0)*12,"")))</f>
        <v>231913.23633240676</v>
      </c>
      <c r="Q40" s="3092"/>
      <c r="S40" s="3002"/>
      <c r="T40" s="3003"/>
      <c r="Y40" s="2075" t="s">
        <v>440</v>
      </c>
      <c r="Z40" s="1279">
        <v>40</v>
      </c>
      <c r="AZ40" s="1250" t="s">
        <v>443</v>
      </c>
    </row>
    <row r="41" spans="1:52" s="135" customFormat="1" ht="15" customHeight="1">
      <c r="A41" s="2512"/>
      <c r="B41" s="3030" t="s">
        <v>444</v>
      </c>
      <c r="C41" s="3031"/>
      <c r="D41" s="3031"/>
      <c r="E41" s="3032" t="s">
        <v>410</v>
      </c>
      <c r="F41" s="3033"/>
      <c r="G41" s="3033"/>
      <c r="H41" s="3034"/>
      <c r="I41" s="3085">
        <v>2279916</v>
      </c>
      <c r="J41" s="3086"/>
      <c r="K41" s="494">
        <v>0.01</v>
      </c>
      <c r="L41" s="2517">
        <v>20</v>
      </c>
      <c r="M41" s="2517" t="s">
        <v>445</v>
      </c>
      <c r="N41" s="3087" t="s">
        <v>446</v>
      </c>
      <c r="O41" s="3087"/>
      <c r="P41" s="3088">
        <f>IF(OR(I41&lt;=0,I41=""),"",IF(N41="Cash Flow",0,IF(N41="Amortizing",-PMT(K41/12,M41*12,I41,0,0)*12,"")))</f>
        <v>0</v>
      </c>
      <c r="Q41" s="3088"/>
      <c r="S41" s="3004"/>
      <c r="T41" s="3005"/>
      <c r="Y41" s="2075" t="s">
        <v>443</v>
      </c>
      <c r="Z41" s="1279">
        <v>41</v>
      </c>
      <c r="AZ41" s="1250" t="s">
        <v>447</v>
      </c>
    </row>
    <row r="42" spans="1:52" s="135" customFormat="1" ht="15" customHeight="1">
      <c r="A42" s="2512"/>
      <c r="B42" s="3030" t="s">
        <v>448</v>
      </c>
      <c r="C42" s="3031"/>
      <c r="D42" s="3031"/>
      <c r="E42" s="3032"/>
      <c r="F42" s="3033"/>
      <c r="G42" s="3033"/>
      <c r="H42" s="3034"/>
      <c r="I42" s="3085"/>
      <c r="J42" s="3086"/>
      <c r="K42" s="494"/>
      <c r="L42" s="2517"/>
      <c r="M42" s="2517"/>
      <c r="N42" s="3087"/>
      <c r="O42" s="3087"/>
      <c r="P42" s="3088" t="str">
        <f>IF(OR(I42&lt;=0,I42=""),"",IF(N42="Cash Flow",0,IF(N42="Amortizing",-PMT(K42/12,M42*12,I42,0,0)*12,"")))</f>
        <v/>
      </c>
      <c r="Q42" s="3088"/>
      <c r="S42" s="3004"/>
      <c r="T42" s="3005"/>
      <c r="Y42" s="2075" t="s">
        <v>447</v>
      </c>
      <c r="Z42" s="1279">
        <v>42</v>
      </c>
      <c r="AZ42" s="1250" t="s">
        <v>449</v>
      </c>
    </row>
    <row r="43" spans="1:52" s="135" customFormat="1" ht="15" customHeight="1">
      <c r="A43" s="2512"/>
      <c r="B43" s="2511" t="s">
        <v>450</v>
      </c>
      <c r="C43" s="3093"/>
      <c r="D43" s="3094"/>
      <c r="E43" s="3032"/>
      <c r="F43" s="3033"/>
      <c r="G43" s="3033"/>
      <c r="H43" s="3034"/>
      <c r="I43" s="3095"/>
      <c r="J43" s="3096"/>
      <c r="K43" s="495"/>
      <c r="L43" s="2515"/>
      <c r="M43" s="2515"/>
      <c r="N43" s="3097"/>
      <c r="O43" s="3097"/>
      <c r="P43" s="3098" t="str">
        <f>IF(OR(I43&lt;=0,I43=""),"",IF(N43="Cash Flow",0,IF(N43="Amortizing",-PMT(K43/12,M43*12,I43,0,0)*12,"")))</f>
        <v/>
      </c>
      <c r="Q43" s="3098"/>
      <c r="S43" s="3004"/>
      <c r="T43" s="3005"/>
      <c r="Y43" s="2075" t="s">
        <v>449</v>
      </c>
      <c r="Z43" s="1279">
        <v>43</v>
      </c>
      <c r="AZ43" s="1250" t="s">
        <v>451</v>
      </c>
    </row>
    <row r="44" spans="1:52" s="135" customFormat="1" ht="15" customHeight="1">
      <c r="A44" s="2512"/>
      <c r="B44" s="2511" t="s">
        <v>452</v>
      </c>
      <c r="C44" s="2512"/>
      <c r="D44" s="2513"/>
      <c r="E44" s="3032"/>
      <c r="F44" s="3033"/>
      <c r="G44" s="3033"/>
      <c r="H44" s="3034"/>
      <c r="I44" s="3085"/>
      <c r="J44" s="3086"/>
      <c r="K44" s="258"/>
      <c r="L44" s="2516"/>
      <c r="M44" s="2516"/>
      <c r="N44" s="3099"/>
      <c r="O44" s="3099"/>
      <c r="P44" s="3100"/>
      <c r="Q44" s="3100"/>
      <c r="S44" s="3004"/>
      <c r="T44" s="3005"/>
      <c r="Y44" s="2075" t="s">
        <v>451</v>
      </c>
      <c r="Z44" s="1279">
        <v>44</v>
      </c>
      <c r="AZ44" s="1250" t="s">
        <v>453</v>
      </c>
    </row>
    <row r="45" spans="1:52" s="135" customFormat="1" ht="15" customHeight="1">
      <c r="A45" s="2512"/>
      <c r="B45" s="2523" t="s">
        <v>454</v>
      </c>
      <c r="C45" s="2524"/>
      <c r="D45" s="2646">
        <f>IF(OR(I45="",I45=0,'Part III-A-Uses of Funds'!$G$127="",'Part III-A-Uses of Funds'!$G$127=0),"",I45/'Part III-A-Uses of Funds'!$G$127)</f>
        <v>4.2437137330754351E-3</v>
      </c>
      <c r="E45" s="3046" t="s">
        <v>36</v>
      </c>
      <c r="F45" s="3047"/>
      <c r="G45" s="3047"/>
      <c r="H45" s="3048"/>
      <c r="I45" s="3101">
        <v>6582</v>
      </c>
      <c r="J45" s="3102"/>
      <c r="K45" s="493">
        <v>0</v>
      </c>
      <c r="L45" s="492">
        <v>1</v>
      </c>
      <c r="M45" s="492" t="s">
        <v>445</v>
      </c>
      <c r="N45" s="2861" t="s">
        <v>446</v>
      </c>
      <c r="O45" s="2862"/>
      <c r="P45" s="3103">
        <f>IF(OR(I45&lt;=0,I45=""),"",IF(N45="Cash Flow",0,IF(N45="Amortizing",-PMT(K45/12,M45*12,I45,0,0)*12,"")))</f>
        <v>0</v>
      </c>
      <c r="Q45" s="3104"/>
      <c r="S45" s="3004"/>
      <c r="T45" s="3005"/>
      <c r="Y45" s="2075" t="s">
        <v>453</v>
      </c>
      <c r="Z45" s="1279">
        <v>45</v>
      </c>
      <c r="AZ45" s="1250"/>
    </row>
    <row r="46" spans="1:52" s="135" customFormat="1" ht="3" customHeight="1">
      <c r="A46" s="2512"/>
      <c r="B46" s="2512"/>
      <c r="C46" s="2512"/>
      <c r="D46" s="2512"/>
      <c r="E46" s="2512"/>
      <c r="F46" s="2512"/>
      <c r="G46" s="2512"/>
      <c r="H46" s="2512"/>
      <c r="I46" s="727"/>
      <c r="J46" s="728"/>
      <c r="K46" s="626"/>
      <c r="L46" s="167"/>
      <c r="M46" s="167"/>
      <c r="N46" s="627"/>
      <c r="O46" s="627"/>
      <c r="P46" s="167"/>
      <c r="Q46" s="167"/>
      <c r="S46" s="3004"/>
      <c r="T46" s="3005"/>
      <c r="Y46" s="2075"/>
      <c r="Z46" s="1279">
        <v>46</v>
      </c>
      <c r="AZ46" s="1250"/>
    </row>
    <row r="47" spans="1:52" s="135" customFormat="1" ht="15" customHeight="1">
      <c r="A47" s="2512"/>
      <c r="B47" s="135" t="s">
        <v>455</v>
      </c>
      <c r="C47" s="2512"/>
      <c r="E47" s="135" t="s">
        <v>456</v>
      </c>
      <c r="F47" s="3105">
        <f>IF(OR($I$45="",$I$45=0,'Part VI-Pro Forma'!$S$35=0,'Part VI-Pro Forma'!$S$35=""),"",VLOOKUP($L$45,'Part VI-Pro Forma'!$Q$21:$S$40,3))</f>
        <v>62034.330067593255</v>
      </c>
      <c r="G47" s="3106"/>
      <c r="H47" s="350" t="s">
        <v>457</v>
      </c>
      <c r="I47" s="3105">
        <f>IF(OR($I$45="",$I$45=0,'Part VI-Pro Forma'!$R$35=0,'Part VI-Pro Forma'!$R$35=""),"",VLOOKUP($L$45,'Part VI-Pro Forma'!$Q$21:$S$35,2))</f>
        <v>6582</v>
      </c>
      <c r="J47" s="3106"/>
      <c r="K47" s="350" t="s">
        <v>458</v>
      </c>
      <c r="L47" s="3107">
        <f>IF(OR($F$47 = 0,$F$47 =""),"",$I$47/$F$47)</f>
        <v>0.10610254020359669</v>
      </c>
      <c r="M47" s="3108"/>
      <c r="N47" s="3109" t="s">
        <v>459</v>
      </c>
      <c r="O47" s="3110"/>
      <c r="P47" s="3111">
        <f>IF(OR($I$62=0,$I$60&gt;$I$61),0,ABS($I$60-$I$61))</f>
        <v>0</v>
      </c>
      <c r="Q47" s="3112"/>
      <c r="S47" s="3004"/>
      <c r="T47" s="3005"/>
      <c r="Y47" s="2075"/>
      <c r="Z47" s="1279">
        <v>47</v>
      </c>
      <c r="AZ47" s="1250"/>
    </row>
    <row r="48" spans="1:52" s="135" customFormat="1" ht="3" customHeight="1">
      <c r="A48" s="2512"/>
      <c r="B48" s="2512"/>
      <c r="C48" s="2512"/>
      <c r="D48" s="2512"/>
      <c r="E48" s="2512"/>
      <c r="F48" s="2512"/>
      <c r="G48" s="2512"/>
      <c r="H48" s="2512"/>
      <c r="I48" s="628"/>
      <c r="J48" s="629"/>
      <c r="K48" s="626"/>
      <c r="L48" s="167"/>
      <c r="M48" s="167"/>
      <c r="N48" s="627"/>
      <c r="O48" s="627"/>
      <c r="P48" s="167"/>
      <c r="Q48" s="167"/>
      <c r="S48" s="3006"/>
      <c r="T48" s="3007"/>
      <c r="Y48" s="2075"/>
      <c r="Z48" s="1279">
        <v>48</v>
      </c>
      <c r="AZ48" s="1250" t="s">
        <v>460</v>
      </c>
    </row>
    <row r="49" spans="1:52" s="135" customFormat="1" ht="15" customHeight="1">
      <c r="A49" s="2512"/>
      <c r="B49" s="3055" t="s">
        <v>414</v>
      </c>
      <c r="C49" s="3056"/>
      <c r="D49" s="4708"/>
      <c r="E49" s="3057"/>
      <c r="F49" s="3058"/>
      <c r="G49" s="3058"/>
      <c r="H49" s="3059"/>
      <c r="I49" s="3113"/>
      <c r="J49" s="3114"/>
      <c r="K49" s="2512"/>
      <c r="L49" s="2512"/>
      <c r="M49" s="2512"/>
      <c r="N49" s="2512"/>
      <c r="O49" s="2512"/>
      <c r="P49" s="2518" t="s">
        <v>461</v>
      </c>
      <c r="Q49" s="2512"/>
      <c r="S49" s="3002"/>
      <c r="T49" s="3003"/>
      <c r="Y49" s="2075" t="s">
        <v>460</v>
      </c>
      <c r="Z49" s="1279">
        <v>49</v>
      </c>
      <c r="AZ49" s="1250" t="s">
        <v>462</v>
      </c>
    </row>
    <row r="50" spans="1:52" s="135" customFormat="1" ht="15" customHeight="1">
      <c r="A50" s="2512"/>
      <c r="B50" s="3030" t="s">
        <v>416</v>
      </c>
      <c r="C50" s="3031"/>
      <c r="D50" s="3115"/>
      <c r="E50" s="3032"/>
      <c r="F50" s="3033"/>
      <c r="G50" s="3033"/>
      <c r="H50" s="3034"/>
      <c r="I50" s="3085"/>
      <c r="J50" s="3086"/>
      <c r="L50" s="3116" t="s">
        <v>463</v>
      </c>
      <c r="M50" s="3116"/>
      <c r="N50" s="3117" t="s">
        <v>464</v>
      </c>
      <c r="O50" s="3117"/>
      <c r="P50" s="2514" t="s">
        <v>465</v>
      </c>
      <c r="Q50" s="2512"/>
      <c r="S50" s="3004"/>
      <c r="T50" s="3005"/>
      <c r="Y50" s="2075" t="s">
        <v>462</v>
      </c>
      <c r="Z50" s="1279">
        <v>50</v>
      </c>
      <c r="AZ50" s="1250" t="s">
        <v>466</v>
      </c>
    </row>
    <row r="51" spans="1:52" s="135" customFormat="1" ht="15" customHeight="1">
      <c r="A51" s="2512"/>
      <c r="B51" s="3030" t="s">
        <v>420</v>
      </c>
      <c r="C51" s="3031"/>
      <c r="D51" s="3115"/>
      <c r="E51" s="3032" t="s">
        <v>421</v>
      </c>
      <c r="F51" s="3033"/>
      <c r="G51" s="3033"/>
      <c r="H51" s="3034"/>
      <c r="I51" s="3085">
        <v>10358964</v>
      </c>
      <c r="J51" s="3085"/>
      <c r="L51" s="3118">
        <f>'Part III-A-Uses of Funds'!$J$191*10*'Part III-A-Uses of Funds'!$N$182</f>
        <v>10360000</v>
      </c>
      <c r="M51" s="3118"/>
      <c r="N51" s="3119">
        <f>I51-L51</f>
        <v>-1036</v>
      </c>
      <c r="O51" s="3119"/>
      <c r="P51" s="224">
        <f>I51/I61</f>
        <v>0.46598043136289968</v>
      </c>
      <c r="Q51" s="2512"/>
      <c r="S51" s="3004"/>
      <c r="T51" s="3005"/>
      <c r="Y51" s="2075" t="s">
        <v>466</v>
      </c>
      <c r="Z51" s="1279">
        <v>51</v>
      </c>
      <c r="AZ51" s="1250" t="s">
        <v>467</v>
      </c>
    </row>
    <row r="52" spans="1:52" s="135" customFormat="1" ht="15" customHeight="1">
      <c r="A52" s="2512"/>
      <c r="B52" s="3030" t="s">
        <v>423</v>
      </c>
      <c r="C52" s="3031"/>
      <c r="D52" s="3115"/>
      <c r="E52" s="3032" t="s">
        <v>421</v>
      </c>
      <c r="F52" s="3033"/>
      <c r="G52" s="3033"/>
      <c r="H52" s="3034"/>
      <c r="I52" s="3085">
        <v>6475000</v>
      </c>
      <c r="J52" s="3085"/>
      <c r="L52" s="3118">
        <f>'Part III-A-Uses of Funds'!$J$191*10*'Part III-A-Uses of Funds'!$Q$182</f>
        <v>6475000</v>
      </c>
      <c r="M52" s="3118"/>
      <c r="N52" s="3119">
        <f>I52-L52</f>
        <v>0</v>
      </c>
      <c r="O52" s="3119"/>
      <c r="P52" s="224">
        <f>I52/I61</f>
        <v>0.29126689629144142</v>
      </c>
      <c r="Q52" s="2512"/>
      <c r="S52" s="3004"/>
      <c r="T52" s="3005"/>
      <c r="Y52" s="2075" t="s">
        <v>467</v>
      </c>
      <c r="Z52" s="1279">
        <v>52</v>
      </c>
      <c r="AZ52" s="1250" t="s">
        <v>468</v>
      </c>
    </row>
    <row r="53" spans="1:52" s="135" customFormat="1" ht="15" customHeight="1">
      <c r="A53" s="2512"/>
      <c r="B53" s="3030" t="s">
        <v>469</v>
      </c>
      <c r="C53" s="3031"/>
      <c r="D53" s="3115"/>
      <c r="E53" s="3032"/>
      <c r="F53" s="3033"/>
      <c r="G53" s="3033"/>
      <c r="H53" s="3034"/>
      <c r="I53" s="3085"/>
      <c r="J53" s="3085"/>
      <c r="P53" s="2647">
        <f>SUM(P51:P52)</f>
        <v>0.75724732765434111</v>
      </c>
      <c r="Q53" s="2512"/>
      <c r="S53" s="3006"/>
      <c r="T53" s="3007"/>
      <c r="Y53" s="2075" t="s">
        <v>468</v>
      </c>
      <c r="Z53" s="1279">
        <v>53</v>
      </c>
      <c r="AZ53" s="1250"/>
    </row>
    <row r="54" spans="1:52" s="135" customFormat="1" ht="15" customHeight="1">
      <c r="A54" s="2512"/>
      <c r="B54" s="2511" t="s">
        <v>470</v>
      </c>
      <c r="C54" s="2512"/>
      <c r="D54" s="2513"/>
      <c r="E54" s="3032"/>
      <c r="F54" s="3033"/>
      <c r="G54" s="3033"/>
      <c r="H54" s="3034"/>
      <c r="I54" s="3085"/>
      <c r="J54" s="3085"/>
      <c r="K54" s="2512"/>
      <c r="Q54" s="2512"/>
      <c r="S54" s="3004"/>
      <c r="T54" s="3005"/>
      <c r="Y54" s="2075"/>
      <c r="Z54" s="1279">
        <v>54</v>
      </c>
      <c r="AZ54" s="1250"/>
    </row>
    <row r="55" spans="1:52" s="135" customFormat="1" ht="15" customHeight="1">
      <c r="A55" s="2512"/>
      <c r="B55" s="2511" t="s">
        <v>471</v>
      </c>
      <c r="C55" s="2512"/>
      <c r="D55" s="2513"/>
      <c r="E55" s="3032"/>
      <c r="F55" s="3033"/>
      <c r="G55" s="3033"/>
      <c r="H55" s="3034"/>
      <c r="I55" s="3085"/>
      <c r="J55" s="3085"/>
      <c r="N55" s="203"/>
      <c r="O55" s="203"/>
      <c r="P55" s="203"/>
      <c r="Q55" s="2512"/>
      <c r="S55" s="3004"/>
      <c r="T55" s="3005"/>
      <c r="Y55" s="2075"/>
      <c r="Z55" s="1279">
        <v>55</v>
      </c>
      <c r="AZ55" s="1250"/>
    </row>
    <row r="56" spans="1:52" s="135" customFormat="1" ht="15" customHeight="1">
      <c r="A56" s="2512"/>
      <c r="B56" s="2511" t="s">
        <v>472</v>
      </c>
      <c r="C56" s="2512"/>
      <c r="D56" s="2513"/>
      <c r="E56" s="3032"/>
      <c r="F56" s="3033"/>
      <c r="G56" s="3033"/>
      <c r="H56" s="3034"/>
      <c r="I56" s="3085"/>
      <c r="J56" s="3085"/>
      <c r="M56" s="203"/>
      <c r="N56" s="203"/>
      <c r="O56" s="203"/>
      <c r="P56" s="203"/>
      <c r="Q56" s="2512"/>
      <c r="S56" s="3004"/>
      <c r="T56" s="3005"/>
      <c r="Y56" s="2075"/>
      <c r="Z56" s="1279">
        <v>56</v>
      </c>
      <c r="AZ56" s="1250" t="s">
        <v>473</v>
      </c>
    </row>
    <row r="57" spans="1:52" s="135" customFormat="1" ht="15" customHeight="1">
      <c r="A57" s="2512"/>
      <c r="B57" s="2511" t="s">
        <v>450</v>
      </c>
      <c r="C57" s="3073"/>
      <c r="D57" s="3073"/>
      <c r="E57" s="3032"/>
      <c r="F57" s="3033"/>
      <c r="G57" s="3033"/>
      <c r="H57" s="3034"/>
      <c r="I57" s="3085"/>
      <c r="J57" s="3085"/>
      <c r="M57" s="203"/>
      <c r="N57" s="203"/>
      <c r="O57" s="203"/>
      <c r="P57" s="203"/>
      <c r="Q57" s="2512"/>
      <c r="S57" s="3004"/>
      <c r="T57" s="3005"/>
      <c r="Y57" s="2075" t="s">
        <v>473</v>
      </c>
      <c r="Z57" s="1279">
        <v>57</v>
      </c>
      <c r="AZ57" s="1250" t="s">
        <v>474</v>
      </c>
    </row>
    <row r="58" spans="1:52" s="135" customFormat="1" ht="15" customHeight="1">
      <c r="A58" s="2512"/>
      <c r="B58" s="2511" t="s">
        <v>450</v>
      </c>
      <c r="C58" s="3074"/>
      <c r="D58" s="3074"/>
      <c r="E58" s="3032"/>
      <c r="F58" s="3033"/>
      <c r="G58" s="3033"/>
      <c r="H58" s="3034"/>
      <c r="I58" s="3085"/>
      <c r="J58" s="3085"/>
      <c r="K58" s="2512"/>
      <c r="L58" s="2518"/>
      <c r="M58" s="203"/>
      <c r="N58" s="203"/>
      <c r="O58" s="203"/>
      <c r="P58" s="203"/>
      <c r="Q58" s="2512"/>
      <c r="S58" s="3004"/>
      <c r="T58" s="3005"/>
      <c r="Y58" s="2075" t="s">
        <v>474</v>
      </c>
      <c r="Z58" s="1279">
        <v>58</v>
      </c>
      <c r="AZ58" s="1250" t="s">
        <v>475</v>
      </c>
    </row>
    <row r="59" spans="1:52" s="135" customFormat="1" ht="15" customHeight="1">
      <c r="A59" s="2512"/>
      <c r="B59" s="2523" t="s">
        <v>450</v>
      </c>
      <c r="C59" s="3078"/>
      <c r="D59" s="3078"/>
      <c r="E59" s="3046"/>
      <c r="F59" s="3047"/>
      <c r="G59" s="3047"/>
      <c r="H59" s="3048"/>
      <c r="I59" s="3123"/>
      <c r="J59" s="3123"/>
      <c r="K59" s="2512"/>
      <c r="L59" s="2518"/>
      <c r="M59" s="203"/>
      <c r="N59" s="203"/>
      <c r="O59" s="203"/>
      <c r="P59" s="203"/>
      <c r="Q59" s="2512"/>
      <c r="S59" s="3004"/>
      <c r="T59" s="3005"/>
      <c r="Y59" s="2075" t="s">
        <v>475</v>
      </c>
      <c r="Z59" s="1279">
        <v>59</v>
      </c>
      <c r="AZ59" s="1250"/>
    </row>
    <row r="60" spans="1:52" s="135" customFormat="1" ht="14.25" customHeight="1">
      <c r="A60" s="2512"/>
      <c r="B60" s="2519" t="s">
        <v>476</v>
      </c>
      <c r="C60" s="2512"/>
      <c r="D60" s="2512"/>
      <c r="E60" s="2512"/>
      <c r="F60" s="2512"/>
      <c r="G60" s="2512"/>
      <c r="I60" s="3124">
        <f>SUM(I40:J45)+SUM(I49:J59)</f>
        <v>22230470</v>
      </c>
      <c r="J60" s="3125"/>
      <c r="K60" s="2512"/>
      <c r="L60" s="2518"/>
      <c r="M60" s="203"/>
      <c r="N60" s="203"/>
      <c r="O60" s="203"/>
      <c r="P60" s="203"/>
      <c r="Q60" s="2512"/>
      <c r="S60" s="3004"/>
      <c r="T60" s="3005"/>
      <c r="Y60" s="2075"/>
      <c r="Z60" s="1279">
        <v>60</v>
      </c>
      <c r="AZ60" s="1250"/>
    </row>
    <row r="61" spans="1:52" s="135" customFormat="1" ht="14.25" customHeight="1" thickBot="1">
      <c r="A61" s="2512"/>
      <c r="B61" s="2519" t="s">
        <v>477</v>
      </c>
      <c r="C61" s="2512"/>
      <c r="D61" s="2512"/>
      <c r="E61" s="2512"/>
      <c r="F61" s="2512"/>
      <c r="G61" s="2512"/>
      <c r="I61" s="3126">
        <f>'Part III-A-Uses of Funds'!$G$146</f>
        <v>22230470</v>
      </c>
      <c r="J61" s="3127"/>
      <c r="K61" s="2512"/>
      <c r="L61" s="2518"/>
      <c r="M61" s="203"/>
      <c r="N61" s="203"/>
      <c r="O61" s="203"/>
      <c r="P61" s="203"/>
      <c r="Q61" s="2512"/>
      <c r="S61" s="3004"/>
      <c r="T61" s="3005"/>
      <c r="Y61" s="2075"/>
      <c r="Z61" s="1279">
        <v>61</v>
      </c>
      <c r="AZ61" s="1250"/>
    </row>
    <row r="62" spans="1:52" s="135" customFormat="1" ht="14.25" customHeight="1" thickBot="1">
      <c r="A62" s="2512"/>
      <c r="B62" s="2519" t="s">
        <v>478</v>
      </c>
      <c r="C62" s="2512"/>
      <c r="D62" s="2512"/>
      <c r="E62" s="2512"/>
      <c r="F62" s="2512"/>
      <c r="G62" s="2512"/>
      <c r="I62" s="3128">
        <f>I60-I61</f>
        <v>0</v>
      </c>
      <c r="J62" s="3129"/>
      <c r="K62" s="2512"/>
      <c r="L62" s="2518"/>
      <c r="M62" s="203"/>
      <c r="N62" s="203"/>
      <c r="O62" s="203"/>
      <c r="P62" s="203"/>
      <c r="Q62" s="2512"/>
      <c r="S62" s="3006"/>
      <c r="T62" s="3007"/>
      <c r="Y62" s="2075"/>
      <c r="Z62" s="1279">
        <v>62</v>
      </c>
      <c r="AZ62" s="1250"/>
    </row>
    <row r="63" spans="1:52" s="135" customFormat="1" ht="13.35" customHeight="1">
      <c r="A63" s="2512" t="s">
        <v>479</v>
      </c>
      <c r="B63" s="2519"/>
      <c r="C63" s="2512"/>
      <c r="D63" s="2512"/>
      <c r="E63" s="2512"/>
      <c r="F63" s="2512"/>
      <c r="G63" s="2512"/>
      <c r="H63" s="200"/>
      <c r="I63" s="200"/>
      <c r="J63" s="96"/>
      <c r="K63" s="2512"/>
      <c r="L63" s="2518"/>
      <c r="M63" s="203"/>
      <c r="N63" s="203"/>
      <c r="O63" s="203"/>
      <c r="P63" s="203"/>
      <c r="Q63" s="2512"/>
      <c r="R63" s="2512"/>
      <c r="S63" s="2512"/>
      <c r="T63" s="2512"/>
      <c r="Y63" s="2075"/>
      <c r="Z63" s="1279">
        <v>63</v>
      </c>
      <c r="AZ63" s="1249"/>
    </row>
    <row r="64" spans="1:52" ht="2.25" customHeight="1">
      <c r="A64" s="96"/>
      <c r="B64" s="96"/>
      <c r="C64" s="96"/>
      <c r="D64" s="96"/>
      <c r="E64" s="96"/>
      <c r="F64" s="96"/>
      <c r="G64" s="96"/>
      <c r="H64" s="96"/>
      <c r="I64" s="96"/>
      <c r="J64" s="96"/>
      <c r="K64" s="96"/>
      <c r="L64" s="96"/>
      <c r="M64" s="96"/>
      <c r="N64" s="96"/>
      <c r="O64" s="96"/>
      <c r="P64" s="96"/>
      <c r="Q64" s="96"/>
      <c r="Z64" s="1279">
        <v>64</v>
      </c>
    </row>
    <row r="65" spans="1:52" ht="12" customHeight="1">
      <c r="A65" s="151" t="s">
        <v>51</v>
      </c>
      <c r="B65" s="151" t="s">
        <v>78</v>
      </c>
      <c r="C65" s="96"/>
      <c r="D65" s="96"/>
      <c r="E65" s="96"/>
      <c r="F65" s="96"/>
      <c r="G65" s="96"/>
      <c r="H65" s="96"/>
      <c r="I65" s="96"/>
      <c r="J65" s="96"/>
      <c r="M65" s="151" t="s">
        <v>51</v>
      </c>
      <c r="N65" s="151" t="s">
        <v>80</v>
      </c>
      <c r="O65" s="96"/>
      <c r="P65" s="96"/>
      <c r="Q65" s="96"/>
      <c r="Z65" s="1279">
        <v>65</v>
      </c>
      <c r="AZ65" s="1252"/>
    </row>
    <row r="66" spans="1:52" ht="111.75" customHeight="1">
      <c r="A66" s="3120" t="s">
        <v>480</v>
      </c>
      <c r="B66" s="3120"/>
      <c r="C66" s="3120"/>
      <c r="D66" s="3120"/>
      <c r="E66" s="3120"/>
      <c r="F66" s="3120"/>
      <c r="G66" s="3120"/>
      <c r="H66" s="3120"/>
      <c r="I66" s="3120"/>
      <c r="J66" s="3120"/>
      <c r="K66" s="3120"/>
      <c r="L66" s="3120"/>
      <c r="M66" s="3121"/>
      <c r="N66" s="3121"/>
      <c r="O66" s="3121"/>
      <c r="P66" s="3121"/>
      <c r="Q66" s="3121"/>
      <c r="S66" s="3122" t="s">
        <v>300</v>
      </c>
      <c r="T66" s="3122"/>
      <c r="U66" s="261"/>
      <c r="V66" s="261"/>
      <c r="W66" s="261"/>
      <c r="Y66" s="2077"/>
      <c r="Z66" s="1279">
        <v>66</v>
      </c>
      <c r="AZ66" s="1252"/>
    </row>
    <row r="67" spans="1:52" ht="11.25" customHeight="1">
      <c r="S67" s="261"/>
      <c r="T67" s="261"/>
      <c r="U67" s="261"/>
      <c r="V67" s="261"/>
      <c r="W67" s="261"/>
      <c r="Y67" s="2077"/>
    </row>
    <row r="68" spans="1:52" ht="12" customHeight="1"/>
    <row r="69" spans="1:52" ht="12" customHeight="1">
      <c r="B69" s="180"/>
    </row>
    <row r="70" spans="1:52" ht="14.65" customHeight="1">
      <c r="AZ70" s="1250"/>
    </row>
    <row r="71" spans="1:52" s="135" customFormat="1" ht="14.65" customHeight="1">
      <c r="Y71" s="2075"/>
      <c r="Z71" s="1314"/>
      <c r="AZ71" s="1250"/>
    </row>
    <row r="72" spans="1:52" s="135" customFormat="1" ht="14.65" customHeight="1">
      <c r="Y72" s="2075"/>
      <c r="Z72" s="1314"/>
      <c r="AZ72" s="1250"/>
    </row>
    <row r="73" spans="1:52" s="135" customFormat="1" ht="14.65" customHeight="1">
      <c r="Y73" s="2075"/>
      <c r="Z73" s="1314"/>
      <c r="AZ73" s="1249"/>
    </row>
    <row r="74" spans="1:52" ht="14.65" customHeight="1">
      <c r="AZ74" s="1250"/>
    </row>
    <row r="75" spans="1:52" s="135" customFormat="1" ht="14.65" customHeight="1">
      <c r="A75" s="181"/>
      <c r="Y75" s="2075"/>
      <c r="Z75" s="1314"/>
      <c r="AZ75" s="1250"/>
    </row>
    <row r="76" spans="1:52" s="135" customFormat="1" ht="14.65" customHeight="1">
      <c r="A76" s="181"/>
      <c r="Y76" s="2075"/>
      <c r="Z76" s="1314"/>
      <c r="AZ76" s="1250"/>
    </row>
    <row r="77" spans="1:52" s="135" customFormat="1" ht="14.65" customHeight="1">
      <c r="Y77" s="2075"/>
      <c r="Z77" s="1314"/>
      <c r="AZ77" s="1250"/>
    </row>
    <row r="78" spans="1:52" s="135" customFormat="1" ht="14.65" customHeight="1">
      <c r="A78" s="181"/>
      <c r="Y78" s="2075"/>
      <c r="Z78" s="1314"/>
      <c r="AZ78" s="1250"/>
    </row>
    <row r="79" spans="1:52" s="135" customFormat="1" ht="14.65" customHeight="1">
      <c r="A79" s="179"/>
      <c r="Y79" s="2075"/>
      <c r="Z79" s="1314"/>
      <c r="AZ79" s="1250"/>
    </row>
    <row r="80" spans="1:52" s="135" customFormat="1" ht="14.65" customHeight="1">
      <c r="A80" s="179"/>
      <c r="Y80" s="2075"/>
      <c r="Z80" s="1314"/>
      <c r="AZ80" s="1250"/>
    </row>
    <row r="81" spans="1:52" s="135" customFormat="1" ht="14.65" customHeight="1">
      <c r="A81" s="182"/>
      <c r="Y81" s="2075"/>
      <c r="Z81" s="1314"/>
      <c r="AZ81" s="1250"/>
    </row>
    <row r="82" spans="1:52" s="135" customFormat="1" ht="14.65" customHeight="1">
      <c r="A82" s="181"/>
      <c r="Y82" s="2075"/>
      <c r="Z82" s="1314"/>
      <c r="AZ82" s="1250"/>
    </row>
    <row r="83" spans="1:52" s="135" customFormat="1" ht="14.65" customHeight="1">
      <c r="A83" s="179"/>
      <c r="Y83" s="2075"/>
      <c r="Z83" s="1314"/>
      <c r="AZ83" s="1250"/>
    </row>
    <row r="84" spans="1:52" s="135" customFormat="1" ht="14.65" customHeight="1">
      <c r="A84" s="179"/>
      <c r="Y84" s="2075"/>
      <c r="Z84" s="1314"/>
      <c r="AZ84" s="1250"/>
    </row>
    <row r="85" spans="1:52" s="135" customFormat="1" ht="14.65" customHeight="1">
      <c r="A85" s="182"/>
      <c r="Y85" s="2075"/>
      <c r="Z85" s="1314"/>
      <c r="AZ85" s="1250"/>
    </row>
    <row r="86" spans="1:52" s="135" customFormat="1" ht="14.65" customHeight="1">
      <c r="A86" s="181"/>
      <c r="Y86" s="2075"/>
      <c r="Z86" s="1314"/>
      <c r="AZ86" s="1250"/>
    </row>
    <row r="87" spans="1:52" s="135" customFormat="1" ht="14.65" customHeight="1">
      <c r="A87" s="179"/>
      <c r="Y87" s="2075"/>
      <c r="Z87" s="1314"/>
      <c r="AZ87" s="1250"/>
    </row>
    <row r="88" spans="1:52" s="135" customFormat="1" ht="14.65" customHeight="1">
      <c r="A88" s="179"/>
      <c r="Y88" s="2075"/>
      <c r="Z88" s="1314"/>
      <c r="AZ88" s="1250"/>
    </row>
    <row r="89" spans="1:52" s="135" customFormat="1" ht="14.65" customHeight="1">
      <c r="A89" s="182"/>
      <c r="Y89" s="2075"/>
      <c r="Z89" s="1314"/>
      <c r="AZ89" s="1250"/>
    </row>
    <row r="90" spans="1:52" s="135" customFormat="1" ht="14.65" customHeight="1">
      <c r="A90" s="182"/>
      <c r="Y90" s="2075"/>
      <c r="Z90" s="1314"/>
      <c r="AZ90" s="1250"/>
    </row>
    <row r="91" spans="1:52" s="135" customFormat="1" ht="14.65" customHeight="1">
      <c r="A91" s="182"/>
      <c r="Y91" s="2075"/>
      <c r="Z91" s="1314"/>
      <c r="AZ91" s="1250"/>
    </row>
    <row r="92" spans="1:52" s="135" customFormat="1" ht="14.65" customHeight="1">
      <c r="A92" s="182"/>
      <c r="Y92" s="2075"/>
      <c r="Z92" s="1314"/>
      <c r="AZ92" s="1250"/>
    </row>
    <row r="93" spans="1:52" s="135" customFormat="1" ht="14.65" customHeight="1">
      <c r="Y93" s="2075"/>
      <c r="Z93" s="1314"/>
      <c r="AZ93" s="1250"/>
    </row>
    <row r="94" spans="1:52" s="135" customFormat="1" ht="14.65" customHeight="1">
      <c r="Y94" s="2075"/>
      <c r="Z94" s="1314"/>
      <c r="AZ94" s="1249"/>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2512"/>
      <c r="L101" s="135"/>
      <c r="M101" s="135"/>
      <c r="N101" s="135"/>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vx7xp7Ykx+fefQ4yLN9eTYA/iWhijVrF9HOSiERlwDeRkTKMKNq33qahw/pPFPFshHV2mxDHeEteDHYntCExXQ==" saltValue="NPhbMxYeSRWHq9dWP9XURA==" spinCount="100000" sheet="1" objects="1" scenarios="1"/>
  <mergeCells count="156">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45:H45"/>
    <mergeCell ref="I45:J45"/>
    <mergeCell ref="N45:O45"/>
    <mergeCell ref="P45:Q45"/>
    <mergeCell ref="S46:T48"/>
    <mergeCell ref="F47:G47"/>
    <mergeCell ref="I47:J47"/>
    <mergeCell ref="L47:M47"/>
    <mergeCell ref="N47:O47"/>
    <mergeCell ref="P47:Q47"/>
    <mergeCell ref="S40:T45"/>
    <mergeCell ref="P41:Q41"/>
    <mergeCell ref="C43:D43"/>
    <mergeCell ref="E43:H43"/>
    <mergeCell ref="I43:J43"/>
    <mergeCell ref="N43:O43"/>
    <mergeCell ref="P43:Q43"/>
    <mergeCell ref="E44:H44"/>
    <mergeCell ref="I44:J44"/>
    <mergeCell ref="N44:O44"/>
    <mergeCell ref="P44:Q44"/>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H38:I38"/>
    <mergeCell ref="P38:Q39"/>
    <mergeCell ref="E39:H39"/>
    <mergeCell ref="I39:J39"/>
    <mergeCell ref="N39:O39"/>
    <mergeCell ref="S39:T39"/>
    <mergeCell ref="D32:G32"/>
    <mergeCell ref="H32:K32"/>
    <mergeCell ref="L32:M32"/>
    <mergeCell ref="L33:M33"/>
    <mergeCell ref="L34:M34"/>
    <mergeCell ref="L35:M35"/>
    <mergeCell ref="B29:D29"/>
    <mergeCell ref="H29:K29"/>
    <mergeCell ref="L29:M29"/>
    <mergeCell ref="S29:T35"/>
    <mergeCell ref="D30:G30"/>
    <mergeCell ref="H30:K30"/>
    <mergeCell ref="L30:M30"/>
    <mergeCell ref="D31:G31"/>
    <mergeCell ref="H31:K31"/>
    <mergeCell ref="L31:M31"/>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s>
  <conditionalFormatting sqref="B40:D42">
    <cfRule type="cellIs" dxfId="267" priority="5" stopIfTrue="1" operator="equal">
      <formula>"Make a selection FIRST --&gt;"</formula>
    </cfRule>
  </conditionalFormatting>
  <conditionalFormatting sqref="D45">
    <cfRule type="cellIs" dxfId="266" priority="2" operator="greaterThan">
      <formula>50.000001%</formula>
    </cfRule>
  </conditionalFormatting>
  <conditionalFormatting sqref="J46">
    <cfRule type="cellIs" dxfId="265" priority="3" operator="equal">
      <formula>"No"</formula>
    </cfRule>
  </conditionalFormatting>
  <conditionalFormatting sqref="J48">
    <cfRule type="cellIs" dxfId="264" priority="4" operator="equal">
      <formula>"No"</formula>
    </cfRule>
  </conditionalFormatting>
  <conditionalFormatting sqref="P47:Q47">
    <cfRule type="cellIs" dxfId="263" priority="1" operator="notEqual">
      <formula>0</formula>
    </cfRule>
  </conditionalFormatting>
  <dataValidations disablePrompts="1"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4" customFormat="1" ht="16.350000000000001" customHeight="1">
      <c r="A1" s="3130" t="e">
        <f>CONCATENATE("PART III B: USD 538 LOAN","  -  ",#REF!," ",#REF!,", ",#REF!,", ",#REF!," County")</f>
        <v>#REF!</v>
      </c>
      <c r="B1" s="3131"/>
      <c r="C1" s="3131"/>
      <c r="D1" s="3131"/>
      <c r="E1" s="3131"/>
      <c r="F1" s="3132"/>
      <c r="G1" s="91"/>
      <c r="H1" s="91"/>
      <c r="I1" s="91"/>
      <c r="J1" s="91"/>
      <c r="K1" s="91"/>
      <c r="L1" s="91"/>
      <c r="M1" s="91"/>
      <c r="N1" s="91"/>
      <c r="O1" s="91"/>
      <c r="P1" s="91"/>
      <c r="Q1" s="91"/>
    </row>
    <row r="2" spans="1:17" ht="11.1" customHeight="1">
      <c r="A2" s="108"/>
      <c r="B2" s="108"/>
      <c r="C2" s="108"/>
      <c r="D2" s="108"/>
      <c r="E2" s="108"/>
      <c r="F2" s="108"/>
      <c r="G2" s="108"/>
      <c r="H2" s="108"/>
    </row>
    <row r="3" spans="1:17" ht="14.65" customHeight="1">
      <c r="A3" s="3138" t="s">
        <v>481</v>
      </c>
      <c r="B3" s="3138"/>
      <c r="C3" s="3138"/>
      <c r="D3" s="3138"/>
      <c r="E3" s="3138"/>
      <c r="F3" s="3138"/>
      <c r="G3" s="108"/>
      <c r="H3" s="108"/>
    </row>
    <row r="4" spans="1:17" ht="6" customHeight="1"/>
    <row r="5" spans="1:17">
      <c r="A5" s="11" t="s">
        <v>482</v>
      </c>
      <c r="B5" s="11"/>
      <c r="C5" s="2648"/>
      <c r="D5" s="2649">
        <f>IF(C5&gt;1500000,1500000,0)</f>
        <v>0</v>
      </c>
      <c r="E5" s="2650">
        <f>IF(C5&gt;1500000,C5-1500000,0)</f>
        <v>0</v>
      </c>
    </row>
    <row r="6" spans="1:17">
      <c r="A6" s="11" t="s">
        <v>483</v>
      </c>
      <c r="B6" s="48" t="s">
        <v>484</v>
      </c>
      <c r="C6" s="132">
        <v>0</v>
      </c>
      <c r="D6" s="13" t="s">
        <v>485</v>
      </c>
      <c r="E6" s="11"/>
    </row>
    <row r="7" spans="1:17">
      <c r="A7" s="11"/>
      <c r="B7" s="48" t="s">
        <v>486</v>
      </c>
      <c r="C7" s="2651"/>
      <c r="D7" s="13" t="s">
        <v>487</v>
      </c>
      <c r="E7" s="11"/>
    </row>
    <row r="8" spans="1:17" ht="13.35" customHeight="1">
      <c r="A8" s="11" t="s">
        <v>488</v>
      </c>
      <c r="B8" s="11"/>
      <c r="C8" s="132">
        <v>0</v>
      </c>
      <c r="D8" s="13" t="s">
        <v>489</v>
      </c>
      <c r="E8" s="11"/>
    </row>
    <row r="9" spans="1:17">
      <c r="A9" s="11" t="s">
        <v>490</v>
      </c>
      <c r="B9" s="11"/>
      <c r="C9" s="2652"/>
      <c r="D9" s="11"/>
      <c r="E9" s="11"/>
    </row>
    <row r="10" spans="1:17">
      <c r="A10" s="11" t="s">
        <v>491</v>
      </c>
      <c r="B10" s="11"/>
      <c r="C10" s="2652"/>
      <c r="D10" s="11"/>
      <c r="E10" s="11"/>
    </row>
    <row r="11" spans="1:17">
      <c r="A11" s="11" t="s">
        <v>492</v>
      </c>
      <c r="B11" s="11"/>
      <c r="C11" s="133" t="e">
        <f>PMT(C7/12,C10*12,-C5,0,0)*12</f>
        <v>#NUM!</v>
      </c>
      <c r="D11" s="2649" t="e">
        <f>PMT($C$7/12,$C$10*12,-D5,0,0)*12</f>
        <v>#NUM!</v>
      </c>
      <c r="E11" s="2649" t="e">
        <f>PMT($C$7/12,$C$10*12,-E5,0,0)*12</f>
        <v>#NUM!</v>
      </c>
    </row>
    <row r="12" spans="1:17">
      <c r="A12" s="11" t="s">
        <v>493</v>
      </c>
      <c r="B12" s="11"/>
      <c r="C12" s="133" t="e">
        <f>C11/12</f>
        <v>#NUM!</v>
      </c>
      <c r="D12" s="2649" t="e">
        <f>D11/12</f>
        <v>#NUM!</v>
      </c>
      <c r="E12" s="2649" t="e">
        <f>E11/12</f>
        <v>#NUM!</v>
      </c>
    </row>
    <row r="13" spans="1:17" ht="11.1" customHeight="1">
      <c r="A13" s="108"/>
      <c r="B13" s="108"/>
      <c r="C13" s="108"/>
      <c r="D13" s="108"/>
      <c r="E13" s="108"/>
      <c r="F13" s="108"/>
      <c r="G13" s="108"/>
      <c r="H13" s="108"/>
    </row>
    <row r="14" spans="1:17" ht="12.6" customHeight="1">
      <c r="A14" s="3139" t="s">
        <v>494</v>
      </c>
      <c r="B14" s="3139"/>
      <c r="C14" s="3139"/>
      <c r="D14" s="3139"/>
      <c r="E14" s="3139"/>
      <c r="F14" s="3139"/>
      <c r="G14" s="108"/>
      <c r="H14" s="108"/>
    </row>
    <row r="15" spans="1:17" ht="5.65" customHeight="1">
      <c r="A15" s="6"/>
      <c r="E15" s="115"/>
      <c r="F15" s="108"/>
      <c r="G15" s="108"/>
      <c r="H15" s="108"/>
    </row>
    <row r="16" spans="1:17" ht="13.35" customHeight="1">
      <c r="A16" s="116" t="s">
        <v>495</v>
      </c>
      <c r="B16" s="2526" t="s">
        <v>496</v>
      </c>
      <c r="C16" s="2526" t="s">
        <v>497</v>
      </c>
      <c r="D16" s="3136" t="s">
        <v>498</v>
      </c>
      <c r="E16" s="3136"/>
      <c r="F16" s="108"/>
      <c r="G16" s="108"/>
      <c r="H16" s="108"/>
    </row>
    <row r="17" spans="1:8" ht="12.6" customHeight="1">
      <c r="A17" s="34">
        <v>1</v>
      </c>
      <c r="B17" s="2653">
        <f>IF(A17&gt;$C$9,0,SUM(C64:C75)*($C$6/$C$7))</f>
        <v>0</v>
      </c>
      <c r="C17" s="2654">
        <f>IF(A17&gt;C9,0,(E63+K63)*$C$8)</f>
        <v>0</v>
      </c>
      <c r="D17" s="3140">
        <f t="shared" ref="D17:D56" si="0">IF(A17&gt;$C$9,0,$C$11+C17)</f>
        <v>0</v>
      </c>
      <c r="E17" s="3140"/>
      <c r="F17" s="108"/>
      <c r="G17" s="108"/>
      <c r="H17" s="108"/>
    </row>
    <row r="18" spans="1:8" ht="12.6" customHeight="1">
      <c r="A18" s="34">
        <v>2</v>
      </c>
      <c r="B18" s="2653">
        <f>IF(A18&gt;C9,0,SUM(C76:C87)*($C$6/$C$7))</f>
        <v>0</v>
      </c>
      <c r="C18" s="2654">
        <f>IF(A18&gt;C9,0,(E75+K75)*$C$8)</f>
        <v>0</v>
      </c>
      <c r="D18" s="3133">
        <f t="shared" si="0"/>
        <v>0</v>
      </c>
      <c r="E18" s="3133"/>
      <c r="F18" s="108"/>
      <c r="G18" s="108"/>
      <c r="H18" s="108"/>
    </row>
    <row r="19" spans="1:8" ht="12.6" customHeight="1">
      <c r="A19" s="34">
        <v>3</v>
      </c>
      <c r="B19" s="2653">
        <f>IF(A19&gt;C9,0,SUM(C88:C99)*($C$6/$C$7))</f>
        <v>0</v>
      </c>
      <c r="C19" s="2654">
        <f>IF(A19&gt;C9,0,(E87+K87)*$C$8)</f>
        <v>0</v>
      </c>
      <c r="D19" s="3133">
        <f t="shared" si="0"/>
        <v>0</v>
      </c>
      <c r="E19" s="3133"/>
      <c r="F19" s="108"/>
      <c r="G19" s="108"/>
      <c r="H19" s="108"/>
    </row>
    <row r="20" spans="1:8" ht="12.6" customHeight="1">
      <c r="A20" s="34">
        <v>4</v>
      </c>
      <c r="B20" s="2653">
        <f>IF(A20&gt;C9,0,SUM(C100:C111)*($C$6/$C$7))</f>
        <v>0</v>
      </c>
      <c r="C20" s="2654">
        <f>IF(A20&gt;C9,0,(E99+K99)*$C$8)</f>
        <v>0</v>
      </c>
      <c r="D20" s="3133">
        <f t="shared" si="0"/>
        <v>0</v>
      </c>
      <c r="E20" s="3133"/>
      <c r="F20" s="108"/>
      <c r="G20" s="108"/>
      <c r="H20" s="108"/>
    </row>
    <row r="21" spans="1:8" ht="12.6" customHeight="1">
      <c r="A21" s="34">
        <v>5</v>
      </c>
      <c r="B21" s="2653">
        <f>IF(A21&gt;C9,0,SUM(C112:C123)*($C$6/$C$7))</f>
        <v>0</v>
      </c>
      <c r="C21" s="2654">
        <f>IF(A21&gt;C9,0,(E111+K111)*$C$8)</f>
        <v>0</v>
      </c>
      <c r="D21" s="3134">
        <f t="shared" si="0"/>
        <v>0</v>
      </c>
      <c r="E21" s="3134"/>
      <c r="F21" s="108"/>
      <c r="G21" s="108"/>
      <c r="H21" s="108"/>
    </row>
    <row r="22" spans="1:8" ht="12.6" customHeight="1">
      <c r="A22" s="105">
        <v>6</v>
      </c>
      <c r="B22" s="2655">
        <f>IF(A22&gt;C9,0,SUM(C124:C135)*($C$6/$C$7))</f>
        <v>0</v>
      </c>
      <c r="C22" s="2658">
        <f>IF(A22&gt;C9,0,(E123+K123)*$C$8)</f>
        <v>0</v>
      </c>
      <c r="D22" s="3133">
        <f t="shared" si="0"/>
        <v>0</v>
      </c>
      <c r="E22" s="3133"/>
      <c r="F22" s="108"/>
      <c r="G22" s="108"/>
      <c r="H22" s="108"/>
    </row>
    <row r="23" spans="1:8" ht="12.6" customHeight="1">
      <c r="A23" s="34">
        <v>7</v>
      </c>
      <c r="B23" s="2653">
        <f>IF(A23&gt;C9,0,SUM(C136:C147)*($C$6/$C$7))</f>
        <v>0</v>
      </c>
      <c r="C23" s="2654">
        <f>IF(A23&gt;C9,0,(E135+K135)*$C$8)</f>
        <v>0</v>
      </c>
      <c r="D23" s="3133">
        <f t="shared" si="0"/>
        <v>0</v>
      </c>
      <c r="E23" s="3133"/>
      <c r="F23" s="108"/>
      <c r="G23" s="108"/>
      <c r="H23" s="108"/>
    </row>
    <row r="24" spans="1:8" ht="12.6" customHeight="1">
      <c r="A24" s="34">
        <v>8</v>
      </c>
      <c r="B24" s="2653">
        <f>IF(A24&gt;C9,0,SUM(C148:C159)*($C$6/$C$7))</f>
        <v>0</v>
      </c>
      <c r="C24" s="2654">
        <f>IF(A24&gt;C9,0,(E147+K147)*$C$8)</f>
        <v>0</v>
      </c>
      <c r="D24" s="3133">
        <f t="shared" si="0"/>
        <v>0</v>
      </c>
      <c r="E24" s="3133"/>
      <c r="F24" s="108"/>
      <c r="G24" s="108"/>
      <c r="H24" s="108"/>
    </row>
    <row r="25" spans="1:8" ht="12.6" customHeight="1">
      <c r="A25" s="34">
        <v>9</v>
      </c>
      <c r="B25" s="2653">
        <f>IF(A25&gt;C9,0,SUM(C160:C171)*($C$6/$C$7))</f>
        <v>0</v>
      </c>
      <c r="C25" s="2654">
        <f>IF(A25&gt;C9,0,(E159+K159)*$C$8)</f>
        <v>0</v>
      </c>
      <c r="D25" s="3133">
        <f t="shared" si="0"/>
        <v>0</v>
      </c>
      <c r="E25" s="3133"/>
      <c r="F25" s="108"/>
      <c r="G25" s="108"/>
      <c r="H25" s="108"/>
    </row>
    <row r="26" spans="1:8" ht="12.6" customHeight="1">
      <c r="A26" s="106">
        <v>10</v>
      </c>
      <c r="B26" s="2656">
        <f>IF(A26&gt;C9,0,SUM(C172:C183)*($C$6/$C$7))</f>
        <v>0</v>
      </c>
      <c r="C26" s="2657">
        <f>IF(A26&gt;C9,0,(E171+K171)*$C$8)</f>
        <v>0</v>
      </c>
      <c r="D26" s="3134">
        <f t="shared" si="0"/>
        <v>0</v>
      </c>
      <c r="E26" s="3134"/>
      <c r="F26" s="108"/>
      <c r="G26" s="108"/>
      <c r="H26" s="108"/>
    </row>
    <row r="27" spans="1:8" ht="12.6" customHeight="1">
      <c r="A27" s="34">
        <v>11</v>
      </c>
      <c r="B27" s="2653">
        <f>IF(A27&gt;C9,0,SUM(C184:C195)*($C$6/$C$7))</f>
        <v>0</v>
      </c>
      <c r="C27" s="2654">
        <f>IF(A27&gt;C9,0,(E183+K183)*$C$8)</f>
        <v>0</v>
      </c>
      <c r="D27" s="3133">
        <f t="shared" si="0"/>
        <v>0</v>
      </c>
      <c r="E27" s="3133"/>
      <c r="F27" s="108"/>
      <c r="G27" s="108"/>
      <c r="H27" s="108"/>
    </row>
    <row r="28" spans="1:8" ht="12.6" customHeight="1">
      <c r="A28" s="34">
        <v>12</v>
      </c>
      <c r="B28" s="2653">
        <f>IF(A28&gt;C9,0,SUM(C196:C207)*($C$6/$C$7))</f>
        <v>0</v>
      </c>
      <c r="C28" s="2654">
        <f>IF(A28&gt;C9,0,(E195+K195)*$C$8)</f>
        <v>0</v>
      </c>
      <c r="D28" s="3133">
        <f t="shared" si="0"/>
        <v>0</v>
      </c>
      <c r="E28" s="3133"/>
      <c r="F28" s="108"/>
      <c r="G28" s="108"/>
      <c r="H28" s="108"/>
    </row>
    <row r="29" spans="1:8" ht="12.6" customHeight="1">
      <c r="A29" s="34">
        <v>13</v>
      </c>
      <c r="B29" s="2653">
        <f>IF(A29&gt;C9,0,SUM(C208:C219)*($C$6/$C$7))</f>
        <v>0</v>
      </c>
      <c r="C29" s="2654">
        <f>IF(A29&gt;C9,0,(E207+K207)*$C$8)</f>
        <v>0</v>
      </c>
      <c r="D29" s="3133">
        <f t="shared" si="0"/>
        <v>0</v>
      </c>
      <c r="E29" s="3133"/>
      <c r="F29" s="108"/>
      <c r="G29" s="108"/>
      <c r="H29" s="108"/>
    </row>
    <row r="30" spans="1:8" ht="12.6" customHeight="1">
      <c r="A30" s="34">
        <v>14</v>
      </c>
      <c r="B30" s="2653">
        <f>IF(A30&gt;C9,0,SUM(C220:C231)*($C$6/$C$7))</f>
        <v>0</v>
      </c>
      <c r="C30" s="2654">
        <f>IF(A30&gt;C9,0,(E219+K219)*$C$8)</f>
        <v>0</v>
      </c>
      <c r="D30" s="3133">
        <f t="shared" si="0"/>
        <v>0</v>
      </c>
      <c r="E30" s="3133"/>
      <c r="F30" s="108"/>
      <c r="G30" s="108"/>
      <c r="H30" s="108"/>
    </row>
    <row r="31" spans="1:8" ht="12.6" customHeight="1">
      <c r="A31" s="34">
        <v>15</v>
      </c>
      <c r="B31" s="2653">
        <f>IF(A31&gt;C9,0,SUM(C232:C243)*($C$6/$C$7))</f>
        <v>0</v>
      </c>
      <c r="C31" s="2654">
        <f>IF(A31&gt;C9,0,(E231+K231)*$C$8)</f>
        <v>0</v>
      </c>
      <c r="D31" s="3134">
        <f t="shared" si="0"/>
        <v>0</v>
      </c>
      <c r="E31" s="3134"/>
      <c r="F31" s="108"/>
      <c r="G31" s="108"/>
      <c r="H31" s="108"/>
    </row>
    <row r="32" spans="1:8" ht="12.6" customHeight="1">
      <c r="A32" s="105">
        <v>16</v>
      </c>
      <c r="B32" s="2655">
        <f>IF(A32&gt;C9,0,SUM(C244:C255)*($C$6/$C$7))</f>
        <v>0</v>
      </c>
      <c r="C32" s="2658">
        <f>IF(A32&gt;C9,0,(E243+K243)*$C$8)</f>
        <v>0</v>
      </c>
      <c r="D32" s="3133">
        <f t="shared" si="0"/>
        <v>0</v>
      </c>
      <c r="E32" s="3133"/>
      <c r="F32" s="108"/>
      <c r="G32" s="108"/>
      <c r="H32" s="108"/>
    </row>
    <row r="33" spans="1:8" ht="12.6" customHeight="1">
      <c r="A33" s="34">
        <v>17</v>
      </c>
      <c r="B33" s="2653">
        <f>IF(A33&gt;C9,0,SUM(C256:C267)*($C$6/$C$7))</f>
        <v>0</v>
      </c>
      <c r="C33" s="2654">
        <f>IF(A33&gt;C9,0,(E255+K255)*$C$8)</f>
        <v>0</v>
      </c>
      <c r="D33" s="3133">
        <f t="shared" si="0"/>
        <v>0</v>
      </c>
      <c r="E33" s="3133"/>
      <c r="F33" s="108"/>
      <c r="G33" s="108"/>
      <c r="H33" s="108"/>
    </row>
    <row r="34" spans="1:8" ht="12.6" customHeight="1">
      <c r="A34" s="34">
        <v>18</v>
      </c>
      <c r="B34" s="2653">
        <f>IF(A34&gt;C9,0,SUM(C268:C279)*($C$6/$C$7))</f>
        <v>0</v>
      </c>
      <c r="C34" s="2654">
        <f>IF(A34&gt;C9,0,(E267+K267)*$C$8)</f>
        <v>0</v>
      </c>
      <c r="D34" s="3133">
        <f t="shared" si="0"/>
        <v>0</v>
      </c>
      <c r="E34" s="3133"/>
      <c r="F34" s="108"/>
      <c r="G34" s="108"/>
      <c r="H34" s="108"/>
    </row>
    <row r="35" spans="1:8" ht="12.6" customHeight="1">
      <c r="A35" s="34">
        <v>19</v>
      </c>
      <c r="B35" s="2653">
        <f>IF(A35&gt;C9,0,SUM(C280:C291)*($C$6/$C$7))</f>
        <v>0</v>
      </c>
      <c r="C35" s="2654">
        <f>IF(A35&gt;C9,0,(E279+K279)*$C$8)</f>
        <v>0</v>
      </c>
      <c r="D35" s="3133">
        <f t="shared" si="0"/>
        <v>0</v>
      </c>
      <c r="E35" s="3133"/>
      <c r="F35" s="108"/>
      <c r="G35" s="108"/>
      <c r="H35" s="108"/>
    </row>
    <row r="36" spans="1:8" ht="12.6" customHeight="1">
      <c r="A36" s="106">
        <v>20</v>
      </c>
      <c r="B36" s="2656">
        <f>IF(A36&gt;C9,0,SUM(C292:C303)*($C$6/$C$7))</f>
        <v>0</v>
      </c>
      <c r="C36" s="2657">
        <f>IF(A36&gt;C9,0,(E291+K291)*$C$8)</f>
        <v>0</v>
      </c>
      <c r="D36" s="3134">
        <f t="shared" si="0"/>
        <v>0</v>
      </c>
      <c r="E36" s="3134"/>
      <c r="F36" s="108"/>
      <c r="G36" s="108"/>
      <c r="H36" s="108"/>
    </row>
    <row r="37" spans="1:8" ht="12.6" customHeight="1">
      <c r="A37" s="34">
        <v>21</v>
      </c>
      <c r="B37" s="2655">
        <f>IF(A37&gt;C9,0,SUM(C293:C304)*($C$6/$C$7))</f>
        <v>0</v>
      </c>
      <c r="C37" s="2658">
        <f>IF(A37&gt;C9,0,(E303+K303)*$C$8)</f>
        <v>0</v>
      </c>
      <c r="D37" s="3135">
        <f t="shared" si="0"/>
        <v>0</v>
      </c>
      <c r="E37" s="3135"/>
      <c r="F37" s="108"/>
      <c r="G37" s="108"/>
      <c r="H37" s="108"/>
    </row>
    <row r="38" spans="1:8" ht="12.6" customHeight="1">
      <c r="A38" s="34">
        <v>22</v>
      </c>
      <c r="B38" s="2653">
        <f>IF(A38&gt;C9,0,SUM(C294:C305)*($C$6/$C$7))</f>
        <v>0</v>
      </c>
      <c r="C38" s="2654">
        <f>IF(A38&gt;C9,0,(E315+K315)*$C$8)</f>
        <v>0</v>
      </c>
      <c r="D38" s="3133">
        <f t="shared" si="0"/>
        <v>0</v>
      </c>
      <c r="E38" s="3133"/>
      <c r="F38" s="108"/>
      <c r="G38" s="108"/>
      <c r="H38" s="108"/>
    </row>
    <row r="39" spans="1:8" ht="12.6" customHeight="1">
      <c r="A39" s="34">
        <v>23</v>
      </c>
      <c r="B39" s="2653">
        <f>IF(A39&gt;C9,0,SUM(C295:C306)*($C$6/$C$7))</f>
        <v>0</v>
      </c>
      <c r="C39" s="2654">
        <f>IF(A39&gt;C9,0,(E327+K327)*$C$8)</f>
        <v>0</v>
      </c>
      <c r="D39" s="3133">
        <f t="shared" si="0"/>
        <v>0</v>
      </c>
      <c r="E39" s="3133"/>
      <c r="F39" s="108"/>
      <c r="G39" s="108"/>
      <c r="H39" s="108"/>
    </row>
    <row r="40" spans="1:8" ht="12.6" customHeight="1">
      <c r="A40" s="34">
        <v>24</v>
      </c>
      <c r="B40" s="2653">
        <f>IF(A40&gt;C9,0,SUM(C296:C307)*($C$6/$C$7))</f>
        <v>0</v>
      </c>
      <c r="C40" s="2654">
        <f>IF(A40&gt;C9,0,(E339+K339)*$C$8)</f>
        <v>0</v>
      </c>
      <c r="D40" s="3133">
        <f t="shared" si="0"/>
        <v>0</v>
      </c>
      <c r="E40" s="3133"/>
      <c r="F40" s="108"/>
      <c r="G40" s="108"/>
      <c r="H40" s="108"/>
    </row>
    <row r="41" spans="1:8" ht="12.6" customHeight="1">
      <c r="A41" s="34">
        <v>25</v>
      </c>
      <c r="B41" s="2656">
        <f>IF(A41&gt;C9,0,SUM(C297:C308)*($C$6/$C$7))</f>
        <v>0</v>
      </c>
      <c r="C41" s="2657">
        <f>IF(A41&gt;C9,0,(E351+K351)*$C$8)</f>
        <v>0</v>
      </c>
      <c r="D41" s="3134">
        <f t="shared" si="0"/>
        <v>0</v>
      </c>
      <c r="E41" s="3134"/>
      <c r="F41" s="108"/>
      <c r="G41" s="108"/>
      <c r="H41" s="108"/>
    </row>
    <row r="42" spans="1:8" ht="12.6" customHeight="1">
      <c r="A42" s="105">
        <v>26</v>
      </c>
      <c r="B42" s="2655">
        <f>IF(A42&gt;C9,0,SUM(C298:C309)*($C$6/$C$7))</f>
        <v>0</v>
      </c>
      <c r="C42" s="2658">
        <f>IF(A42&gt;C9,0,(E363+K363)*$C$8)</f>
        <v>0</v>
      </c>
      <c r="D42" s="3135">
        <f t="shared" si="0"/>
        <v>0</v>
      </c>
      <c r="E42" s="3135"/>
      <c r="F42" s="108"/>
      <c r="G42" s="108"/>
      <c r="H42" s="108"/>
    </row>
    <row r="43" spans="1:8" ht="12.6" customHeight="1">
      <c r="A43" s="34">
        <v>27</v>
      </c>
      <c r="B43" s="2653">
        <f>IF(A43&gt;C9,0,SUM(C299:C310)*($C$6/$C$7))</f>
        <v>0</v>
      </c>
      <c r="C43" s="2654">
        <f>IF(A43&gt;C9,0,(E375+K375)*$C$8)</f>
        <v>0</v>
      </c>
      <c r="D43" s="3133">
        <f t="shared" si="0"/>
        <v>0</v>
      </c>
      <c r="E43" s="3133"/>
      <c r="F43" s="108"/>
      <c r="G43" s="108"/>
      <c r="H43" s="108"/>
    </row>
    <row r="44" spans="1:8" ht="12.6" customHeight="1">
      <c r="A44" s="34">
        <v>28</v>
      </c>
      <c r="B44" s="2653">
        <f>IF(A44&gt;C9,0,SUM(C300:C311)*($C$6/$C$7))</f>
        <v>0</v>
      </c>
      <c r="C44" s="2654">
        <f>IF(A44&gt;C9,0,(E387+K387)*$C$8)</f>
        <v>0</v>
      </c>
      <c r="D44" s="3133">
        <f t="shared" si="0"/>
        <v>0</v>
      </c>
      <c r="E44" s="3133"/>
      <c r="F44" s="108"/>
      <c r="G44" s="108"/>
      <c r="H44" s="108"/>
    </row>
    <row r="45" spans="1:8" ht="12.6" customHeight="1">
      <c r="A45" s="34">
        <v>29</v>
      </c>
      <c r="B45" s="2653">
        <f>IF(A45&gt;C9,0,SUM(C301:C312)*($C$6/$C$7))</f>
        <v>0</v>
      </c>
      <c r="C45" s="2654">
        <f>IF(A45&gt;C9,0,(E411+K411)*$C$8)</f>
        <v>0</v>
      </c>
      <c r="D45" s="3133">
        <f t="shared" si="0"/>
        <v>0</v>
      </c>
      <c r="E45" s="3133"/>
      <c r="F45" s="108"/>
      <c r="G45" s="108"/>
      <c r="H45" s="108"/>
    </row>
    <row r="46" spans="1:8" ht="12.6" customHeight="1">
      <c r="A46" s="106">
        <v>30</v>
      </c>
      <c r="B46" s="2656">
        <f>IF(A46&gt;C9,0,SUM(C302:C313)*($C$6/$C$7))</f>
        <v>0</v>
      </c>
      <c r="C46" s="2657">
        <f>IF(A46&gt;C9,0,(E423+K423)*$C$8)</f>
        <v>0</v>
      </c>
      <c r="D46" s="3134">
        <f t="shared" si="0"/>
        <v>0</v>
      </c>
      <c r="E46" s="3134"/>
      <c r="F46" s="108"/>
      <c r="G46" s="108"/>
      <c r="H46" s="108"/>
    </row>
    <row r="47" spans="1:8" ht="12.6" customHeight="1">
      <c r="A47" s="105">
        <v>31</v>
      </c>
      <c r="B47" s="2655">
        <f>IF(A47&gt;C9,0,SUM(C303:C314)*($C$6/$C$7))</f>
        <v>0</v>
      </c>
      <c r="C47" s="2658">
        <f>IF(A47&gt;C9,0,(E435+K435)*$C$8)</f>
        <v>0</v>
      </c>
      <c r="D47" s="3135">
        <f t="shared" si="0"/>
        <v>0</v>
      </c>
      <c r="E47" s="3135"/>
      <c r="F47" s="108"/>
      <c r="G47" s="108"/>
      <c r="H47" s="108"/>
    </row>
    <row r="48" spans="1:8" ht="12.6" customHeight="1">
      <c r="A48" s="34">
        <v>32</v>
      </c>
      <c r="B48" s="2653">
        <f>IF(A48&gt;C9,0,SUM(C304:C315)*($C$6/$C$7))</f>
        <v>0</v>
      </c>
      <c r="C48" s="2654">
        <f>IF(A48&gt;C9,0,(E447+K447)*$C$8)</f>
        <v>0</v>
      </c>
      <c r="D48" s="3133">
        <f t="shared" si="0"/>
        <v>0</v>
      </c>
      <c r="E48" s="3133"/>
      <c r="F48" s="108"/>
      <c r="G48" s="108"/>
      <c r="H48" s="108"/>
    </row>
    <row r="49" spans="1:12" ht="12.6" customHeight="1">
      <c r="A49" s="34">
        <v>33</v>
      </c>
      <c r="B49" s="2653">
        <f>IF(A49&gt;C9,0,SUM(C305:C316)*($C$6/$C$7))</f>
        <v>0</v>
      </c>
      <c r="C49" s="2654">
        <f>IF(A49&gt;C9,0,(E459+K459)*$C$8)</f>
        <v>0</v>
      </c>
      <c r="D49" s="3133">
        <f t="shared" si="0"/>
        <v>0</v>
      </c>
      <c r="E49" s="3133"/>
      <c r="F49" s="108"/>
      <c r="G49" s="108"/>
      <c r="H49" s="108"/>
    </row>
    <row r="50" spans="1:12" ht="12.6" customHeight="1">
      <c r="A50" s="34">
        <v>34</v>
      </c>
      <c r="B50" s="2653">
        <f>IF(A50&gt;C9,0,SUM(C306:C317)*($C$6/$C$7))</f>
        <v>0</v>
      </c>
      <c r="C50" s="2654">
        <f>IF(A50&gt;C9,0,(E471+K471)*$C$8)</f>
        <v>0</v>
      </c>
      <c r="D50" s="3133">
        <f t="shared" si="0"/>
        <v>0</v>
      </c>
      <c r="E50" s="3133"/>
      <c r="F50" s="108"/>
      <c r="G50" s="108"/>
      <c r="H50" s="108"/>
    </row>
    <row r="51" spans="1:12" ht="12.6" customHeight="1">
      <c r="A51" s="106">
        <v>35</v>
      </c>
      <c r="B51" s="2656">
        <f>IF(A51&gt;C9,0,SUM(C307:C318)*($C$6/$C$7))</f>
        <v>0</v>
      </c>
      <c r="C51" s="2657">
        <f>IF(A51&gt;C9,0,(E483+K483)*$C$8)</f>
        <v>0</v>
      </c>
      <c r="D51" s="3134">
        <f t="shared" si="0"/>
        <v>0</v>
      </c>
      <c r="E51" s="3134"/>
      <c r="F51" s="108"/>
      <c r="G51" s="108"/>
      <c r="H51" s="108"/>
    </row>
    <row r="52" spans="1:12" ht="12.6" customHeight="1">
      <c r="A52" s="105">
        <v>36</v>
      </c>
      <c r="B52" s="2655">
        <f>IF(A52&gt;C9,0,SUM(C308:C319)*($C$6/$C$7))</f>
        <v>0</v>
      </c>
      <c r="C52" s="2658">
        <f>IF(A52&gt;C9,0,(E495+K495)*$C$8)</f>
        <v>0</v>
      </c>
      <c r="D52" s="3135">
        <f t="shared" si="0"/>
        <v>0</v>
      </c>
      <c r="E52" s="3135"/>
      <c r="F52" s="108"/>
      <c r="G52" s="108"/>
      <c r="H52" s="108"/>
    </row>
    <row r="53" spans="1:12" ht="12.6" customHeight="1">
      <c r="A53" s="34">
        <v>37</v>
      </c>
      <c r="B53" s="2653">
        <f>IF(A53&gt;C9,0,SUM(C309:C320)*($C$6/$C$7))</f>
        <v>0</v>
      </c>
      <c r="C53" s="2654">
        <f>IF(A53&gt;C9,0,(E507+K507)*$C$8)</f>
        <v>0</v>
      </c>
      <c r="D53" s="3133">
        <f t="shared" si="0"/>
        <v>0</v>
      </c>
      <c r="E53" s="3133"/>
      <c r="F53" s="108"/>
      <c r="G53" s="108"/>
      <c r="H53" s="108"/>
    </row>
    <row r="54" spans="1:12" ht="12.6" customHeight="1">
      <c r="A54" s="34">
        <v>38</v>
      </c>
      <c r="B54" s="2653">
        <f>IF(A54&gt;C9,0,SUM(C310:C321)*($C$6/$C$7))</f>
        <v>0</v>
      </c>
      <c r="C54" s="2654">
        <f>IF(A54&gt;C9,0,(E519+K519)*$C$8)</f>
        <v>0</v>
      </c>
      <c r="D54" s="3133">
        <f t="shared" si="0"/>
        <v>0</v>
      </c>
      <c r="E54" s="3133"/>
      <c r="F54" s="108"/>
      <c r="G54" s="108"/>
      <c r="H54" s="108"/>
    </row>
    <row r="55" spans="1:12" ht="12.6" customHeight="1">
      <c r="A55" s="34">
        <v>39</v>
      </c>
      <c r="B55" s="2653">
        <f>IF(A55&gt;C9,0,SUM(C311:C322)*($C$6/$C$7))</f>
        <v>0</v>
      </c>
      <c r="C55" s="2654">
        <f>IF(A55&gt;C9,0,(E531+K531)*$C$8)</f>
        <v>0</v>
      </c>
      <c r="D55" s="3133">
        <f t="shared" si="0"/>
        <v>0</v>
      </c>
      <c r="E55" s="3133"/>
      <c r="F55" s="108"/>
      <c r="G55" s="108"/>
      <c r="H55" s="108"/>
    </row>
    <row r="56" spans="1:12" ht="12.6" customHeight="1">
      <c r="A56" s="106">
        <v>40</v>
      </c>
      <c r="B56" s="2656">
        <f>IF(A56&gt;C9,0,SUM(C312:C323)*($C$6/$C$7))</f>
        <v>0</v>
      </c>
      <c r="C56" s="2657">
        <f>IF(A56&gt;C9,0,(E543+K543)*$C$8)</f>
        <v>0</v>
      </c>
      <c r="D56" s="3134">
        <f t="shared" si="0"/>
        <v>0</v>
      </c>
      <c r="E56" s="3134"/>
      <c r="F56" s="108"/>
      <c r="G56" s="108"/>
      <c r="H56" s="108"/>
    </row>
    <row r="57" spans="1:12" ht="3" customHeight="1">
      <c r="A57" s="108"/>
      <c r="B57" s="108"/>
      <c r="C57" s="108"/>
      <c r="D57" s="108"/>
      <c r="E57" s="108"/>
      <c r="F57" s="108"/>
      <c r="G57" s="108"/>
      <c r="H57" s="108"/>
    </row>
    <row r="58" spans="1:12" ht="13.35" customHeight="1">
      <c r="A58" s="3137" t="e">
        <f>CONCATENATE(#REF!," ",#REF!,", ",#REF!,", ",#REF!," County")</f>
        <v>#REF!</v>
      </c>
      <c r="B58" s="3137"/>
      <c r="C58" s="3137"/>
      <c r="D58" s="3137"/>
      <c r="E58" s="3137"/>
      <c r="F58" s="3137"/>
      <c r="G58" s="3137" t="e">
        <f>CONCATENATE(#REF!," ",#REF!,", ",#REF!,", ",#REF!," County")</f>
        <v>#REF!</v>
      </c>
      <c r="H58" s="3137"/>
      <c r="I58" s="3137"/>
      <c r="J58" s="3137"/>
      <c r="K58" s="3137"/>
      <c r="L58" s="3137"/>
    </row>
    <row r="59" spans="1:12" ht="15">
      <c r="A59" s="3138" t="s">
        <v>499</v>
      </c>
      <c r="B59" s="3138"/>
      <c r="C59" s="3138"/>
      <c r="D59" s="3138"/>
      <c r="E59" s="3138"/>
      <c r="F59" s="3138"/>
      <c r="G59" s="3138" t="s">
        <v>499</v>
      </c>
      <c r="H59" s="3138"/>
      <c r="I59" s="3138"/>
      <c r="J59" s="3138"/>
      <c r="K59" s="3138"/>
      <c r="L59" s="3138"/>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34" customWidth="1"/>
    <col min="9" max="9" width="10.42578125" bestFit="1" customWidth="1"/>
    <col min="10" max="10" width="12.28515625" customWidth="1"/>
    <col min="11" max="11" width="10.7109375" customWidth="1"/>
  </cols>
  <sheetData>
    <row r="1" spans="1:17" s="4" customFormat="1" ht="16.350000000000001" customHeight="1">
      <c r="A1" s="3130" t="e">
        <f>CONCATENATE("PART III C  - HUD INSURED LOAN","  -  ",#REF!," ",#REF!,", ",#REF!,", ",#REF!," County")</f>
        <v>#REF!</v>
      </c>
      <c r="B1" s="3131"/>
      <c r="C1" s="3131"/>
      <c r="D1" s="3131"/>
      <c r="E1" s="3131"/>
      <c r="F1" s="3132"/>
      <c r="G1" s="91"/>
      <c r="H1" s="91"/>
      <c r="I1" s="91"/>
      <c r="J1" s="91"/>
      <c r="K1" s="91"/>
      <c r="L1" s="91"/>
      <c r="M1" s="91"/>
      <c r="N1" s="91"/>
      <c r="O1" s="91"/>
      <c r="P1" s="91"/>
      <c r="Q1" s="91"/>
    </row>
    <row r="2" spans="1:17">
      <c r="A2" s="6"/>
    </row>
    <row r="3" spans="1:17" ht="15.6" customHeight="1">
      <c r="A3" s="3138" t="s">
        <v>481</v>
      </c>
      <c r="B3" s="3138"/>
      <c r="C3" s="3138"/>
      <c r="D3" s="3138"/>
      <c r="E3" s="3138"/>
      <c r="F3" s="3138"/>
      <c r="G3" s="121"/>
      <c r="H3" s="121"/>
    </row>
    <row r="4" spans="1:17">
      <c r="A4" s="6"/>
    </row>
    <row r="5" spans="1:17" ht="13.35" customHeight="1">
      <c r="A5" t="s">
        <v>482</v>
      </c>
      <c r="D5" s="2660"/>
      <c r="E5" s="3141" t="s">
        <v>506</v>
      </c>
      <c r="F5" s="3142"/>
      <c r="G5" s="83"/>
    </row>
    <row r="6" spans="1:17">
      <c r="E6" s="3142"/>
      <c r="F6" s="3142"/>
      <c r="G6" s="83"/>
    </row>
    <row r="7" spans="1:17">
      <c r="A7" t="s">
        <v>483</v>
      </c>
      <c r="C7" t="s">
        <v>507</v>
      </c>
      <c r="D7" s="2661"/>
      <c r="E7" s="3142"/>
      <c r="F7" s="3142"/>
      <c r="G7" s="83"/>
    </row>
    <row r="8" spans="1:17">
      <c r="C8" t="s">
        <v>508</v>
      </c>
      <c r="D8" s="2661"/>
      <c r="E8" s="3142"/>
      <c r="F8" s="3142"/>
      <c r="G8" s="83"/>
    </row>
    <row r="9" spans="1:17">
      <c r="C9" t="s">
        <v>509</v>
      </c>
      <c r="D9" s="2661"/>
      <c r="E9" s="3142"/>
      <c r="F9" s="3142"/>
      <c r="G9" s="83"/>
    </row>
    <row r="10" spans="1:17">
      <c r="C10" t="s">
        <v>486</v>
      </c>
      <c r="D10" s="122">
        <f>D7+D8+D9</f>
        <v>0</v>
      </c>
      <c r="E10" s="3142"/>
      <c r="F10" s="3142"/>
      <c r="G10" s="83"/>
    </row>
    <row r="11" spans="1:17">
      <c r="F11" s="83"/>
      <c r="G11" s="83"/>
    </row>
    <row r="12" spans="1:17">
      <c r="A12" t="s">
        <v>510</v>
      </c>
      <c r="D12" s="2662"/>
      <c r="E12" t="s">
        <v>511</v>
      </c>
      <c r="F12" s="83"/>
      <c r="G12" s="83"/>
    </row>
    <row r="13" spans="1:17">
      <c r="D13" s="107"/>
      <c r="F13" s="83"/>
      <c r="G13" s="83"/>
    </row>
    <row r="14" spans="1:17">
      <c r="A14" t="s">
        <v>512</v>
      </c>
      <c r="D14" s="2663"/>
      <c r="E14" t="s">
        <v>513</v>
      </c>
      <c r="F14" s="123"/>
    </row>
    <row r="15" spans="1:17">
      <c r="D15" s="117"/>
      <c r="F15" s="123"/>
    </row>
    <row r="16" spans="1:17">
      <c r="A16" t="s">
        <v>514</v>
      </c>
      <c r="D16" s="2663"/>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3139" t="s">
        <v>518</v>
      </c>
      <c r="B24" s="3139"/>
      <c r="C24" s="3139"/>
      <c r="D24" s="3139"/>
      <c r="E24" s="3139"/>
      <c r="F24" s="3139"/>
      <c r="J24" s="2664"/>
    </row>
    <row r="25" spans="1:10">
      <c r="C25" s="107"/>
      <c r="J25" s="2664"/>
    </row>
    <row r="26" spans="1:10">
      <c r="A26" s="49"/>
      <c r="B26" s="34"/>
      <c r="C26" s="3143" t="s">
        <v>498</v>
      </c>
      <c r="D26" s="120"/>
      <c r="E26" s="34"/>
      <c r="F26" s="3143" t="s">
        <v>498</v>
      </c>
      <c r="J26" s="2664"/>
    </row>
    <row r="27" spans="1:10">
      <c r="A27" s="124" t="s">
        <v>495</v>
      </c>
      <c r="B27" s="2535" t="s">
        <v>519</v>
      </c>
      <c r="C27" s="3144"/>
      <c r="D27" s="125" t="s">
        <v>495</v>
      </c>
      <c r="E27" s="2535" t="s">
        <v>519</v>
      </c>
      <c r="F27" s="3144"/>
      <c r="J27" s="2664"/>
    </row>
    <row r="28" spans="1:10">
      <c r="A28" s="2595">
        <v>1</v>
      </c>
      <c r="B28" s="2665">
        <f>IF(A28&gt;D14,0,E55*$D$12)</f>
        <v>0</v>
      </c>
      <c r="C28" s="2665">
        <f>IF(A28&gt;$D$14,0,$D$18+B28)</f>
        <v>0</v>
      </c>
      <c r="D28" s="2666">
        <v>21</v>
      </c>
      <c r="E28" s="2665">
        <f>IF(D28&gt;$D$14,0,E295*$D$12)</f>
        <v>0</v>
      </c>
      <c r="F28" s="2665">
        <f>IF(D28&gt;$D$14,0,$D$18+E28)</f>
        <v>0</v>
      </c>
      <c r="J28" s="2664"/>
    </row>
    <row r="29" spans="1:10">
      <c r="A29" s="2595">
        <v>2</v>
      </c>
      <c r="B29" s="2665">
        <f>IF(A29&gt;D14,0,E67*$D$12)</f>
        <v>0</v>
      </c>
      <c r="C29" s="2665">
        <f t="shared" ref="C29:C47" si="0">IF(A29&gt;$D$14,0,$D$18+B29)</f>
        <v>0</v>
      </c>
      <c r="D29" s="2666">
        <v>22</v>
      </c>
      <c r="E29" s="2665">
        <f>IF(D29&gt;$D$14,0,E307*$D$12)</f>
        <v>0</v>
      </c>
      <c r="F29" s="2665">
        <f t="shared" ref="F29:F47" si="1">IF(D29&gt;$D$14,0,$D$18+E29)</f>
        <v>0</v>
      </c>
      <c r="J29" s="2664"/>
    </row>
    <row r="30" spans="1:10">
      <c r="A30" s="2595">
        <v>3</v>
      </c>
      <c r="B30" s="2665">
        <f>IF(A30&gt;D14,0,E79*$D$12)</f>
        <v>0</v>
      </c>
      <c r="C30" s="2665">
        <f t="shared" si="0"/>
        <v>0</v>
      </c>
      <c r="D30" s="2666">
        <v>23</v>
      </c>
      <c r="E30" s="2665">
        <f>IF(D30&gt;$D$14,0,E319*$D$12)</f>
        <v>0</v>
      </c>
      <c r="F30" s="2665">
        <f t="shared" si="1"/>
        <v>0</v>
      </c>
      <c r="J30" s="2664"/>
    </row>
    <row r="31" spans="1:10">
      <c r="A31" s="2595">
        <v>4</v>
      </c>
      <c r="B31" s="2665">
        <f>IF(A31&gt;D14,0,E91*$D$12)</f>
        <v>0</v>
      </c>
      <c r="C31" s="2665">
        <f t="shared" si="0"/>
        <v>0</v>
      </c>
      <c r="D31" s="2666">
        <v>24</v>
      </c>
      <c r="E31" s="2665">
        <f>IF(D31&gt;$D$14,0,E331*$D$12)</f>
        <v>0</v>
      </c>
      <c r="F31" s="2665">
        <f t="shared" si="1"/>
        <v>0</v>
      </c>
      <c r="J31" s="2664"/>
    </row>
    <row r="32" spans="1:10">
      <c r="A32" s="2595">
        <v>5</v>
      </c>
      <c r="B32" s="2665">
        <f>IF(A32&gt;D14,0,E103*$D$12)</f>
        <v>0</v>
      </c>
      <c r="C32" s="2667">
        <f t="shared" si="0"/>
        <v>0</v>
      </c>
      <c r="D32" s="2666">
        <v>25</v>
      </c>
      <c r="E32" s="2665">
        <f>IF(D32&gt;$D$14,0,E343*$D$12)</f>
        <v>0</v>
      </c>
      <c r="F32" s="2667">
        <f t="shared" si="1"/>
        <v>0</v>
      </c>
      <c r="J32" s="2664"/>
    </row>
    <row r="33" spans="1:10">
      <c r="A33" s="2668">
        <v>6</v>
      </c>
      <c r="B33" s="2669">
        <f>IF(A33&gt;D14,0,E115*$D$12)</f>
        <v>0</v>
      </c>
      <c r="C33" s="2665">
        <f t="shared" si="0"/>
        <v>0</v>
      </c>
      <c r="D33" s="2670">
        <v>26</v>
      </c>
      <c r="E33" s="2669">
        <f>IF(D33&gt;$D$14,0,E355*$D$12)</f>
        <v>0</v>
      </c>
      <c r="F33" s="2665">
        <f t="shared" si="1"/>
        <v>0</v>
      </c>
      <c r="J33" s="2664"/>
    </row>
    <row r="34" spans="1:10">
      <c r="A34" s="2595">
        <v>7</v>
      </c>
      <c r="B34" s="2665">
        <f>IF(A34&gt;D14,0,E127*$D$12)</f>
        <v>0</v>
      </c>
      <c r="C34" s="2665">
        <f t="shared" si="0"/>
        <v>0</v>
      </c>
      <c r="D34" s="2666">
        <v>27</v>
      </c>
      <c r="E34" s="2665">
        <f>IF(D34&gt;$D$14,0,E367*$D$12)</f>
        <v>0</v>
      </c>
      <c r="F34" s="2665">
        <f t="shared" si="1"/>
        <v>0</v>
      </c>
      <c r="J34" s="2664"/>
    </row>
    <row r="35" spans="1:10">
      <c r="A35" s="2595">
        <v>8</v>
      </c>
      <c r="B35" s="2665">
        <f>IF(A35&gt;D14,0,E139*$D$12)</f>
        <v>0</v>
      </c>
      <c r="C35" s="2665">
        <f t="shared" si="0"/>
        <v>0</v>
      </c>
      <c r="D35" s="2666">
        <v>28</v>
      </c>
      <c r="E35" s="2665">
        <f>IF(D35&gt;$D$14,0,E379*$D$12)</f>
        <v>0</v>
      </c>
      <c r="F35" s="2665">
        <f t="shared" si="1"/>
        <v>0</v>
      </c>
      <c r="J35" s="2664"/>
    </row>
    <row r="36" spans="1:10">
      <c r="A36" s="2595">
        <v>9</v>
      </c>
      <c r="B36" s="2665">
        <f>IF(A36&gt;D14,0,E151*$D$12)</f>
        <v>0</v>
      </c>
      <c r="C36" s="2665">
        <f t="shared" si="0"/>
        <v>0</v>
      </c>
      <c r="D36" s="2666">
        <v>29</v>
      </c>
      <c r="E36" s="2665">
        <f>IF(D36&gt;$D$14,0,E391*$D$12)</f>
        <v>0</v>
      </c>
      <c r="F36" s="2665">
        <f t="shared" si="1"/>
        <v>0</v>
      </c>
      <c r="J36" s="2664"/>
    </row>
    <row r="37" spans="1:10">
      <c r="A37" s="2671">
        <v>10</v>
      </c>
      <c r="B37" s="2667">
        <f>IF(A37&gt;D14,0,E163*$D$12)</f>
        <v>0</v>
      </c>
      <c r="C37" s="2667">
        <f t="shared" si="0"/>
        <v>0</v>
      </c>
      <c r="D37" s="2672">
        <v>30</v>
      </c>
      <c r="E37" s="2667">
        <f>IF(D37&gt;$D$14,0,E403*$D$12)</f>
        <v>0</v>
      </c>
      <c r="F37" s="2667">
        <f t="shared" si="1"/>
        <v>0</v>
      </c>
      <c r="J37" s="2664"/>
    </row>
    <row r="38" spans="1:10">
      <c r="A38" s="2595">
        <v>11</v>
      </c>
      <c r="B38" s="2665">
        <f>IF(A38&gt;D14,0,E175*$D$12)</f>
        <v>0</v>
      </c>
      <c r="C38" s="2665">
        <f t="shared" si="0"/>
        <v>0</v>
      </c>
      <c r="D38" s="2666">
        <v>31</v>
      </c>
      <c r="E38" s="2665">
        <f>IF(D38&gt;$D$14,0,E415*$D$12)</f>
        <v>0</v>
      </c>
      <c r="F38" s="2665">
        <f t="shared" si="1"/>
        <v>0</v>
      </c>
      <c r="J38" s="2664"/>
    </row>
    <row r="39" spans="1:10">
      <c r="A39" s="2595">
        <v>12</v>
      </c>
      <c r="B39" s="2665">
        <f>IF(A39&gt;D14,0,E187*$D$12)</f>
        <v>0</v>
      </c>
      <c r="C39" s="2665">
        <f t="shared" si="0"/>
        <v>0</v>
      </c>
      <c r="D39" s="2666">
        <v>32</v>
      </c>
      <c r="E39" s="2665">
        <f>IF(D39&gt;$D$14,0,E427*$D$12)</f>
        <v>0</v>
      </c>
      <c r="F39" s="2665">
        <f t="shared" si="1"/>
        <v>0</v>
      </c>
      <c r="J39" s="2664"/>
    </row>
    <row r="40" spans="1:10">
      <c r="A40" s="2595">
        <v>13</v>
      </c>
      <c r="B40" s="2665">
        <f>IF(A40&gt;D14,0,E199*$D$12)</f>
        <v>0</v>
      </c>
      <c r="C40" s="2665">
        <f t="shared" si="0"/>
        <v>0</v>
      </c>
      <c r="D40" s="2666">
        <v>33</v>
      </c>
      <c r="E40" s="2665">
        <f>IF(D40&gt;$D$14,0,E439*$D$12)</f>
        <v>0</v>
      </c>
      <c r="F40" s="2665">
        <f t="shared" si="1"/>
        <v>0</v>
      </c>
      <c r="J40" s="2664"/>
    </row>
    <row r="41" spans="1:10">
      <c r="A41" s="2595">
        <v>14</v>
      </c>
      <c r="B41" s="2665">
        <f>IF(A41&gt;D14,0,E211*$D$12)</f>
        <v>0</v>
      </c>
      <c r="C41" s="2665">
        <f t="shared" si="0"/>
        <v>0</v>
      </c>
      <c r="D41" s="2666">
        <v>34</v>
      </c>
      <c r="E41" s="2665">
        <f>IF(D41&gt;$D$14,0,E451*$D$12)</f>
        <v>0</v>
      </c>
      <c r="F41" s="2665">
        <f t="shared" si="1"/>
        <v>0</v>
      </c>
      <c r="J41" s="2664"/>
    </row>
    <row r="42" spans="1:10">
      <c r="A42" s="2595">
        <v>15</v>
      </c>
      <c r="B42" s="2665">
        <f>IF(A42&gt;D14,0,E223*$D$12)</f>
        <v>0</v>
      </c>
      <c r="C42" s="2667">
        <f t="shared" si="0"/>
        <v>0</v>
      </c>
      <c r="D42" s="2666">
        <v>35</v>
      </c>
      <c r="E42" s="2665">
        <f>IF(D42&gt;$D$14,0,E463*$D$12)</f>
        <v>0</v>
      </c>
      <c r="F42" s="2667">
        <f t="shared" si="1"/>
        <v>0</v>
      </c>
      <c r="J42" s="2664"/>
    </row>
    <row r="43" spans="1:10">
      <c r="A43" s="2668">
        <v>16</v>
      </c>
      <c r="B43" s="2669">
        <f>IF(A43&gt;D14,0,E235*$D$12)</f>
        <v>0</v>
      </c>
      <c r="C43" s="2665">
        <f t="shared" si="0"/>
        <v>0</v>
      </c>
      <c r="D43" s="2670">
        <v>36</v>
      </c>
      <c r="E43" s="2669">
        <f>IF(D43&gt;$D$14,0,E475*$D$12)</f>
        <v>0</v>
      </c>
      <c r="F43" s="2665">
        <f t="shared" si="1"/>
        <v>0</v>
      </c>
      <c r="J43" s="2664"/>
    </row>
    <row r="44" spans="1:10">
      <c r="A44" s="2595">
        <v>17</v>
      </c>
      <c r="B44" s="2665">
        <f>IF(A44&gt;D14,0,E247*$D$12)</f>
        <v>0</v>
      </c>
      <c r="C44" s="2665">
        <f t="shared" si="0"/>
        <v>0</v>
      </c>
      <c r="D44" s="2666">
        <v>37</v>
      </c>
      <c r="E44" s="2665">
        <f>IF(D44&gt;$D$14,0,E487*$D$12)</f>
        <v>0</v>
      </c>
      <c r="F44" s="2665">
        <f t="shared" si="1"/>
        <v>0</v>
      </c>
      <c r="J44" s="2664"/>
    </row>
    <row r="45" spans="1:10">
      <c r="A45" s="2595">
        <v>18</v>
      </c>
      <c r="B45" s="2665">
        <f>IF(A45&gt;D14,0,E259*$D$12)</f>
        <v>0</v>
      </c>
      <c r="C45" s="2665">
        <f t="shared" si="0"/>
        <v>0</v>
      </c>
      <c r="D45" s="2666">
        <v>38</v>
      </c>
      <c r="E45" s="2665">
        <f>IF(D45&gt;$D$14,0,E499*$D$12)</f>
        <v>0</v>
      </c>
      <c r="F45" s="2665">
        <f t="shared" si="1"/>
        <v>0</v>
      </c>
      <c r="J45" s="2664"/>
    </row>
    <row r="46" spans="1:10">
      <c r="A46" s="2595">
        <v>19</v>
      </c>
      <c r="B46" s="2665">
        <f>IF(A46&gt;D14,0,E271*$D$12)</f>
        <v>0</v>
      </c>
      <c r="C46" s="2665">
        <f t="shared" si="0"/>
        <v>0</v>
      </c>
      <c r="D46" s="2666">
        <v>39</v>
      </c>
      <c r="E46" s="2665">
        <f>IF(D46&gt;$D$14,0,E511*$D$12)</f>
        <v>0</v>
      </c>
      <c r="F46" s="2665">
        <f t="shared" si="1"/>
        <v>0</v>
      </c>
      <c r="J46" s="2664"/>
    </row>
    <row r="47" spans="1:10">
      <c r="A47" s="2671">
        <v>20</v>
      </c>
      <c r="B47" s="2667">
        <f>IF(A47&gt;D14,0,E283*$D$12)</f>
        <v>0</v>
      </c>
      <c r="C47" s="2667">
        <f t="shared" si="0"/>
        <v>0</v>
      </c>
      <c r="D47" s="2672">
        <v>40</v>
      </c>
      <c r="E47" s="2667">
        <f>IF(D47&gt;$D$14,0,E523*$D$12)</f>
        <v>0</v>
      </c>
      <c r="F47" s="2667">
        <f t="shared" si="1"/>
        <v>0</v>
      </c>
      <c r="J47" s="2664"/>
    </row>
    <row r="48" spans="1:10">
      <c r="C48" s="107"/>
      <c r="J48" s="2664"/>
    </row>
    <row r="49" spans="1:10">
      <c r="C49" s="107"/>
      <c r="J49" s="2664"/>
    </row>
    <row r="50" spans="1:10" ht="14.1" customHeight="1">
      <c r="A50" s="3137" t="e">
        <f>CONCATENATE(#REF!," ",#REF!,", ",#REF!,", ",#REF!," County")</f>
        <v>#REF!</v>
      </c>
      <c r="B50" s="3137"/>
      <c r="C50" s="3137"/>
      <c r="D50" s="3137"/>
      <c r="E50" s="3137"/>
      <c r="F50" s="3137"/>
      <c r="G50" s="48"/>
      <c r="H50" s="48"/>
    </row>
    <row r="51" spans="1:10" ht="15">
      <c r="A51" s="3138" t="s">
        <v>499</v>
      </c>
      <c r="B51" s="3138"/>
      <c r="C51" s="3138"/>
      <c r="D51" s="3138"/>
      <c r="E51" s="3138"/>
      <c r="F51" s="3138"/>
      <c r="G51" s="121"/>
      <c r="H51" s="121"/>
      <c r="I51" s="121"/>
      <c r="J51" s="121"/>
    </row>
    <row r="52" spans="1:10" ht="5.65"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65" workbookViewId="0">
      <selection activeCell="S102" sqref="S102:T102"/>
    </sheetView>
  </sheetViews>
  <sheetFormatPr defaultColWidth="9.28515625" defaultRowHeight="12.75"/>
  <cols>
    <col min="1" max="1" width="2.42578125" style="96" customWidth="1"/>
    <col min="2" max="2" width="5.42578125" style="96" customWidth="1"/>
    <col min="3" max="3" width="18.28515625" style="96" customWidth="1"/>
    <col min="4" max="4" width="7.28515625" style="96" customWidth="1"/>
    <col min="5" max="5" width="12.5703125" style="96" customWidth="1"/>
    <col min="6" max="6" width="10.42578125" style="96" customWidth="1"/>
    <col min="7" max="8" width="6.42578125" style="96" customWidth="1"/>
    <col min="9" max="9" width="1.7109375" style="96" customWidth="1"/>
    <col min="10" max="11" width="6.42578125" style="96" customWidth="1"/>
    <col min="12" max="12" width="1.7109375" style="96" customWidth="1"/>
    <col min="13" max="14" width="6.42578125" style="96" customWidth="1"/>
    <col min="15" max="15" width="1.7109375" style="96" customWidth="1"/>
    <col min="16" max="17" width="6.42578125" style="96" customWidth="1"/>
    <col min="18" max="18" width="1.7109375" style="96" customWidth="1"/>
    <col min="19" max="20" width="7" style="96" customWidth="1"/>
    <col min="21" max="21" width="5.7109375" style="96" customWidth="1"/>
    <col min="22" max="22" width="13.28515625" style="96" customWidth="1"/>
    <col min="23" max="23" width="24.7109375" style="96" customWidth="1"/>
    <col min="24" max="24" width="73.42578125" style="96" customWidth="1"/>
    <col min="25" max="25" width="9.28515625" style="96"/>
    <col min="26" max="29" width="8" style="96" customWidth="1"/>
    <col min="30" max="31" width="9.28515625" style="96" bestFit="1"/>
    <col min="32" max="32" width="10.42578125" style="96" customWidth="1"/>
    <col min="33" max="33" width="10.28515625" style="96" customWidth="1"/>
    <col min="34" max="51" width="8" style="96" customWidth="1"/>
    <col min="52" max="53" width="9.28515625" style="1312"/>
    <col min="54" max="16384" width="9.28515625" style="96"/>
  </cols>
  <sheetData>
    <row r="1" spans="1:53" s="1312" customFormat="1" ht="13.5" hidden="1" customHeight="1">
      <c r="G1" s="1312" t="s">
        <v>520</v>
      </c>
      <c r="J1" s="1312" t="s">
        <v>521</v>
      </c>
      <c r="M1" s="1312" t="s">
        <v>522</v>
      </c>
      <c r="N1" s="1312" t="s">
        <v>523</v>
      </c>
      <c r="P1" s="1312" t="s">
        <v>524</v>
      </c>
      <c r="Q1" s="1312" t="s">
        <v>525</v>
      </c>
      <c r="S1" s="1312" t="s">
        <v>526</v>
      </c>
      <c r="BA1" s="1279">
        <v>1</v>
      </c>
    </row>
    <row r="2" spans="1:53" s="95" customFormat="1" ht="13.5" customHeight="1">
      <c r="A2" s="3145" t="str">
        <f>CONCATENATE("PART THREE (A):  USES OF FUNDS","  -  ",'Part I-Project Identification'!$O$7," ",'Part I-Project Identification'!$F$26,", ",'Part I-Project Identification'!F27,", ",'Part I-Project Identification'!J27," County")</f>
        <v>PART THREE (A):  USES OF FUNDS  -  2024-0 Finley Place, Austell, Cobb County</v>
      </c>
      <c r="B2" s="3146"/>
      <c r="C2" s="3146"/>
      <c r="D2" s="3146"/>
      <c r="E2" s="3146"/>
      <c r="F2" s="3146"/>
      <c r="G2" s="3146"/>
      <c r="H2" s="3146"/>
      <c r="I2" s="3146"/>
      <c r="J2" s="3146"/>
      <c r="K2" s="3146"/>
      <c r="L2" s="3146"/>
      <c r="M2" s="3146"/>
      <c r="N2" s="3146"/>
      <c r="O2" s="3146"/>
      <c r="P2" s="3146"/>
      <c r="Q2" s="3146"/>
      <c r="R2" s="3146"/>
      <c r="S2" s="3146"/>
      <c r="T2" s="3146"/>
      <c r="U2" s="2512"/>
      <c r="V2" s="2512"/>
      <c r="W2" s="3147" t="str">
        <f>A2</f>
        <v>PART THREE (A):  USES OF FUNDS  -  2024-0 Finley Place, Austell, Cobb County</v>
      </c>
      <c r="X2" s="3147"/>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512"/>
      <c r="AZ2" s="1315"/>
      <c r="BA2" s="1279">
        <v>2</v>
      </c>
    </row>
    <row r="3" spans="1:53" ht="2.25" customHeight="1">
      <c r="BA3" s="1279">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1315"/>
      <c r="BA4" s="1279">
        <v>4</v>
      </c>
    </row>
    <row r="5" spans="1:53" s="95" customFormat="1" ht="2.1" customHeight="1" thickBot="1">
      <c r="A5" s="269"/>
      <c r="B5" s="269"/>
      <c r="C5" s="269"/>
      <c r="D5" s="270"/>
      <c r="E5" s="270"/>
      <c r="F5" s="270"/>
      <c r="G5" s="270"/>
      <c r="H5" s="270"/>
      <c r="I5" s="151"/>
      <c r="J5" s="269"/>
      <c r="K5" s="269"/>
      <c r="L5" s="269"/>
      <c r="M5" s="269"/>
      <c r="N5" s="269"/>
      <c r="O5" s="269"/>
      <c r="P5" s="269"/>
      <c r="Q5" s="269"/>
      <c r="R5" s="269"/>
      <c r="S5" s="269"/>
      <c r="T5" s="269"/>
      <c r="U5" s="2512"/>
      <c r="V5" s="2512"/>
      <c r="W5" s="2512"/>
      <c r="X5" s="2512"/>
      <c r="Y5" s="2512"/>
      <c r="Z5" s="2512"/>
      <c r="AA5" s="2512"/>
      <c r="AB5" s="2512"/>
      <c r="AC5" s="2512"/>
      <c r="AD5" s="2512"/>
      <c r="AE5" s="2512"/>
      <c r="AF5" s="2512"/>
      <c r="AG5" s="2512"/>
      <c r="AH5" s="2512"/>
      <c r="AI5" s="2512"/>
      <c r="AJ5" s="2512"/>
      <c r="AK5" s="2512"/>
      <c r="AL5" s="2512"/>
      <c r="AM5" s="2512"/>
      <c r="AN5" s="2512"/>
      <c r="AO5" s="2512"/>
      <c r="AP5" s="2512"/>
      <c r="AQ5" s="2512"/>
      <c r="AR5" s="2512"/>
      <c r="AS5" s="2512"/>
      <c r="AT5" s="2512"/>
      <c r="AU5" s="2512"/>
      <c r="AV5" s="2512"/>
      <c r="AW5" s="2512"/>
      <c r="AX5" s="2512"/>
      <c r="AY5" s="2512"/>
      <c r="AZ5" s="1315"/>
      <c r="BA5" s="1279">
        <v>5</v>
      </c>
    </row>
    <row r="6" spans="1:53" s="95" customFormat="1" ht="19.5" customHeight="1" thickBot="1">
      <c r="A6" s="237" t="s">
        <v>21</v>
      </c>
      <c r="B6" s="237" t="s">
        <v>527</v>
      </c>
      <c r="C6" s="2512"/>
      <c r="D6" s="3148" t="str">
        <f>'Part I-Project Identification'!$A$6</f>
        <v>2024 May 7</v>
      </c>
      <c r="E6" s="3148"/>
      <c r="F6" s="3148"/>
      <c r="G6" s="3148"/>
      <c r="H6" s="3148"/>
      <c r="I6" s="270"/>
      <c r="J6" s="3149" t="s">
        <v>528</v>
      </c>
      <c r="K6" s="3150"/>
      <c r="L6" s="183"/>
      <c r="M6" s="3153" t="s">
        <v>529</v>
      </c>
      <c r="N6" s="3154"/>
      <c r="O6" s="2512"/>
      <c r="P6" s="3149" t="s">
        <v>530</v>
      </c>
      <c r="Q6" s="3150"/>
      <c r="R6" s="2512"/>
      <c r="S6" s="3149" t="s">
        <v>531</v>
      </c>
      <c r="T6" s="3150"/>
      <c r="U6" s="2512"/>
      <c r="V6" s="238" t="str">
        <f>B6</f>
        <v>DEVELOPMENT BUDGET</v>
      </c>
      <c r="W6" s="2512"/>
      <c r="X6" s="2512"/>
      <c r="Y6" s="2512"/>
      <c r="Z6" s="2512"/>
      <c r="AA6" s="2512"/>
      <c r="AB6" s="2512"/>
      <c r="AC6" s="2512"/>
      <c r="AD6" s="2512"/>
      <c r="AE6" s="2512"/>
      <c r="AF6" s="2512"/>
      <c r="AG6" s="2512"/>
      <c r="AH6" s="2512"/>
      <c r="AI6" s="2512"/>
      <c r="AJ6" s="2512"/>
      <c r="AK6" s="2512"/>
      <c r="AL6" s="2512"/>
      <c r="AM6" s="2512"/>
      <c r="AN6" s="2512"/>
      <c r="AO6" s="2512"/>
      <c r="AP6" s="2512"/>
      <c r="AQ6" s="2512"/>
      <c r="AR6" s="2512"/>
      <c r="AS6" s="2512"/>
      <c r="AT6" s="2512"/>
      <c r="AU6" s="2512"/>
      <c r="AV6" s="2512"/>
      <c r="AW6" s="2512"/>
      <c r="AX6" s="2512"/>
      <c r="AY6" s="2512"/>
      <c r="AZ6" s="1315"/>
      <c r="BA6" s="1279">
        <v>6</v>
      </c>
    </row>
    <row r="7" spans="1:53" s="95" customFormat="1" ht="19.5" customHeight="1" thickBot="1">
      <c r="A7" s="2512"/>
      <c r="B7" s="2512"/>
      <c r="C7" s="2512"/>
      <c r="D7" s="901"/>
      <c r="E7" s="901"/>
      <c r="F7" s="901"/>
      <c r="G7" s="3157" t="s">
        <v>532</v>
      </c>
      <c r="H7" s="3158"/>
      <c r="I7" s="2512"/>
      <c r="J7" s="3151"/>
      <c r="K7" s="3152"/>
      <c r="L7" s="183"/>
      <c r="M7" s="3155"/>
      <c r="N7" s="3156"/>
      <c r="O7" s="2512"/>
      <c r="P7" s="3151"/>
      <c r="Q7" s="3152"/>
      <c r="R7" s="2512"/>
      <c r="S7" s="3151"/>
      <c r="T7" s="3152"/>
      <c r="U7" s="2512"/>
      <c r="V7" s="159" t="s">
        <v>361</v>
      </c>
      <c r="W7" s="2512"/>
      <c r="X7" s="159"/>
      <c r="Y7" s="2512"/>
      <c r="Z7" s="2512"/>
      <c r="AA7" s="2512"/>
      <c r="AB7" s="2512"/>
      <c r="AC7" s="2512"/>
      <c r="AD7" s="2512"/>
      <c r="AE7" s="2512"/>
      <c r="AF7" s="2512"/>
      <c r="AG7" s="2512"/>
      <c r="AH7" s="2512"/>
      <c r="AI7" s="2512"/>
      <c r="AJ7" s="2512"/>
      <c r="AK7" s="2512"/>
      <c r="AL7" s="2512"/>
      <c r="AM7" s="2512"/>
      <c r="AN7" s="2512"/>
      <c r="AO7" s="2512"/>
      <c r="AP7" s="2512"/>
      <c r="AQ7" s="2512"/>
      <c r="AR7" s="2512"/>
      <c r="AS7" s="2512"/>
      <c r="AT7" s="2512"/>
      <c r="AU7" s="2512"/>
      <c r="AV7" s="2512"/>
      <c r="AW7" s="2512"/>
      <c r="AX7" s="2512"/>
      <c r="AY7" s="2512"/>
      <c r="AZ7" s="1315"/>
      <c r="BA7" s="1279">
        <v>7</v>
      </c>
    </row>
    <row r="8" spans="1:53" s="95" customFormat="1" ht="12" customHeight="1">
      <c r="A8" s="2512"/>
      <c r="B8" s="151" t="s">
        <v>533</v>
      </c>
      <c r="C8" s="2512"/>
      <c r="D8" s="2512"/>
      <c r="E8" s="2512"/>
      <c r="F8" s="2512"/>
      <c r="G8" s="2512"/>
      <c r="H8" s="2512"/>
      <c r="I8" s="2512"/>
      <c r="J8" s="2512"/>
      <c r="K8" s="2512"/>
      <c r="L8" s="2512"/>
      <c r="M8" s="2512"/>
      <c r="N8" s="2512"/>
      <c r="O8" s="269" t="str">
        <f>B8</f>
        <v>PRE-DEVELOPMENT COSTS</v>
      </c>
      <c r="P8" s="2512"/>
      <c r="Q8" s="2512"/>
      <c r="R8" s="2512"/>
      <c r="S8" s="2512"/>
      <c r="T8" s="2512"/>
      <c r="U8" s="2512"/>
      <c r="V8" s="2512"/>
      <c r="W8" s="2512" t="str">
        <f>B8</f>
        <v>PRE-DEVELOPMENT COSTS</v>
      </c>
      <c r="X8" s="2512"/>
      <c r="Y8" s="2512"/>
      <c r="Z8" s="2512"/>
      <c r="AA8" s="2512"/>
      <c r="AB8" s="2512"/>
      <c r="AC8" s="2512"/>
      <c r="AD8" s="2512"/>
      <c r="AE8" s="2512"/>
      <c r="AF8" s="2512"/>
      <c r="AG8" s="2512"/>
      <c r="AH8" s="2512"/>
      <c r="AI8" s="2512"/>
      <c r="AJ8" s="2512"/>
      <c r="AK8" s="2512"/>
      <c r="AL8" s="2512"/>
      <c r="AM8" s="2512"/>
      <c r="AN8" s="2512"/>
      <c r="AO8" s="2512"/>
      <c r="AP8" s="2512"/>
      <c r="AQ8" s="2512"/>
      <c r="AR8" s="2512"/>
      <c r="AS8" s="2512"/>
      <c r="AT8" s="2512"/>
      <c r="AU8" s="2512"/>
      <c r="AV8" s="2512"/>
      <c r="AW8" s="2512"/>
      <c r="AX8" s="2512"/>
      <c r="AY8" s="2512"/>
      <c r="AZ8" s="1315"/>
      <c r="BA8" s="1279">
        <v>8</v>
      </c>
    </row>
    <row r="9" spans="1:53" s="95" customFormat="1" ht="11.25" customHeight="1">
      <c r="A9" s="2512"/>
      <c r="B9" s="2512" t="s">
        <v>534</v>
      </c>
      <c r="C9" s="2512"/>
      <c r="D9" s="2512"/>
      <c r="E9" s="2512"/>
      <c r="F9" s="2512"/>
      <c r="G9" s="3060">
        <v>22000</v>
      </c>
      <c r="H9" s="3061"/>
      <c r="I9" s="2512"/>
      <c r="J9" s="3060">
        <v>22000</v>
      </c>
      <c r="K9" s="3061"/>
      <c r="L9" s="2529"/>
      <c r="M9" s="3060"/>
      <c r="N9" s="3061"/>
      <c r="O9" s="2512"/>
      <c r="P9" s="3060"/>
      <c r="Q9" s="3061"/>
      <c r="R9" s="2512"/>
      <c r="S9" s="3060"/>
      <c r="T9" s="3061"/>
      <c r="U9" s="2512"/>
      <c r="V9" s="635"/>
      <c r="W9" s="3159"/>
      <c r="X9" s="3160"/>
      <c r="Y9" s="2512"/>
      <c r="Z9" s="2512"/>
      <c r="AA9" s="2512"/>
      <c r="AB9" s="2512"/>
      <c r="AC9" s="2512"/>
      <c r="AD9" s="2512"/>
      <c r="AE9" s="2512"/>
      <c r="AF9" s="2512"/>
      <c r="AG9" s="2512"/>
      <c r="AH9" s="2512"/>
      <c r="AI9" s="2512"/>
      <c r="AJ9" s="2512"/>
      <c r="AK9" s="2512"/>
      <c r="AL9" s="2512"/>
      <c r="AM9" s="2512"/>
      <c r="AN9" s="2512"/>
      <c r="AO9" s="2512"/>
      <c r="AP9" s="2512"/>
      <c r="AQ9" s="2512"/>
      <c r="AR9" s="2512"/>
      <c r="AS9" s="2512"/>
      <c r="AT9" s="2512"/>
      <c r="AU9" s="2512"/>
      <c r="AV9" s="2512"/>
      <c r="AW9" s="2512"/>
      <c r="AX9" s="2512"/>
      <c r="AY9" s="2512"/>
      <c r="AZ9" s="1315"/>
      <c r="BA9" s="1279">
        <v>9</v>
      </c>
    </row>
    <row r="10" spans="1:53" s="95" customFormat="1" ht="11.25" customHeight="1">
      <c r="A10" s="2512"/>
      <c r="B10" s="2512" t="s">
        <v>535</v>
      </c>
      <c r="C10" s="2512"/>
      <c r="D10" s="2512"/>
      <c r="E10" s="2512"/>
      <c r="F10" s="2512"/>
      <c r="G10" s="3035">
        <v>10000</v>
      </c>
      <c r="H10" s="3036"/>
      <c r="I10" s="2512"/>
      <c r="J10" s="3035">
        <v>10000</v>
      </c>
      <c r="K10" s="3036"/>
      <c r="L10" s="2529"/>
      <c r="M10" s="3035"/>
      <c r="N10" s="3036"/>
      <c r="O10" s="2512"/>
      <c r="P10" s="3035"/>
      <c r="Q10" s="3036"/>
      <c r="R10" s="2512"/>
      <c r="S10" s="3035"/>
      <c r="T10" s="3036"/>
      <c r="U10" s="2512"/>
      <c r="V10" s="635"/>
      <c r="W10" s="3159"/>
      <c r="X10" s="3160"/>
      <c r="Y10" s="2512"/>
      <c r="Z10" s="2512"/>
      <c r="AA10" s="2512"/>
      <c r="AB10" s="2512"/>
      <c r="AC10" s="2512"/>
      <c r="AD10" s="2512"/>
      <c r="AE10" s="2512"/>
      <c r="AF10" s="2512"/>
      <c r="AG10" s="2512"/>
      <c r="AH10" s="2512"/>
      <c r="AI10" s="2512"/>
      <c r="AJ10" s="2512"/>
      <c r="AK10" s="2512"/>
      <c r="AL10" s="2512"/>
      <c r="AM10" s="2512"/>
      <c r="AN10" s="2512"/>
      <c r="AO10" s="2512"/>
      <c r="AP10" s="2512"/>
      <c r="AQ10" s="2512"/>
      <c r="AR10" s="2512"/>
      <c r="AS10" s="2512"/>
      <c r="AT10" s="2512"/>
      <c r="AU10" s="2512"/>
      <c r="AV10" s="2512"/>
      <c r="AW10" s="2512"/>
      <c r="AX10" s="2512"/>
      <c r="AY10" s="2512"/>
      <c r="AZ10" s="1315"/>
      <c r="BA10" s="1279">
        <v>10</v>
      </c>
    </row>
    <row r="11" spans="1:53" s="95" customFormat="1" ht="11.25" customHeight="1">
      <c r="A11" s="2512"/>
      <c r="B11" s="2512" t="s">
        <v>536</v>
      </c>
      <c r="C11" s="2512"/>
      <c r="D11" s="2512"/>
      <c r="E11" s="2512"/>
      <c r="F11" s="2512"/>
      <c r="G11" s="3035">
        <v>43000</v>
      </c>
      <c r="H11" s="3036"/>
      <c r="I11" s="2512"/>
      <c r="J11" s="3035">
        <v>43000</v>
      </c>
      <c r="K11" s="3036"/>
      <c r="L11" s="2529"/>
      <c r="M11" s="3035"/>
      <c r="N11" s="3036"/>
      <c r="O11" s="2512"/>
      <c r="P11" s="3035"/>
      <c r="Q11" s="3036"/>
      <c r="R11" s="2512"/>
      <c r="S11" s="3035"/>
      <c r="T11" s="3036"/>
      <c r="U11" s="2512"/>
      <c r="V11" s="635"/>
      <c r="W11" s="3159"/>
      <c r="X11" s="3160"/>
      <c r="Y11" s="2512"/>
      <c r="Z11" s="2512"/>
      <c r="AA11" s="2512"/>
      <c r="AB11" s="2512"/>
      <c r="AC11" s="2512"/>
      <c r="AD11" s="2512"/>
      <c r="AE11" s="2512"/>
      <c r="AF11" s="2512"/>
      <c r="AG11" s="2512"/>
      <c r="AH11" s="2512"/>
      <c r="AI11" s="2512"/>
      <c r="AJ11" s="2512"/>
      <c r="AK11" s="2512"/>
      <c r="AL11" s="2512"/>
      <c r="AM11" s="2512"/>
      <c r="AN11" s="2512"/>
      <c r="AO11" s="2512"/>
      <c r="AP11" s="2512"/>
      <c r="AQ11" s="2512"/>
      <c r="AR11" s="2512"/>
      <c r="AS11" s="2512"/>
      <c r="AT11" s="2512"/>
      <c r="AU11" s="2512"/>
      <c r="AV11" s="2512"/>
      <c r="AW11" s="2512"/>
      <c r="AX11" s="2512"/>
      <c r="AY11" s="2512"/>
      <c r="AZ11" s="1315"/>
      <c r="BA11" s="1279">
        <v>11</v>
      </c>
    </row>
    <row r="12" spans="1:53" s="95" customFormat="1" ht="11.25" customHeight="1">
      <c r="A12" s="2512"/>
      <c r="B12" s="2512" t="s">
        <v>537</v>
      </c>
      <c r="C12" s="2512"/>
      <c r="D12" s="2512"/>
      <c r="E12" s="2512"/>
      <c r="F12" s="2512"/>
      <c r="G12" s="3035">
        <v>16200</v>
      </c>
      <c r="H12" s="3036"/>
      <c r="I12" s="2512"/>
      <c r="J12" s="3035">
        <v>16200</v>
      </c>
      <c r="K12" s="3036"/>
      <c r="L12" s="2529"/>
      <c r="M12" s="3035"/>
      <c r="N12" s="3036"/>
      <c r="O12" s="2512"/>
      <c r="P12" s="3035"/>
      <c r="Q12" s="3036"/>
      <c r="R12" s="2512"/>
      <c r="S12" s="3035"/>
      <c r="T12" s="3036"/>
      <c r="U12" s="2512"/>
      <c r="V12" s="635"/>
      <c r="W12" s="3159"/>
      <c r="X12" s="3160"/>
      <c r="Y12" s="2512"/>
      <c r="Z12" s="2512"/>
      <c r="AA12" s="2512"/>
      <c r="AB12" s="2512"/>
      <c r="AC12" s="2512"/>
      <c r="AD12" s="2512"/>
      <c r="AE12" s="2512"/>
      <c r="AF12" s="2512"/>
      <c r="AG12" s="2512"/>
      <c r="AH12" s="2512"/>
      <c r="AI12" s="2512"/>
      <c r="AJ12" s="2512"/>
      <c r="AK12" s="2512"/>
      <c r="AL12" s="2512"/>
      <c r="AM12" s="2512"/>
      <c r="AN12" s="2512"/>
      <c r="AO12" s="2512"/>
      <c r="AP12" s="2512"/>
      <c r="AQ12" s="2512"/>
      <c r="AR12" s="2512"/>
      <c r="AS12" s="2512"/>
      <c r="AT12" s="2512"/>
      <c r="AU12" s="2512"/>
      <c r="AV12" s="2512"/>
      <c r="AW12" s="2512"/>
      <c r="AX12" s="2512"/>
      <c r="AY12" s="2512"/>
      <c r="AZ12" s="1315"/>
      <c r="BA12" s="1279">
        <v>12</v>
      </c>
    </row>
    <row r="13" spans="1:53" s="95" customFormat="1" ht="11.25" customHeight="1">
      <c r="A13" s="2512"/>
      <c r="B13" s="2512" t="s">
        <v>538</v>
      </c>
      <c r="C13" s="2512"/>
      <c r="D13" s="2512"/>
      <c r="E13" s="2512"/>
      <c r="F13" s="2512"/>
      <c r="G13" s="3035">
        <v>10000</v>
      </c>
      <c r="H13" s="3036"/>
      <c r="I13" s="2512"/>
      <c r="J13" s="3035">
        <v>10000</v>
      </c>
      <c r="K13" s="3036"/>
      <c r="L13" s="2529"/>
      <c r="M13" s="3035"/>
      <c r="N13" s="3036"/>
      <c r="O13" s="2512"/>
      <c r="P13" s="3035"/>
      <c r="Q13" s="3036"/>
      <c r="R13" s="2512"/>
      <c r="S13" s="3035"/>
      <c r="T13" s="3036"/>
      <c r="U13" s="2512"/>
      <c r="V13" s="635"/>
      <c r="W13" s="3159"/>
      <c r="X13" s="3160"/>
      <c r="Y13" s="2512"/>
      <c r="Z13" s="2512"/>
      <c r="AA13" s="2512"/>
      <c r="AB13" s="2512"/>
      <c r="AC13" s="2512"/>
      <c r="AD13" s="2512"/>
      <c r="AE13" s="2512"/>
      <c r="AF13" s="2512"/>
      <c r="AG13" s="2512"/>
      <c r="AH13" s="2512"/>
      <c r="AI13" s="2512"/>
      <c r="AJ13" s="2512"/>
      <c r="AK13" s="2512"/>
      <c r="AL13" s="2512"/>
      <c r="AM13" s="2512"/>
      <c r="AN13" s="2512"/>
      <c r="AO13" s="2512"/>
      <c r="AP13" s="2512"/>
      <c r="AQ13" s="2512"/>
      <c r="AR13" s="2512"/>
      <c r="AS13" s="2512"/>
      <c r="AT13" s="2512"/>
      <c r="AU13" s="2512"/>
      <c r="AV13" s="2512"/>
      <c r="AW13" s="2512"/>
      <c r="AX13" s="2512"/>
      <c r="AY13" s="2512"/>
      <c r="AZ13" s="1315"/>
      <c r="BA13" s="1279">
        <v>13</v>
      </c>
    </row>
    <row r="14" spans="1:53" s="95" customFormat="1" ht="11.25" customHeight="1">
      <c r="A14" s="2512"/>
      <c r="B14" s="2512" t="s">
        <v>539</v>
      </c>
      <c r="C14" s="2512"/>
      <c r="D14" s="2512"/>
      <c r="E14" s="2512"/>
      <c r="F14" s="2512"/>
      <c r="G14" s="3035"/>
      <c r="H14" s="3036"/>
      <c r="I14" s="2512"/>
      <c r="J14" s="3035"/>
      <c r="K14" s="3036"/>
      <c r="L14" s="2529"/>
      <c r="M14" s="3035"/>
      <c r="N14" s="3036"/>
      <c r="O14" s="2512"/>
      <c r="P14" s="3035"/>
      <c r="Q14" s="3036"/>
      <c r="R14" s="2512"/>
      <c r="S14" s="3035"/>
      <c r="T14" s="3036"/>
      <c r="U14" s="2512"/>
      <c r="V14" s="635"/>
      <c r="W14" s="3159"/>
      <c r="X14" s="3160"/>
      <c r="Y14" s="2512"/>
      <c r="Z14" s="2512"/>
      <c r="AA14" s="2512"/>
      <c r="AB14" s="2512"/>
      <c r="AC14" s="2512"/>
      <c r="AD14" s="2512"/>
      <c r="AE14" s="2512"/>
      <c r="AF14" s="2512"/>
      <c r="AG14" s="2512"/>
      <c r="AH14" s="2512"/>
      <c r="AI14" s="2512"/>
      <c r="AJ14" s="2512"/>
      <c r="AK14" s="2512"/>
      <c r="AL14" s="2512"/>
      <c r="AM14" s="2512"/>
      <c r="AN14" s="2512"/>
      <c r="AO14" s="2512"/>
      <c r="AP14" s="2512"/>
      <c r="AQ14" s="2512"/>
      <c r="AR14" s="2512"/>
      <c r="AS14" s="2512"/>
      <c r="AT14" s="2512"/>
      <c r="AU14" s="2512"/>
      <c r="AV14" s="2512"/>
      <c r="AW14" s="2512"/>
      <c r="AX14" s="2512"/>
      <c r="AY14" s="2512"/>
      <c r="AZ14" s="1315"/>
      <c r="BA14" s="1279">
        <v>14</v>
      </c>
    </row>
    <row r="15" spans="1:53" s="95" customFormat="1" ht="11.25" customHeight="1">
      <c r="A15" s="205" t="str">
        <f>IF(AND(G15&gt;0,OR(C15="",C15="&lt;Enter detailed description here; use Comments section if needed&gt;")),"X","")</f>
        <v/>
      </c>
      <c r="B15" s="98" t="s">
        <v>540</v>
      </c>
      <c r="C15" s="3161" t="s">
        <v>541</v>
      </c>
      <c r="D15" s="3161"/>
      <c r="E15" s="3161"/>
      <c r="F15" s="3162"/>
      <c r="G15" s="3035">
        <v>6000</v>
      </c>
      <c r="H15" s="3036"/>
      <c r="I15" s="2512"/>
      <c r="J15" s="3035">
        <v>6000</v>
      </c>
      <c r="K15" s="3036"/>
      <c r="L15" s="2529"/>
      <c r="M15" s="3035"/>
      <c r="N15" s="3036"/>
      <c r="O15" s="2512"/>
      <c r="P15" s="3035"/>
      <c r="Q15" s="3036"/>
      <c r="R15" s="2512"/>
      <c r="S15" s="3035"/>
      <c r="T15" s="3036"/>
      <c r="U15" s="204" t="str">
        <f>IF(AND(G15&gt;0,OR(C15="",C15="&lt;Enter detailed description here; use Comments section if needed&gt;")),"NO DESCRIPTION PROVIDED - please enter detailed description in Other box at left; use Comments section below if needed.","")</f>
        <v/>
      </c>
      <c r="V15" s="636"/>
      <c r="W15" s="3159"/>
      <c r="X15" s="3160"/>
      <c r="Y15" s="2512"/>
      <c r="Z15" s="2512"/>
      <c r="AA15" s="2512"/>
      <c r="AB15" s="2512"/>
      <c r="AC15" s="2512"/>
      <c r="AD15" s="2512"/>
      <c r="AE15" s="2512"/>
      <c r="AF15" s="2512"/>
      <c r="AG15" s="2512"/>
      <c r="AH15" s="2512"/>
      <c r="AI15" s="2512"/>
      <c r="AJ15" s="2512"/>
      <c r="AK15" s="2512"/>
      <c r="AL15" s="2512"/>
      <c r="AM15" s="2512"/>
      <c r="AN15" s="2512"/>
      <c r="AO15" s="2512"/>
      <c r="AP15" s="2512"/>
      <c r="AQ15" s="2512"/>
      <c r="AR15" s="2512"/>
      <c r="AS15" s="2512"/>
      <c r="AT15" s="2512"/>
      <c r="AU15" s="2512"/>
      <c r="AV15" s="2512"/>
      <c r="AW15" s="2512"/>
      <c r="AX15" s="2512"/>
      <c r="AY15" s="2512"/>
      <c r="AZ15" s="1315" t="s">
        <v>542</v>
      </c>
      <c r="BA15" s="1279">
        <v>15</v>
      </c>
    </row>
    <row r="16" spans="1:53" s="95" customFormat="1" ht="11.25" customHeight="1">
      <c r="A16" s="205" t="str">
        <f>IF(AND(G16&gt;0,OR(C16="",C16="&lt;Enter detailed description here; use Comments section if needed&gt;")),"X","")</f>
        <v/>
      </c>
      <c r="B16" s="98" t="s">
        <v>543</v>
      </c>
      <c r="C16" s="3161" t="s">
        <v>544</v>
      </c>
      <c r="D16" s="3161"/>
      <c r="E16" s="3161"/>
      <c r="F16" s="3162"/>
      <c r="G16" s="3035"/>
      <c r="H16" s="3036"/>
      <c r="I16" s="2512"/>
      <c r="J16" s="3035"/>
      <c r="K16" s="3036"/>
      <c r="L16" s="2529"/>
      <c r="M16" s="3035"/>
      <c r="N16" s="3036"/>
      <c r="O16" s="2512"/>
      <c r="P16" s="3035"/>
      <c r="Q16" s="3036"/>
      <c r="R16" s="2512"/>
      <c r="S16" s="3035"/>
      <c r="T16" s="3036"/>
      <c r="U16" s="204" t="str">
        <f>IF(AND(G16&gt;0,OR(C16="",C16="&lt;Enter detailed description here; use Comments section if needed&gt;")),"NO DESCRIPTION PROVIDED - please enter detailed description in Other box at left; use Comments section below if needed.","")</f>
        <v/>
      </c>
      <c r="V16" s="636"/>
      <c r="W16" s="3159"/>
      <c r="X16" s="3160"/>
      <c r="Y16" s="2512"/>
      <c r="Z16" s="2512"/>
      <c r="AA16" s="2512"/>
      <c r="AB16" s="2512"/>
      <c r="AC16" s="2512"/>
      <c r="AD16" s="2512"/>
      <c r="AE16" s="2512"/>
      <c r="AF16" s="2512"/>
      <c r="AG16" s="2512"/>
      <c r="AH16" s="2512"/>
      <c r="AI16" s="2512"/>
      <c r="AJ16" s="2512"/>
      <c r="AK16" s="2512"/>
      <c r="AL16" s="2512"/>
      <c r="AM16" s="2512"/>
      <c r="AN16" s="2512"/>
      <c r="AO16" s="2512"/>
      <c r="AP16" s="2512"/>
      <c r="AQ16" s="2512"/>
      <c r="AR16" s="2512"/>
      <c r="AS16" s="2512"/>
      <c r="AT16" s="2512"/>
      <c r="AU16" s="2512"/>
      <c r="AV16" s="2512"/>
      <c r="AW16" s="2512"/>
      <c r="AX16" s="2512"/>
      <c r="AY16" s="2512"/>
      <c r="AZ16" s="1315" t="s">
        <v>545</v>
      </c>
      <c r="BA16" s="1279">
        <v>16</v>
      </c>
    </row>
    <row r="17" spans="1:53" s="95" customFormat="1" ht="11.25" customHeight="1" thickBot="1">
      <c r="A17" s="205" t="str">
        <f>IF(AND(G17&gt;0,OR(C17="",C17="&lt;Enter detailed description here; use Comments section if needed&gt;")),"X","")</f>
        <v/>
      </c>
      <c r="B17" s="98" t="s">
        <v>546</v>
      </c>
      <c r="C17" s="3161" t="s">
        <v>544</v>
      </c>
      <c r="D17" s="3161"/>
      <c r="E17" s="3161"/>
      <c r="F17" s="3162"/>
      <c r="G17" s="3169"/>
      <c r="H17" s="3170"/>
      <c r="I17" s="2512"/>
      <c r="J17" s="3169"/>
      <c r="K17" s="3170"/>
      <c r="L17" s="2529"/>
      <c r="M17" s="3169"/>
      <c r="N17" s="3170"/>
      <c r="O17" s="2512"/>
      <c r="P17" s="3169"/>
      <c r="Q17" s="3170"/>
      <c r="R17" s="2512"/>
      <c r="S17" s="3169"/>
      <c r="T17" s="3170"/>
      <c r="U17" s="204" t="str">
        <f>IF(AND(G17&gt;0,OR(C17="",C17="&lt;Enter detailed description here; use Comments section if needed&gt;")),"NO DESCRIPTION PROVIDED - please enter detailed description in Other box at left; use Comments section below if needed.","")</f>
        <v/>
      </c>
      <c r="V17" s="636"/>
      <c r="W17" s="3163"/>
      <c r="X17" s="3164"/>
      <c r="Y17" s="2512"/>
      <c r="Z17" s="2512"/>
      <c r="AA17" s="2512"/>
      <c r="AB17" s="2512"/>
      <c r="AC17" s="2512"/>
      <c r="AD17" s="2512"/>
      <c r="AE17" s="2512"/>
      <c r="AF17" s="2512"/>
      <c r="AG17" s="2512"/>
      <c r="AH17" s="2512"/>
      <c r="AI17" s="2512"/>
      <c r="AJ17" s="2512"/>
      <c r="AK17" s="2512"/>
      <c r="AL17" s="2512"/>
      <c r="AM17" s="2512"/>
      <c r="AN17" s="2512"/>
      <c r="AO17" s="2512"/>
      <c r="AP17" s="2512"/>
      <c r="AQ17" s="2512"/>
      <c r="AR17" s="2512"/>
      <c r="AS17" s="2512"/>
      <c r="AT17" s="2512"/>
      <c r="AU17" s="2512"/>
      <c r="AV17" s="2512"/>
      <c r="AW17" s="2512"/>
      <c r="AX17" s="2512"/>
      <c r="AY17" s="2512"/>
      <c r="AZ17" s="1315" t="s">
        <v>547</v>
      </c>
      <c r="BA17" s="1279">
        <v>17</v>
      </c>
    </row>
    <row r="18" spans="1:53" s="95" customFormat="1" ht="12.6" customHeight="1" thickTop="1">
      <c r="A18" s="2512"/>
      <c r="B18" s="2512"/>
      <c r="C18" s="2512"/>
      <c r="D18" s="2512"/>
      <c r="E18" s="2512"/>
      <c r="F18" s="184" t="s">
        <v>548</v>
      </c>
      <c r="G18" s="3165">
        <f>SUM(G9:G17)</f>
        <v>107200</v>
      </c>
      <c r="H18" s="3166"/>
      <c r="I18" s="2512"/>
      <c r="J18" s="3165">
        <f>SUM(J9:J17)</f>
        <v>107200</v>
      </c>
      <c r="K18" s="3166"/>
      <c r="L18" s="2529"/>
      <c r="M18" s="3165">
        <f>SUM(M9:M17)</f>
        <v>0</v>
      </c>
      <c r="N18" s="3166"/>
      <c r="O18" s="2512"/>
      <c r="P18" s="3165">
        <f>SUM(P9:P17)</f>
        <v>0</v>
      </c>
      <c r="Q18" s="3166"/>
      <c r="R18" s="2512"/>
      <c r="S18" s="3165">
        <f>SUM(S9:S17)</f>
        <v>0</v>
      </c>
      <c r="T18" s="3166"/>
      <c r="U18" s="2512"/>
      <c r="V18" s="637">
        <f>SUM(V9:V17)</f>
        <v>0</v>
      </c>
      <c r="W18" s="3167"/>
      <c r="X18" s="3168"/>
      <c r="Y18" s="2512"/>
      <c r="Z18" s="2512"/>
      <c r="AA18" s="2512"/>
      <c r="AB18" s="2512"/>
      <c r="AC18" s="2512"/>
      <c r="AD18" s="2512"/>
      <c r="AE18" s="2512"/>
      <c r="AF18" s="2512"/>
      <c r="AG18" s="2512"/>
      <c r="AH18" s="2512"/>
      <c r="AI18" s="2512"/>
      <c r="AJ18" s="2512"/>
      <c r="AK18" s="2512"/>
      <c r="AL18" s="2512"/>
      <c r="AM18" s="2512"/>
      <c r="AN18" s="2512"/>
      <c r="AO18" s="2512"/>
      <c r="AP18" s="2512"/>
      <c r="AQ18" s="2512"/>
      <c r="AR18" s="2512"/>
      <c r="AS18" s="2512"/>
      <c r="AT18" s="2512"/>
      <c r="AU18" s="2512"/>
      <c r="AV18" s="2512"/>
      <c r="AW18" s="2512"/>
      <c r="AX18" s="2512"/>
      <c r="AY18" s="2512"/>
      <c r="AZ18" s="1315" t="s">
        <v>549</v>
      </c>
      <c r="BA18" s="1279">
        <v>18</v>
      </c>
    </row>
    <row r="19" spans="1:53" s="95" customFormat="1" ht="12" customHeight="1">
      <c r="A19" s="2512"/>
      <c r="B19" s="151" t="s">
        <v>550</v>
      </c>
      <c r="C19" s="2512"/>
      <c r="D19" s="2512"/>
      <c r="E19" s="2512"/>
      <c r="F19" s="2512"/>
      <c r="G19" s="2512"/>
      <c r="H19" s="2512"/>
      <c r="I19" s="2512"/>
      <c r="J19" s="183"/>
      <c r="K19" s="183"/>
      <c r="L19" s="2512"/>
      <c r="M19" s="183"/>
      <c r="N19" s="183"/>
      <c r="O19" s="185" t="str">
        <f>B19</f>
        <v>ACQUISITION</v>
      </c>
      <c r="P19" s="183"/>
      <c r="Q19" s="183"/>
      <c r="R19" s="2512"/>
      <c r="S19" s="183"/>
      <c r="T19" s="183"/>
      <c r="U19" s="2512"/>
      <c r="V19" s="638"/>
      <c r="W19" s="2512" t="str">
        <f>B19</f>
        <v>ACQUISITION</v>
      </c>
      <c r="X19" s="2512"/>
      <c r="Y19" s="2512"/>
      <c r="Z19" s="2512"/>
      <c r="AA19" s="2512"/>
      <c r="AB19" s="2512"/>
      <c r="AC19" s="2512"/>
      <c r="AD19" s="2512"/>
      <c r="AE19" s="2512"/>
      <c r="AF19" s="2512"/>
      <c r="AG19" s="2512"/>
      <c r="AH19" s="2512"/>
      <c r="AI19" s="2512"/>
      <c r="AJ19" s="2512"/>
      <c r="AK19" s="2512"/>
      <c r="AL19" s="2512"/>
      <c r="AM19" s="2512"/>
      <c r="AN19" s="2512"/>
      <c r="AO19" s="2512"/>
      <c r="AP19" s="2512"/>
      <c r="AQ19" s="2512"/>
      <c r="AR19" s="2512"/>
      <c r="AS19" s="2512"/>
      <c r="AT19" s="2512"/>
      <c r="AU19" s="2512"/>
      <c r="AV19" s="2512"/>
      <c r="AW19" s="2512"/>
      <c r="AX19" s="2512"/>
      <c r="AY19" s="2512"/>
      <c r="AZ19" s="1315"/>
      <c r="BA19" s="1279">
        <v>19</v>
      </c>
    </row>
    <row r="20" spans="1:53" s="95" customFormat="1" ht="11.25" customHeight="1">
      <c r="A20" s="2512"/>
      <c r="B20" s="2512" t="s">
        <v>551</v>
      </c>
      <c r="C20" s="2512"/>
      <c r="D20" s="2512"/>
      <c r="E20" s="497" t="s">
        <v>552</v>
      </c>
      <c r="F20" s="1460">
        <f>IF('Part I-Project Identification'!$O$28="","",G20/'Part I-Project Identification'!$O$28)</f>
        <v>239398.08481532149</v>
      </c>
      <c r="G20" s="3060">
        <v>1400000</v>
      </c>
      <c r="H20" s="3061"/>
      <c r="I20" s="2512"/>
      <c r="J20" s="186"/>
      <c r="K20" s="183"/>
      <c r="L20" s="186"/>
      <c r="M20" s="186"/>
      <c r="N20" s="183"/>
      <c r="O20" s="2512"/>
      <c r="P20" s="186"/>
      <c r="Q20" s="183"/>
      <c r="R20" s="2512"/>
      <c r="S20" s="3060">
        <v>1400000</v>
      </c>
      <c r="T20" s="3061"/>
      <c r="U20" s="2512"/>
      <c r="V20" s="635"/>
      <c r="W20" s="3159"/>
      <c r="X20" s="3160"/>
      <c r="Y20" s="2512"/>
      <c r="Z20" s="2512"/>
      <c r="AA20" s="2512"/>
      <c r="AB20" s="2512"/>
      <c r="AC20" s="2512"/>
      <c r="AD20" s="2512"/>
      <c r="AE20" s="2512"/>
      <c r="AF20" s="2512"/>
      <c r="AG20" s="2512"/>
      <c r="AH20" s="2512"/>
      <c r="AI20" s="2512"/>
      <c r="AJ20" s="2512"/>
      <c r="AK20" s="2512"/>
      <c r="AL20" s="2512"/>
      <c r="AM20" s="2512"/>
      <c r="AN20" s="2512"/>
      <c r="AO20" s="2512"/>
      <c r="AP20" s="2512"/>
      <c r="AQ20" s="2512"/>
      <c r="AR20" s="2512"/>
      <c r="AS20" s="2512"/>
      <c r="AT20" s="2512"/>
      <c r="AU20" s="2512"/>
      <c r="AV20" s="2512"/>
      <c r="AW20" s="2512"/>
      <c r="AX20" s="2512"/>
      <c r="AY20" s="2512"/>
      <c r="AZ20" s="1315"/>
      <c r="BA20" s="1279">
        <v>20</v>
      </c>
    </row>
    <row r="21" spans="1:53" s="95" customFormat="1" ht="11.25" customHeight="1">
      <c r="A21" s="2512"/>
      <c r="B21" s="2512" t="s">
        <v>553</v>
      </c>
      <c r="C21" s="2512"/>
      <c r="D21" s="2512"/>
      <c r="E21" s="2512"/>
      <c r="F21" s="2512"/>
      <c r="G21" s="3035">
        <v>50000</v>
      </c>
      <c r="H21" s="3036"/>
      <c r="I21" s="2512"/>
      <c r="J21" s="186"/>
      <c r="K21" s="183"/>
      <c r="L21" s="186"/>
      <c r="M21" s="186"/>
      <c r="N21" s="183"/>
      <c r="O21" s="2512"/>
      <c r="P21" s="186"/>
      <c r="Q21" s="183"/>
      <c r="R21" s="2512"/>
      <c r="S21" s="3035">
        <v>50000</v>
      </c>
      <c r="T21" s="3036"/>
      <c r="U21" s="2512"/>
      <c r="V21" s="635"/>
      <c r="W21" s="3159"/>
      <c r="X21" s="3160"/>
      <c r="Y21" s="2512"/>
      <c r="Z21" s="2512"/>
      <c r="AA21" s="2512"/>
      <c r="AB21" s="2512"/>
      <c r="AC21" s="2512"/>
      <c r="AD21" s="2512"/>
      <c r="AE21" s="2512"/>
      <c r="AF21" s="2512"/>
      <c r="AG21" s="2512"/>
      <c r="AH21" s="2512"/>
      <c r="AI21" s="2512"/>
      <c r="AJ21" s="2512"/>
      <c r="AK21" s="2512"/>
      <c r="AL21" s="2512"/>
      <c r="AM21" s="2512"/>
      <c r="AN21" s="2512"/>
      <c r="AO21" s="2512"/>
      <c r="AP21" s="2512"/>
      <c r="AQ21" s="2512"/>
      <c r="AR21" s="2512"/>
      <c r="AS21" s="2512"/>
      <c r="AT21" s="2512"/>
      <c r="AU21" s="2512"/>
      <c r="AV21" s="2512"/>
      <c r="AW21" s="2512"/>
      <c r="AX21" s="2512"/>
      <c r="AY21" s="2512"/>
      <c r="AZ21" s="1315"/>
      <c r="BA21" s="1279">
        <v>21</v>
      </c>
    </row>
    <row r="22" spans="1:53" s="95" customFormat="1" ht="11.25" customHeight="1">
      <c r="A22" s="2512"/>
      <c r="B22" s="2512" t="s">
        <v>554</v>
      </c>
      <c r="C22" s="2512"/>
      <c r="D22" s="2512"/>
      <c r="E22" s="2512"/>
      <c r="F22" s="2512"/>
      <c r="G22" s="3035"/>
      <c r="H22" s="3036"/>
      <c r="I22" s="2512"/>
      <c r="J22" s="186"/>
      <c r="K22" s="183"/>
      <c r="L22" s="186"/>
      <c r="M22" s="3060"/>
      <c r="N22" s="3061"/>
      <c r="O22" s="2512"/>
      <c r="P22" s="186"/>
      <c r="Q22" s="183"/>
      <c r="R22" s="2512"/>
      <c r="S22" s="3035"/>
      <c r="T22" s="3036"/>
      <c r="U22" s="2512"/>
      <c r="V22" s="635"/>
      <c r="W22" s="3159"/>
      <c r="X22" s="3160"/>
      <c r="Y22" s="2512"/>
      <c r="Z22" s="2512"/>
      <c r="AA22" s="2512"/>
      <c r="AB22" s="2512"/>
      <c r="AC22" s="2512"/>
      <c r="AD22" s="2512"/>
      <c r="AE22" s="2512"/>
      <c r="AF22" s="2512"/>
      <c r="AG22" s="2512"/>
      <c r="AH22" s="2512"/>
      <c r="AI22" s="2512"/>
      <c r="AJ22" s="2512"/>
      <c r="AK22" s="2512"/>
      <c r="AL22" s="2512"/>
      <c r="AM22" s="2512"/>
      <c r="AN22" s="2512"/>
      <c r="AO22" s="2512"/>
      <c r="AP22" s="2512"/>
      <c r="AQ22" s="2512"/>
      <c r="AR22" s="2512"/>
      <c r="AS22" s="2512"/>
      <c r="AT22" s="2512"/>
      <c r="AU22" s="2512"/>
      <c r="AV22" s="2512"/>
      <c r="AW22" s="2512"/>
      <c r="AX22" s="2512"/>
      <c r="AY22" s="2512"/>
      <c r="AZ22" s="1315"/>
      <c r="BA22" s="1279">
        <v>22</v>
      </c>
    </row>
    <row r="23" spans="1:53" s="95" customFormat="1" ht="11.25" customHeight="1" thickBot="1">
      <c r="A23" s="2512"/>
      <c r="B23" s="2512" t="s">
        <v>555</v>
      </c>
      <c r="C23" s="2512"/>
      <c r="D23" s="2512"/>
      <c r="E23" s="2512"/>
      <c r="F23" s="2512"/>
      <c r="G23" s="3169"/>
      <c r="H23" s="3170"/>
      <c r="I23" s="2512"/>
      <c r="J23" s="186"/>
      <c r="K23" s="183"/>
      <c r="L23" s="186"/>
      <c r="M23" s="3169"/>
      <c r="N23" s="3170"/>
      <c r="O23" s="2512"/>
      <c r="P23" s="186"/>
      <c r="Q23" s="183"/>
      <c r="R23" s="2512"/>
      <c r="S23" s="3169"/>
      <c r="T23" s="3170"/>
      <c r="U23" s="2512"/>
      <c r="V23" s="635"/>
      <c r="W23" s="3163"/>
      <c r="X23" s="3164"/>
      <c r="Y23" s="2512"/>
      <c r="Z23" s="2512"/>
      <c r="AA23" s="2512"/>
      <c r="AB23" s="2512"/>
      <c r="AC23" s="2512"/>
      <c r="AD23" s="2512"/>
      <c r="AE23" s="2512"/>
      <c r="AF23" s="2512"/>
      <c r="AG23" s="2512"/>
      <c r="AH23" s="2512"/>
      <c r="AI23" s="2512"/>
      <c r="AJ23" s="2512"/>
      <c r="AK23" s="2512"/>
      <c r="AL23" s="2512"/>
      <c r="AM23" s="2512"/>
      <c r="AN23" s="2512"/>
      <c r="AO23" s="2512"/>
      <c r="AP23" s="2512"/>
      <c r="AQ23" s="2512"/>
      <c r="AR23" s="2512"/>
      <c r="AS23" s="2512"/>
      <c r="AT23" s="2512"/>
      <c r="AU23" s="2512"/>
      <c r="AV23" s="2512"/>
      <c r="AW23" s="2512"/>
      <c r="AX23" s="2512"/>
      <c r="AY23" s="2512"/>
      <c r="AZ23" s="1315"/>
      <c r="BA23" s="1279">
        <v>23</v>
      </c>
    </row>
    <row r="24" spans="1:53" s="95" customFormat="1" ht="12.6" customHeight="1" thickTop="1">
      <c r="A24" s="2512"/>
      <c r="B24" s="2512"/>
      <c r="C24" s="2512"/>
      <c r="D24" s="2512"/>
      <c r="E24" s="2512"/>
      <c r="F24" s="184" t="s">
        <v>548</v>
      </c>
      <c r="G24" s="3165">
        <f>SUM(G20:G23)</f>
        <v>1450000</v>
      </c>
      <c r="H24" s="3166"/>
      <c r="I24" s="2512"/>
      <c r="J24" s="186"/>
      <c r="K24" s="183"/>
      <c r="L24" s="186"/>
      <c r="M24" s="3165">
        <f>SUM(M22:M23)</f>
        <v>0</v>
      </c>
      <c r="N24" s="3166"/>
      <c r="O24" s="2512"/>
      <c r="P24" s="186"/>
      <c r="Q24" s="183"/>
      <c r="R24" s="2512"/>
      <c r="S24" s="3165">
        <f>SUM(S20:S23)</f>
        <v>1450000</v>
      </c>
      <c r="T24" s="3166"/>
      <c r="U24" s="2512"/>
      <c r="V24" s="637">
        <f>SUM(V20:V23)</f>
        <v>0</v>
      </c>
      <c r="W24" s="3167"/>
      <c r="X24" s="3168"/>
      <c r="Y24" s="2512"/>
      <c r="Z24" s="2512"/>
      <c r="AA24" s="2512"/>
      <c r="AB24" s="2512"/>
      <c r="AC24" s="2512"/>
      <c r="AD24" s="2512"/>
      <c r="AE24" s="2512"/>
      <c r="AF24" s="2512"/>
      <c r="AG24" s="2512"/>
      <c r="AH24" s="2512"/>
      <c r="AI24" s="2512"/>
      <c r="AJ24" s="2512"/>
      <c r="AK24" s="2512"/>
      <c r="AL24" s="2512"/>
      <c r="AM24" s="2512"/>
      <c r="AN24" s="2512"/>
      <c r="AO24" s="2512"/>
      <c r="AP24" s="2512"/>
      <c r="AQ24" s="2512"/>
      <c r="AR24" s="2512"/>
      <c r="AS24" s="2512"/>
      <c r="AT24" s="2512"/>
      <c r="AU24" s="2512"/>
      <c r="AV24" s="2512"/>
      <c r="AW24" s="2512"/>
      <c r="AX24" s="2512"/>
      <c r="AY24" s="2512"/>
      <c r="AZ24" s="1315" t="s">
        <v>556</v>
      </c>
      <c r="BA24" s="1279">
        <v>24</v>
      </c>
    </row>
    <row r="25" spans="1:53" s="95" customFormat="1" ht="12" customHeight="1">
      <c r="A25" s="2512"/>
      <c r="B25" s="151" t="s">
        <v>557</v>
      </c>
      <c r="C25" s="2512"/>
      <c r="D25" s="2512"/>
      <c r="E25" s="2512"/>
      <c r="F25" s="2512"/>
      <c r="G25" s="2512"/>
      <c r="H25" s="2512"/>
      <c r="I25" s="2512"/>
      <c r="J25" s="186"/>
      <c r="K25" s="183"/>
      <c r="L25" s="2512"/>
      <c r="M25" s="186"/>
      <c r="N25" s="183"/>
      <c r="O25" s="185" t="str">
        <f>B25</f>
        <v>LAND IMPROVEMENTS</v>
      </c>
      <c r="P25" s="186"/>
      <c r="Q25" s="183"/>
      <c r="R25" s="2512"/>
      <c r="S25" s="186"/>
      <c r="T25" s="183"/>
      <c r="U25" s="2512"/>
      <c r="V25" s="638"/>
      <c r="W25" s="2512" t="str">
        <f>B25</f>
        <v>LAND IMPROVEMENTS</v>
      </c>
      <c r="X25" s="2512"/>
      <c r="Y25" s="2512"/>
      <c r="Z25" s="2512"/>
      <c r="AA25" s="2512"/>
      <c r="AB25" s="2512"/>
      <c r="AC25" s="2512"/>
      <c r="AD25" s="2512"/>
      <c r="AE25" s="2512"/>
      <c r="AF25" s="2512"/>
      <c r="AG25" s="2512"/>
      <c r="AH25" s="2512"/>
      <c r="AI25" s="2512"/>
      <c r="AJ25" s="2512"/>
      <c r="AK25" s="2512"/>
      <c r="AL25" s="2512"/>
      <c r="AM25" s="2512"/>
      <c r="AN25" s="2512"/>
      <c r="AO25" s="2512"/>
      <c r="AP25" s="2512"/>
      <c r="AQ25" s="2512"/>
      <c r="AR25" s="2512"/>
      <c r="AS25" s="2512"/>
      <c r="AT25" s="2512"/>
      <c r="AU25" s="2512"/>
      <c r="AV25" s="2512"/>
      <c r="AW25" s="2512"/>
      <c r="AX25" s="2512"/>
      <c r="AY25" s="2512"/>
      <c r="AZ25" s="1315"/>
      <c r="BA25" s="1279">
        <v>25</v>
      </c>
    </row>
    <row r="26" spans="1:53" s="95" customFormat="1" ht="11.25" customHeight="1">
      <c r="A26" s="2512"/>
      <c r="B26" s="2512" t="s">
        <v>558</v>
      </c>
      <c r="C26" s="2512"/>
      <c r="D26" s="2512"/>
      <c r="E26" s="497" t="s">
        <v>552</v>
      </c>
      <c r="F26" s="1460">
        <f>IF('Part I-Project Identification'!$O$28="","",G26/'Part I-Project Identification'!$O$28)</f>
        <v>34199.726402188782</v>
      </c>
      <c r="G26" s="3060">
        <v>200000</v>
      </c>
      <c r="H26" s="3061"/>
      <c r="I26" s="2512"/>
      <c r="J26" s="3060">
        <v>100000</v>
      </c>
      <c r="K26" s="3061"/>
      <c r="L26" s="2529"/>
      <c r="M26" s="3171"/>
      <c r="N26" s="4709"/>
      <c r="O26" s="2512"/>
      <c r="P26" s="3171"/>
      <c r="Q26" s="4709"/>
      <c r="R26" s="2512"/>
      <c r="S26" s="3060">
        <v>100000</v>
      </c>
      <c r="T26" s="3061"/>
      <c r="U26" s="2512"/>
      <c r="V26" s="635"/>
      <c r="W26" s="3159"/>
      <c r="X26" s="3160"/>
      <c r="Y26" s="2512"/>
      <c r="Z26" s="2512"/>
      <c r="AA26" s="2512"/>
      <c r="AB26" s="2512"/>
      <c r="AC26" s="2512"/>
      <c r="AD26" s="2512"/>
      <c r="AE26" s="2512"/>
      <c r="AF26" s="2512"/>
      <c r="AG26" s="2512"/>
      <c r="AH26" s="2512"/>
      <c r="AI26" s="2512"/>
      <c r="AJ26" s="2512"/>
      <c r="AK26" s="2512"/>
      <c r="AL26" s="2512"/>
      <c r="AM26" s="2512"/>
      <c r="AN26" s="2512"/>
      <c r="AO26" s="2512"/>
      <c r="AP26" s="2512"/>
      <c r="AQ26" s="2512"/>
      <c r="AR26" s="2512"/>
      <c r="AS26" s="2512"/>
      <c r="AT26" s="2512"/>
      <c r="AU26" s="2512"/>
      <c r="AV26" s="2512"/>
      <c r="AW26" s="2512"/>
      <c r="AX26" s="2512"/>
      <c r="AY26" s="2512"/>
      <c r="AZ26" s="1315"/>
      <c r="BA26" s="1279">
        <v>26</v>
      </c>
    </row>
    <row r="27" spans="1:53" s="95" customFormat="1" ht="11.25" customHeight="1" thickBot="1">
      <c r="A27" s="2512"/>
      <c r="B27" s="2512" t="s">
        <v>559</v>
      </c>
      <c r="C27" s="2512"/>
      <c r="D27" s="2512"/>
      <c r="E27" s="2512"/>
      <c r="F27" s="2512"/>
      <c r="G27" s="3169">
        <v>20000</v>
      </c>
      <c r="H27" s="3170"/>
      <c r="I27" s="2512"/>
      <c r="J27" s="3169"/>
      <c r="K27" s="3170"/>
      <c r="L27" s="187"/>
      <c r="M27" s="3172"/>
      <c r="N27" s="3172"/>
      <c r="O27" s="2512"/>
      <c r="P27" s="3172"/>
      <c r="Q27" s="3172"/>
      <c r="R27" s="2512"/>
      <c r="S27" s="3169">
        <v>20000</v>
      </c>
      <c r="T27" s="3170"/>
      <c r="U27" s="2512"/>
      <c r="V27" s="635"/>
      <c r="W27" s="3163"/>
      <c r="X27" s="3164"/>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2512"/>
      <c r="AT27" s="2512"/>
      <c r="AU27" s="2512"/>
      <c r="AV27" s="2512"/>
      <c r="AW27" s="2512"/>
      <c r="AX27" s="2512"/>
      <c r="AY27" s="2512"/>
      <c r="AZ27" s="1315"/>
      <c r="BA27" s="1279">
        <v>27</v>
      </c>
    </row>
    <row r="28" spans="1:53" s="95" customFormat="1" ht="12.6" customHeight="1" thickTop="1">
      <c r="A28" s="2512"/>
      <c r="B28" s="2512"/>
      <c r="C28" s="2512"/>
      <c r="D28" s="2512"/>
      <c r="E28" s="2512"/>
      <c r="F28" s="184" t="s">
        <v>548</v>
      </c>
      <c r="G28" s="3165">
        <f>SUM(G26:G27)</f>
        <v>220000</v>
      </c>
      <c r="H28" s="3166"/>
      <c r="I28" s="2512"/>
      <c r="J28" s="3165">
        <f>SUM(J26:J27)</f>
        <v>100000</v>
      </c>
      <c r="K28" s="3166"/>
      <c r="L28" s="186"/>
      <c r="M28" s="3165">
        <f>M26</f>
        <v>0</v>
      </c>
      <c r="N28" s="3166"/>
      <c r="O28" s="2512"/>
      <c r="P28" s="3165">
        <f>P26</f>
        <v>0</v>
      </c>
      <c r="Q28" s="3166"/>
      <c r="R28" s="2512"/>
      <c r="S28" s="3165">
        <f>SUM(S26:S27)</f>
        <v>120000</v>
      </c>
      <c r="T28" s="3166"/>
      <c r="U28" s="2512"/>
      <c r="V28" s="637">
        <f>SUM(V26:V27)</f>
        <v>0</v>
      </c>
      <c r="W28" s="3167"/>
      <c r="X28" s="3168"/>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2512"/>
      <c r="AT28" s="2512"/>
      <c r="AU28" s="2512"/>
      <c r="AV28" s="2512"/>
      <c r="AW28" s="2512"/>
      <c r="AX28" s="2512"/>
      <c r="AY28" s="2512"/>
      <c r="AZ28" s="1315" t="s">
        <v>560</v>
      </c>
      <c r="BA28" s="1279">
        <v>28</v>
      </c>
    </row>
    <row r="29" spans="1:53" s="95" customFormat="1" ht="12" customHeight="1">
      <c r="A29" s="2512"/>
      <c r="B29" s="151" t="s">
        <v>561</v>
      </c>
      <c r="C29" s="2512"/>
      <c r="D29" s="2512"/>
      <c r="E29" s="2512"/>
      <c r="F29" s="2512"/>
      <c r="G29" s="2512"/>
      <c r="H29" s="2512"/>
      <c r="I29" s="2512"/>
      <c r="J29" s="186"/>
      <c r="K29" s="183"/>
      <c r="L29" s="2512"/>
      <c r="M29" s="186"/>
      <c r="N29" s="183"/>
      <c r="O29" s="185" t="str">
        <f>B29</f>
        <v>STRUCTURES</v>
      </c>
      <c r="P29" s="186"/>
      <c r="Q29" s="183"/>
      <c r="R29" s="2512"/>
      <c r="S29" s="186"/>
      <c r="T29" s="183"/>
      <c r="U29" s="2512"/>
      <c r="V29" s="638"/>
      <c r="W29" s="2512" t="str">
        <f>B29</f>
        <v>STRUCTURES</v>
      </c>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2512"/>
      <c r="AT29" s="2512"/>
      <c r="AU29" s="2512"/>
      <c r="AV29" s="2512"/>
      <c r="AW29" s="2512"/>
      <c r="AX29" s="2512"/>
      <c r="AY29" s="2512"/>
      <c r="AZ29" s="1315"/>
      <c r="BA29" s="1279">
        <v>29</v>
      </c>
    </row>
    <row r="30" spans="1:53" s="95" customFormat="1" ht="11.25" customHeight="1">
      <c r="A30" s="2512"/>
      <c r="B30" s="2512" t="s">
        <v>562</v>
      </c>
      <c r="C30" s="2512"/>
      <c r="D30" s="2512"/>
      <c r="E30" s="2512"/>
      <c r="F30" s="2512"/>
      <c r="G30" s="3060">
        <v>12384288</v>
      </c>
      <c r="H30" s="3061"/>
      <c r="I30" s="2512"/>
      <c r="J30" s="3060">
        <v>12384288</v>
      </c>
      <c r="K30" s="3061"/>
      <c r="L30" s="2529"/>
      <c r="M30" s="3060"/>
      <c r="N30" s="3061"/>
      <c r="O30" s="2512"/>
      <c r="P30" s="3060"/>
      <c r="Q30" s="3061"/>
      <c r="R30" s="2512"/>
      <c r="S30" s="3060"/>
      <c r="T30" s="3061"/>
      <c r="U30" s="2512"/>
      <c r="V30" s="635"/>
      <c r="W30" s="3159"/>
      <c r="X30" s="3160"/>
      <c r="Y30" s="2512"/>
      <c r="Z30" s="2512"/>
      <c r="AA30" s="2512"/>
      <c r="AB30" s="2512"/>
      <c r="AC30" s="2512"/>
      <c r="AD30" s="2512"/>
      <c r="AE30" s="2512"/>
      <c r="AF30" s="2512"/>
      <c r="AG30" s="2512"/>
      <c r="AH30" s="2512"/>
      <c r="AI30" s="2512"/>
      <c r="AJ30" s="2512"/>
      <c r="AK30" s="2512"/>
      <c r="AL30" s="2512"/>
      <c r="AM30" s="2512"/>
      <c r="AN30" s="2512"/>
      <c r="AO30" s="2512"/>
      <c r="AP30" s="2512"/>
      <c r="AQ30" s="2512"/>
      <c r="AR30" s="2512"/>
      <c r="AS30" s="2512"/>
      <c r="AT30" s="2512"/>
      <c r="AU30" s="2512"/>
      <c r="AV30" s="2512"/>
      <c r="AW30" s="2512"/>
      <c r="AX30" s="2512"/>
      <c r="AY30" s="2512"/>
      <c r="AZ30" s="1315"/>
      <c r="BA30" s="1279">
        <v>30</v>
      </c>
    </row>
    <row r="31" spans="1:53" s="95" customFormat="1" ht="11.25" customHeight="1">
      <c r="A31" s="2512"/>
      <c r="B31" s="2512" t="s">
        <v>563</v>
      </c>
      <c r="C31" s="2512"/>
      <c r="D31" s="2512"/>
      <c r="E31" s="2512"/>
      <c r="F31" s="2512"/>
      <c r="G31" s="3035"/>
      <c r="H31" s="3036"/>
      <c r="I31" s="2512"/>
      <c r="J31" s="3035"/>
      <c r="K31" s="3036"/>
      <c r="L31" s="2529"/>
      <c r="M31" s="3035"/>
      <c r="N31" s="3036"/>
      <c r="O31" s="2512"/>
      <c r="P31" s="3035"/>
      <c r="Q31" s="3036"/>
      <c r="R31" s="2512"/>
      <c r="S31" s="3035"/>
      <c r="T31" s="3036"/>
      <c r="U31" s="2512"/>
      <c r="V31" s="635"/>
      <c r="W31" s="3159"/>
      <c r="X31" s="3160"/>
      <c r="Y31" s="2512"/>
      <c r="Z31" s="2512"/>
      <c r="AA31" s="2512"/>
      <c r="AB31" s="2512"/>
      <c r="AC31" s="2512"/>
      <c r="AD31" s="2512"/>
      <c r="AE31" s="2512"/>
      <c r="AF31" s="2512"/>
      <c r="AG31" s="2512"/>
      <c r="AH31" s="2512"/>
      <c r="AI31" s="2512"/>
      <c r="AJ31" s="2512"/>
      <c r="AK31" s="2512"/>
      <c r="AL31" s="2512"/>
      <c r="AM31" s="2512"/>
      <c r="AN31" s="2512"/>
      <c r="AO31" s="2512"/>
      <c r="AP31" s="2512"/>
      <c r="AQ31" s="2512"/>
      <c r="AR31" s="2512"/>
      <c r="AS31" s="2512"/>
      <c r="AT31" s="2512"/>
      <c r="AU31" s="2512"/>
      <c r="AV31" s="2512"/>
      <c r="AW31" s="2512"/>
      <c r="AX31" s="2512"/>
      <c r="AY31" s="2512"/>
      <c r="AZ31" s="1315"/>
      <c r="BA31" s="1279">
        <v>31</v>
      </c>
    </row>
    <row r="32" spans="1:53" s="95" customFormat="1" ht="11.25" customHeight="1">
      <c r="A32" s="2512"/>
      <c r="B32" s="2512" t="s">
        <v>564</v>
      </c>
      <c r="C32" s="2512"/>
      <c r="D32" s="2512"/>
      <c r="E32" s="2512"/>
      <c r="F32" s="2512"/>
      <c r="G32" s="3035"/>
      <c r="H32" s="3036"/>
      <c r="I32" s="2512"/>
      <c r="J32" s="3035"/>
      <c r="K32" s="3036"/>
      <c r="L32" s="2529"/>
      <c r="M32" s="3035"/>
      <c r="N32" s="3036"/>
      <c r="O32" s="2512"/>
      <c r="P32" s="3035"/>
      <c r="Q32" s="3036"/>
      <c r="R32" s="2512"/>
      <c r="S32" s="3035"/>
      <c r="T32" s="3036"/>
      <c r="U32" s="2512"/>
      <c r="V32" s="635"/>
      <c r="W32" s="3159"/>
      <c r="X32" s="3160"/>
      <c r="Y32" s="2512"/>
      <c r="Z32" s="2512"/>
      <c r="AA32" s="2512"/>
      <c r="AB32" s="2512"/>
      <c r="AC32" s="2512"/>
      <c r="AD32" s="2512"/>
      <c r="AE32" s="2512"/>
      <c r="AF32" s="2512"/>
      <c r="AG32" s="2512"/>
      <c r="AH32" s="2512"/>
      <c r="AI32" s="2512"/>
      <c r="AJ32" s="2512"/>
      <c r="AK32" s="2512"/>
      <c r="AL32" s="2512"/>
      <c r="AM32" s="2512"/>
      <c r="AN32" s="2512"/>
      <c r="AO32" s="2512"/>
      <c r="AP32" s="2512"/>
      <c r="AQ32" s="2512"/>
      <c r="AR32" s="2512"/>
      <c r="AS32" s="2512"/>
      <c r="AT32" s="2512"/>
      <c r="AU32" s="2512"/>
      <c r="AV32" s="2512"/>
      <c r="AW32" s="2512"/>
      <c r="AX32" s="2512"/>
      <c r="AY32" s="2512"/>
      <c r="AZ32" s="1315"/>
      <c r="BA32" s="1279">
        <v>32</v>
      </c>
    </row>
    <row r="33" spans="1:53" s="95" customFormat="1" ht="11.25" customHeight="1">
      <c r="A33" s="2512"/>
      <c r="B33" s="2512" t="s">
        <v>565</v>
      </c>
      <c r="C33" s="2512"/>
      <c r="D33" s="2512"/>
      <c r="E33" s="2512"/>
      <c r="F33" s="2512"/>
      <c r="G33" s="3035"/>
      <c r="H33" s="3036"/>
      <c r="I33" s="2512"/>
      <c r="J33" s="3035"/>
      <c r="K33" s="3036"/>
      <c r="L33" s="2529"/>
      <c r="M33" s="3035"/>
      <c r="N33" s="3036"/>
      <c r="O33" s="2512"/>
      <c r="P33" s="3035"/>
      <c r="Q33" s="3036"/>
      <c r="R33" s="2512"/>
      <c r="S33" s="3035"/>
      <c r="T33" s="3036"/>
      <c r="U33" s="2512"/>
      <c r="V33" s="635"/>
      <c r="W33" s="3159"/>
      <c r="X33" s="3160"/>
      <c r="Y33" s="2512"/>
      <c r="Z33" s="2512"/>
      <c r="AA33" s="2512"/>
      <c r="AB33" s="2512"/>
      <c r="AC33" s="2512"/>
      <c r="AD33" s="2512"/>
      <c r="AE33" s="2512"/>
      <c r="AF33" s="2512"/>
      <c r="AG33" s="2512"/>
      <c r="AH33" s="2512"/>
      <c r="AI33" s="2512"/>
      <c r="AJ33" s="2512"/>
      <c r="AK33" s="2512"/>
      <c r="AL33" s="2512"/>
      <c r="AM33" s="2512"/>
      <c r="AN33" s="2512"/>
      <c r="AO33" s="2512"/>
      <c r="AP33" s="2512"/>
      <c r="AQ33" s="2512"/>
      <c r="AR33" s="2512"/>
      <c r="AS33" s="2512"/>
      <c r="AT33" s="2512"/>
      <c r="AU33" s="2512"/>
      <c r="AV33" s="2512"/>
      <c r="AW33" s="2512"/>
      <c r="AX33" s="2512"/>
      <c r="AY33" s="2512"/>
      <c r="AZ33" s="1315"/>
      <c r="BA33" s="1279">
        <v>33</v>
      </c>
    </row>
    <row r="34" spans="1:53" ht="11.25" customHeight="1">
      <c r="B34" s="2512" t="s">
        <v>566</v>
      </c>
      <c r="G34" s="3035"/>
      <c r="H34" s="3036"/>
      <c r="I34" s="2512"/>
      <c r="J34" s="3035"/>
      <c r="K34" s="3036"/>
      <c r="L34" s="2529"/>
      <c r="M34" s="3035"/>
      <c r="N34" s="3036"/>
      <c r="O34" s="2512"/>
      <c r="P34" s="3035"/>
      <c r="Q34" s="3036"/>
      <c r="R34" s="2512"/>
      <c r="S34" s="3035"/>
      <c r="T34" s="3036"/>
      <c r="V34" s="635"/>
      <c r="W34" s="3163"/>
      <c r="X34" s="3164"/>
      <c r="BA34" s="1279">
        <v>34</v>
      </c>
    </row>
    <row r="35" spans="1:53" ht="11.25" customHeight="1" thickBot="1">
      <c r="B35" s="2512" t="s">
        <v>567</v>
      </c>
      <c r="G35" s="3173"/>
      <c r="H35" s="3174"/>
      <c r="I35" s="2512"/>
      <c r="J35" s="3173"/>
      <c r="K35" s="3174"/>
      <c r="L35" s="2529"/>
      <c r="M35" s="3173"/>
      <c r="N35" s="3174"/>
      <c r="O35" s="2512"/>
      <c r="P35" s="3173"/>
      <c r="Q35" s="3174"/>
      <c r="R35" s="2512"/>
      <c r="S35" s="3173"/>
      <c r="T35" s="3174"/>
      <c r="V35" s="635"/>
      <c r="W35" s="3163"/>
      <c r="X35" s="3164"/>
      <c r="BA35" s="1279">
        <v>35</v>
      </c>
    </row>
    <row r="36" spans="1:53" s="95" customFormat="1" ht="12.6" customHeight="1" thickTop="1">
      <c r="A36" s="2512"/>
      <c r="B36" s="2512"/>
      <c r="C36" s="3176"/>
      <c r="D36" s="3176"/>
      <c r="E36" s="2534"/>
      <c r="F36" s="184" t="s">
        <v>548</v>
      </c>
      <c r="G36" s="3165">
        <f>SUM(G30:G35)</f>
        <v>12384288</v>
      </c>
      <c r="H36" s="3166"/>
      <c r="I36" s="2512"/>
      <c r="J36" s="3165">
        <f>SUM(J30:J35)</f>
        <v>12384288</v>
      </c>
      <c r="K36" s="3166"/>
      <c r="L36" s="2529"/>
      <c r="M36" s="3165">
        <f>SUM(M30:M35)</f>
        <v>0</v>
      </c>
      <c r="N36" s="3166"/>
      <c r="O36" s="2512"/>
      <c r="P36" s="3165">
        <f>SUM(P30:P35)</f>
        <v>0</v>
      </c>
      <c r="Q36" s="3166"/>
      <c r="R36" s="2512"/>
      <c r="S36" s="3165">
        <f>SUM(S30:S35)</f>
        <v>0</v>
      </c>
      <c r="T36" s="3166"/>
      <c r="U36" s="2512"/>
      <c r="V36" s="637">
        <f>SUM(V30:V35)</f>
        <v>0</v>
      </c>
      <c r="W36" s="3167"/>
      <c r="X36" s="3168"/>
      <c r="Y36" s="2512"/>
      <c r="Z36" s="2512"/>
      <c r="AA36" s="2512"/>
      <c r="AB36" s="2512"/>
      <c r="AC36" s="2512"/>
      <c r="AD36" s="2512"/>
      <c r="AE36" s="2512"/>
      <c r="AF36" s="2512"/>
      <c r="AG36" s="2512"/>
      <c r="AH36" s="2512"/>
      <c r="AI36" s="2512"/>
      <c r="AJ36" s="2512"/>
      <c r="AK36" s="2512"/>
      <c r="AL36" s="2512"/>
      <c r="AM36" s="2512"/>
      <c r="AN36" s="2512"/>
      <c r="AO36" s="2512"/>
      <c r="AP36" s="2512"/>
      <c r="AQ36" s="2512"/>
      <c r="AR36" s="2512"/>
      <c r="AS36" s="2512"/>
      <c r="AT36" s="2512"/>
      <c r="AU36" s="2512"/>
      <c r="AV36" s="2512"/>
      <c r="AW36" s="2512"/>
      <c r="AX36" s="2512"/>
      <c r="AY36" s="2512"/>
      <c r="AZ36" s="1315" t="s">
        <v>568</v>
      </c>
      <c r="BA36" s="1279">
        <v>36</v>
      </c>
    </row>
    <row r="37" spans="1:53" s="95" customFormat="1" ht="12" customHeight="1">
      <c r="A37" s="2512"/>
      <c r="B37" s="151" t="s">
        <v>569</v>
      </c>
      <c r="C37" s="2512"/>
      <c r="D37" s="3175" t="s">
        <v>570</v>
      </c>
      <c r="E37" s="3175"/>
      <c r="F37" s="574">
        <f>SUM(F38:F40)</f>
        <v>0.13999989527373541</v>
      </c>
      <c r="G37" s="313"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512"/>
      <c r="M37" s="186"/>
      <c r="N37" s="183"/>
      <c r="O37" s="185" t="str">
        <f>B37</f>
        <v>CONTRACTOR SERVICES</v>
      </c>
      <c r="P37" s="186"/>
      <c r="Q37" s="183"/>
      <c r="R37" s="2512"/>
      <c r="S37" s="186"/>
      <c r="T37" s="183"/>
      <c r="U37" s="2512"/>
      <c r="V37" s="638"/>
      <c r="W37" s="2512" t="str">
        <f>B37</f>
        <v>CONTRACTOR SERVICES</v>
      </c>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c r="AS37" s="2512"/>
      <c r="AT37" s="2512"/>
      <c r="AU37" s="2512"/>
      <c r="AV37" s="2512"/>
      <c r="AW37" s="2512"/>
      <c r="AX37" s="2512"/>
      <c r="AY37" s="2512"/>
      <c r="AZ37" s="1315"/>
      <c r="BA37" s="1279">
        <v>37</v>
      </c>
    </row>
    <row r="38" spans="1:53" s="95" customFormat="1" ht="11.25" customHeight="1">
      <c r="A38" s="2512"/>
      <c r="B38" s="2512" t="s">
        <v>571</v>
      </c>
      <c r="C38" s="2512"/>
      <c r="D38" s="1502">
        <f>'DCA Underwriting Assumptions'!$R$52</f>
        <v>0.06</v>
      </c>
      <c r="E38" s="1503">
        <f>ROUNDDOWN(D38*(G28+G36),0)</f>
        <v>756257</v>
      </c>
      <c r="F38" s="1504">
        <f>IF(($G$28+$G$36)=0,0,G38/($G$28+$G$36))</f>
        <v>5.9999977785337819E-2</v>
      </c>
      <c r="G38" s="3060">
        <v>756257</v>
      </c>
      <c r="H38" s="3061"/>
      <c r="I38" s="96"/>
      <c r="J38" s="3060">
        <v>749057</v>
      </c>
      <c r="K38" s="3061"/>
      <c r="L38" s="2529"/>
      <c r="M38" s="3060"/>
      <c r="N38" s="3061"/>
      <c r="O38" s="2512"/>
      <c r="P38" s="3060"/>
      <c r="Q38" s="3061"/>
      <c r="R38" s="2512"/>
      <c r="S38" s="3060">
        <v>7200</v>
      </c>
      <c r="T38" s="3061"/>
      <c r="U38" s="2512"/>
      <c r="V38" s="635"/>
      <c r="W38" s="3159"/>
      <c r="X38" s="3160"/>
      <c r="Y38" s="2512"/>
      <c r="Z38" s="2512"/>
      <c r="AA38" s="2512"/>
      <c r="AB38" s="2512"/>
      <c r="AC38" s="2512"/>
      <c r="AD38" s="2512"/>
      <c r="AE38" s="2512"/>
      <c r="AF38" s="2512"/>
      <c r="AG38" s="2512"/>
      <c r="AH38" s="2512"/>
      <c r="AI38" s="2512"/>
      <c r="AJ38" s="2512"/>
      <c r="AK38" s="2512"/>
      <c r="AL38" s="2512"/>
      <c r="AM38" s="2512"/>
      <c r="AN38" s="2512"/>
      <c r="AO38" s="2512"/>
      <c r="AP38" s="2512"/>
      <c r="AQ38" s="2512"/>
      <c r="AR38" s="2512"/>
      <c r="AS38" s="2512"/>
      <c r="AT38" s="2512"/>
      <c r="AU38" s="2512"/>
      <c r="AV38" s="2512"/>
      <c r="AW38" s="2512"/>
      <c r="AX38" s="2512"/>
      <c r="AY38" s="2512"/>
      <c r="AZ38" s="1315"/>
      <c r="BA38" s="1279">
        <v>38</v>
      </c>
    </row>
    <row r="39" spans="1:53" s="95" customFormat="1" ht="11.25" customHeight="1">
      <c r="A39" s="2512"/>
      <c r="B39" s="2512" t="s">
        <v>572</v>
      </c>
      <c r="C39" s="2512"/>
      <c r="D39" s="1502">
        <f>'DCA Underwriting Assumptions'!$R$53</f>
        <v>0.02</v>
      </c>
      <c r="E39" s="1503">
        <f>ROUNDDOWN(D39*(G28+G36),0)</f>
        <v>252085</v>
      </c>
      <c r="F39" s="1504">
        <f>IF(($G$28+$G$36)=0,0,G39/($G$28+$G$36))</f>
        <v>1.9999939703059785E-2</v>
      </c>
      <c r="G39" s="3035">
        <v>252085</v>
      </c>
      <c r="H39" s="3036"/>
      <c r="I39" s="96"/>
      <c r="J39" s="3035">
        <v>249685</v>
      </c>
      <c r="K39" s="3036"/>
      <c r="L39" s="2529"/>
      <c r="M39" s="3035"/>
      <c r="N39" s="3036"/>
      <c r="O39" s="2512"/>
      <c r="P39" s="3035"/>
      <c r="Q39" s="3036"/>
      <c r="R39" s="2512"/>
      <c r="S39" s="3035">
        <v>2400</v>
      </c>
      <c r="T39" s="3036"/>
      <c r="U39" s="2512"/>
      <c r="V39" s="635"/>
      <c r="W39" s="3159"/>
      <c r="X39" s="3160"/>
      <c r="Y39" s="2512"/>
      <c r="Z39" s="2512"/>
      <c r="AA39" s="2512"/>
      <c r="AB39" s="2512"/>
      <c r="AC39" s="2512"/>
      <c r="AD39" s="2512"/>
      <c r="AE39" s="2512"/>
      <c r="AF39" s="2512"/>
      <c r="AG39" s="2512"/>
      <c r="AH39" s="2512"/>
      <c r="AI39" s="2512"/>
      <c r="AJ39" s="2512"/>
      <c r="AK39" s="2512"/>
      <c r="AL39" s="2512"/>
      <c r="AM39" s="2512"/>
      <c r="AN39" s="2512"/>
      <c r="AO39" s="2512"/>
      <c r="AP39" s="2512"/>
      <c r="AQ39" s="2512"/>
      <c r="AR39" s="2512"/>
      <c r="AS39" s="2512"/>
      <c r="AT39" s="2512"/>
      <c r="AU39" s="2512"/>
      <c r="AV39" s="2512"/>
      <c r="AW39" s="2512"/>
      <c r="AX39" s="2512"/>
      <c r="AY39" s="2512"/>
      <c r="AZ39" s="1315"/>
      <c r="BA39" s="1279">
        <v>39</v>
      </c>
    </row>
    <row r="40" spans="1:53" s="95" customFormat="1" ht="11.25" customHeight="1" thickBot="1">
      <c r="A40" s="2512"/>
      <c r="B40" s="2512" t="s">
        <v>573</v>
      </c>
      <c r="C40" s="2512"/>
      <c r="D40" s="1505">
        <f>'DCA Underwriting Assumptions'!$R$54</f>
        <v>0.06</v>
      </c>
      <c r="E40" s="1506">
        <f>ROUNDDOWN(D40*(G28+G36),0)</f>
        <v>756257</v>
      </c>
      <c r="F40" s="1507">
        <f>IF(($G$28+$G$36)=0,0,G40/($G$28+$G$36))</f>
        <v>5.9999977785337819E-2</v>
      </c>
      <c r="G40" s="3169">
        <v>756257</v>
      </c>
      <c r="H40" s="3170"/>
      <c r="I40" s="96"/>
      <c r="J40" s="3169">
        <v>749057</v>
      </c>
      <c r="K40" s="3170"/>
      <c r="L40" s="2529"/>
      <c r="M40" s="3169"/>
      <c r="N40" s="3170"/>
      <c r="O40" s="2512"/>
      <c r="P40" s="3169"/>
      <c r="Q40" s="3170"/>
      <c r="R40" s="2512"/>
      <c r="S40" s="3169">
        <v>7200</v>
      </c>
      <c r="T40" s="3170"/>
      <c r="U40" s="2512"/>
      <c r="V40" s="635"/>
      <c r="W40" s="3163"/>
      <c r="X40" s="3164"/>
      <c r="Y40" s="2512"/>
      <c r="Z40" s="2512"/>
      <c r="AA40" s="2512"/>
      <c r="AB40" s="2512"/>
      <c r="AC40" s="2512"/>
      <c r="AD40" s="2512"/>
      <c r="AE40" s="2512"/>
      <c r="AF40" s="2512"/>
      <c r="AG40" s="2512"/>
      <c r="AH40" s="2512"/>
      <c r="AI40" s="2512"/>
      <c r="AJ40" s="2512"/>
      <c r="AK40" s="2512"/>
      <c r="AL40" s="2512"/>
      <c r="AM40" s="2512"/>
      <c r="AN40" s="2512"/>
      <c r="AO40" s="2512"/>
      <c r="AP40" s="2512"/>
      <c r="AQ40" s="2512"/>
      <c r="AR40" s="2512"/>
      <c r="AS40" s="2512"/>
      <c r="AT40" s="2512"/>
      <c r="AU40" s="2512"/>
      <c r="AV40" s="2512"/>
      <c r="AW40" s="2512"/>
      <c r="AX40" s="2512"/>
      <c r="AY40" s="2512"/>
      <c r="AZ40" s="1315"/>
      <c r="BA40" s="1279">
        <v>40</v>
      </c>
    </row>
    <row r="41" spans="1:53" s="95" customFormat="1" ht="12.6" customHeight="1" thickTop="1">
      <c r="A41" s="2512"/>
      <c r="B41" s="98" t="s">
        <v>574</v>
      </c>
      <c r="C41" s="2512"/>
      <c r="D41" s="575">
        <f>SUM(D38:D40)</f>
        <v>0.14000000000000001</v>
      </c>
      <c r="E41" s="576">
        <f>SUM(E38:E40)</f>
        <v>1764599</v>
      </c>
      <c r="F41" s="1501" t="s">
        <v>548</v>
      </c>
      <c r="G41" s="3165">
        <f>SUM(G38:G40)</f>
        <v>1764599</v>
      </c>
      <c r="H41" s="3166"/>
      <c r="I41" s="2512"/>
      <c r="J41" s="3165">
        <f>SUM(J38:J40)</f>
        <v>1747799</v>
      </c>
      <c r="K41" s="3166"/>
      <c r="L41" s="186"/>
      <c r="M41" s="3165">
        <f>SUM(M38:M40)</f>
        <v>0</v>
      </c>
      <c r="N41" s="3166"/>
      <c r="O41" s="2512"/>
      <c r="P41" s="3165">
        <f>SUM(P38:P40)</f>
        <v>0</v>
      </c>
      <c r="Q41" s="3166"/>
      <c r="R41" s="2512"/>
      <c r="S41" s="3165">
        <f>SUM(S38:S40)</f>
        <v>16800</v>
      </c>
      <c r="T41" s="3166"/>
      <c r="U41" s="2512"/>
      <c r="V41" s="637">
        <f>SUM(V38:V40)</f>
        <v>0</v>
      </c>
      <c r="W41" s="3167"/>
      <c r="X41" s="3168"/>
      <c r="Y41" s="2512"/>
      <c r="Z41" s="2512"/>
      <c r="AA41" s="2512"/>
      <c r="AB41" s="2512"/>
      <c r="AC41" s="2512"/>
      <c r="AD41" s="2512"/>
      <c r="AE41" s="2512"/>
      <c r="AF41" s="2512"/>
      <c r="AG41" s="2512"/>
      <c r="AH41" s="2512"/>
      <c r="AI41" s="2512"/>
      <c r="AJ41" s="2512"/>
      <c r="AK41" s="2512"/>
      <c r="AL41" s="2512"/>
      <c r="AM41" s="2512"/>
      <c r="AN41" s="2512"/>
      <c r="AO41" s="2512"/>
      <c r="AP41" s="2512"/>
      <c r="AQ41" s="2512"/>
      <c r="AR41" s="2512"/>
      <c r="AS41" s="2512"/>
      <c r="AT41" s="2512"/>
      <c r="AU41" s="2512"/>
      <c r="AV41" s="2512"/>
      <c r="AW41" s="2512"/>
      <c r="AX41" s="2512"/>
      <c r="AY41" s="2512"/>
      <c r="AZ41" s="1315" t="s">
        <v>575</v>
      </c>
      <c r="BA41" s="1279">
        <v>41</v>
      </c>
    </row>
    <row r="42" spans="1:53" s="95" customFormat="1" ht="3" customHeight="1">
      <c r="A42" s="269"/>
      <c r="B42" s="269"/>
      <c r="C42" s="269"/>
      <c r="D42" s="269"/>
      <c r="E42" s="269"/>
      <c r="F42" s="269"/>
      <c r="G42" s="269"/>
      <c r="H42" s="269"/>
      <c r="I42" s="269"/>
      <c r="J42" s="269"/>
      <c r="K42" s="269"/>
      <c r="L42" s="269"/>
      <c r="M42" s="269"/>
      <c r="N42" s="269"/>
      <c r="O42" s="269"/>
      <c r="P42" s="269"/>
      <c r="Q42" s="269"/>
      <c r="R42" s="269"/>
      <c r="S42" s="269"/>
      <c r="T42" s="269"/>
      <c r="U42" s="2512"/>
      <c r="V42" s="638"/>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c r="AS42" s="2512"/>
      <c r="AT42" s="2512"/>
      <c r="AU42" s="2512"/>
      <c r="AV42" s="2512"/>
      <c r="AW42" s="2512"/>
      <c r="AX42" s="2512"/>
      <c r="AY42" s="2512"/>
      <c r="AZ42" s="1315"/>
      <c r="BA42" s="1279">
        <v>42</v>
      </c>
    </row>
    <row r="43" spans="1:53" s="95" customFormat="1">
      <c r="A43" s="269"/>
      <c r="B43" s="2512"/>
      <c r="C43" s="1225" t="s">
        <v>576</v>
      </c>
      <c r="D43" s="1285"/>
      <c r="E43" s="1226"/>
      <c r="F43" s="1226"/>
      <c r="G43" s="3177">
        <f>G28+G36+G41</f>
        <v>14368887</v>
      </c>
      <c r="H43" s="3178"/>
      <c r="I43" s="269"/>
      <c r="J43" s="269"/>
      <c r="K43" s="269"/>
      <c r="L43" s="269"/>
      <c r="M43" s="269"/>
      <c r="N43" s="269"/>
      <c r="O43" s="269"/>
      <c r="P43" s="269"/>
      <c r="Q43" s="269"/>
      <c r="R43" s="269"/>
      <c r="S43" s="269"/>
      <c r="T43" s="269"/>
      <c r="U43" s="2512"/>
      <c r="V43" s="638"/>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c r="AS43" s="2512"/>
      <c r="AT43" s="2512"/>
      <c r="AU43" s="2512"/>
      <c r="AV43" s="2512"/>
      <c r="AW43" s="2512"/>
      <c r="AX43" s="2512"/>
      <c r="AY43" s="2512"/>
      <c r="AZ43" s="1315"/>
      <c r="BA43" s="1279">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c r="AS44" s="2512"/>
      <c r="AT44" s="2512"/>
      <c r="AU44" s="2512"/>
      <c r="AV44" s="2512"/>
      <c r="AW44" s="2512"/>
      <c r="AX44" s="2512"/>
      <c r="AY44" s="2512"/>
      <c r="AZ44" s="1312" t="s">
        <v>577</v>
      </c>
      <c r="BA44" s="1279">
        <v>44</v>
      </c>
    </row>
    <row r="45" spans="1:53" s="95" customFormat="1" ht="12" customHeight="1">
      <c r="A45" s="2512"/>
      <c r="B45" s="151" t="s">
        <v>578</v>
      </c>
      <c r="C45" s="2512"/>
      <c r="D45" s="2512"/>
      <c r="E45" s="2512"/>
      <c r="F45" s="2512"/>
      <c r="G45" s="2512"/>
      <c r="H45" s="2512"/>
      <c r="I45" s="2512"/>
      <c r="J45" s="186"/>
      <c r="K45" s="183"/>
      <c r="L45" s="2512"/>
      <c r="M45" s="186"/>
      <c r="N45" s="183"/>
      <c r="O45" s="185" t="str">
        <f>B45</f>
        <v>OTHER CONSTRUCTION HARD COSTS (Non-GC work scope items done by Owner)</v>
      </c>
      <c r="P45" s="186"/>
      <c r="Q45" s="183"/>
      <c r="R45" s="2512"/>
      <c r="S45" s="186"/>
      <c r="T45" s="183"/>
      <c r="U45" s="2512"/>
      <c r="V45" s="638"/>
      <c r="W45" s="2512" t="str">
        <f>B45</f>
        <v>OTHER CONSTRUCTION HARD COSTS (Non-GC work scope items done by Owner)</v>
      </c>
      <c r="X45" s="2512"/>
      <c r="Y45" s="2512"/>
      <c r="Z45" s="2512"/>
      <c r="AA45" s="2512"/>
      <c r="AB45" s="2512"/>
      <c r="AC45" s="2512"/>
      <c r="AD45" s="2512"/>
      <c r="AE45" s="2512"/>
      <c r="AF45" s="2512"/>
      <c r="AG45" s="2512"/>
      <c r="AH45" s="2512"/>
      <c r="AI45" s="2512"/>
      <c r="AJ45" s="2512"/>
      <c r="AK45" s="2512"/>
      <c r="AL45" s="2512"/>
      <c r="AM45" s="2512"/>
      <c r="AN45" s="2512"/>
      <c r="AO45" s="2512"/>
      <c r="AP45" s="2512"/>
      <c r="AQ45" s="2512"/>
      <c r="AR45" s="2512"/>
      <c r="AS45" s="2512"/>
      <c r="AT45" s="2512"/>
      <c r="AU45" s="2512"/>
      <c r="AV45" s="2512"/>
      <c r="AW45" s="2512"/>
      <c r="AX45" s="2512"/>
      <c r="AY45" s="2512"/>
      <c r="AZ45" s="1315"/>
      <c r="BA45" s="1279">
        <v>45</v>
      </c>
    </row>
    <row r="46" spans="1:53" ht="11.25" customHeight="1">
      <c r="B46" s="98" t="s">
        <v>579</v>
      </c>
      <c r="C46" s="3161"/>
      <c r="D46" s="3179"/>
      <c r="E46" s="3179"/>
      <c r="F46" s="3180"/>
      <c r="G46" s="3181"/>
      <c r="H46" s="3182"/>
      <c r="I46" s="2512"/>
      <c r="J46" s="3181"/>
      <c r="K46" s="3182"/>
      <c r="L46" s="2529"/>
      <c r="M46" s="3181"/>
      <c r="N46" s="3182"/>
      <c r="O46" s="2512"/>
      <c r="P46" s="3181"/>
      <c r="Q46" s="3182"/>
      <c r="R46" s="2512"/>
      <c r="S46" s="3181"/>
      <c r="T46" s="3182"/>
      <c r="V46" s="635"/>
      <c r="W46" s="3183"/>
      <c r="X46" s="3184"/>
      <c r="AZ46" s="1315"/>
      <c r="BA46" s="1279">
        <v>46</v>
      </c>
    </row>
    <row r="47" spans="1:53" s="95" customFormat="1" ht="6" customHeight="1">
      <c r="A47" s="269"/>
      <c r="B47" s="269"/>
      <c r="C47" s="269"/>
      <c r="D47" s="269"/>
      <c r="E47" s="269"/>
      <c r="F47" s="269"/>
      <c r="G47" s="269"/>
      <c r="H47" s="269"/>
      <c r="I47" s="269"/>
      <c r="J47" s="269"/>
      <c r="K47" s="269"/>
      <c r="L47" s="269"/>
      <c r="M47" s="269"/>
      <c r="N47" s="269"/>
      <c r="O47" s="269"/>
      <c r="P47" s="269"/>
      <c r="Q47" s="269"/>
      <c r="R47" s="269"/>
      <c r="S47" s="269"/>
      <c r="T47" s="269"/>
      <c r="U47" s="2512"/>
      <c r="V47" s="638"/>
      <c r="W47" s="3185"/>
      <c r="X47" s="3186"/>
      <c r="Y47" s="2512"/>
      <c r="Z47" s="2512"/>
      <c r="AA47" s="2512"/>
      <c r="AB47" s="2512"/>
      <c r="AC47" s="2512"/>
      <c r="AD47" s="2512"/>
      <c r="AE47" s="2512"/>
      <c r="AF47" s="2512"/>
      <c r="AG47" s="2512"/>
      <c r="AH47" s="2512"/>
      <c r="AI47" s="2512"/>
      <c r="AJ47" s="2512"/>
      <c r="AK47" s="2512"/>
      <c r="AL47" s="2512"/>
      <c r="AM47" s="2512"/>
      <c r="AN47" s="2512"/>
      <c r="AO47" s="2512"/>
      <c r="AP47" s="2512"/>
      <c r="AQ47" s="2512"/>
      <c r="AR47" s="2512"/>
      <c r="AS47" s="2512"/>
      <c r="AT47" s="2512"/>
      <c r="AU47" s="2512"/>
      <c r="AV47" s="2512"/>
      <c r="AW47" s="2512"/>
      <c r="AX47" s="2512"/>
      <c r="AY47" s="2512"/>
      <c r="AZ47" s="1315" t="s">
        <v>580</v>
      </c>
      <c r="BA47" s="1279">
        <v>47</v>
      </c>
    </row>
    <row r="48" spans="1:53" s="95" customFormat="1" ht="12.6" customHeight="1">
      <c r="A48" s="2512"/>
      <c r="B48" s="1242" t="s">
        <v>581</v>
      </c>
      <c r="C48" s="1243"/>
      <c r="D48" s="2512"/>
      <c r="E48" s="3189" t="s">
        <v>582</v>
      </c>
      <c r="F48" s="2531">
        <f>C49/'Part V-Revenues &amp; Expenses'!$P$65</f>
        <v>247739.43103448275</v>
      </c>
      <c r="G48" s="2532" t="s">
        <v>583</v>
      </c>
      <c r="H48" s="1244"/>
      <c r="I48" s="1244"/>
      <c r="J48" s="3191">
        <f>C49/'Part V-Revenues &amp; Expenses'!$P$67</f>
        <v>247739.43103448275</v>
      </c>
      <c r="K48" s="3191"/>
      <c r="L48" s="1244"/>
      <c r="M48" s="3192" t="s">
        <v>584</v>
      </c>
      <c r="N48" s="3192"/>
      <c r="O48" s="1244"/>
      <c r="P48" s="3191">
        <f>C49/'Part V-Revenues &amp; Expenses'!$K$179</f>
        <v>292.38334282923654</v>
      </c>
      <c r="Q48" s="3191"/>
      <c r="R48" s="1244"/>
      <c r="S48" s="3193" t="s">
        <v>585</v>
      </c>
      <c r="T48" s="3194"/>
      <c r="U48" s="2512"/>
      <c r="V48" s="638"/>
      <c r="W48" s="3185"/>
      <c r="X48" s="3186"/>
      <c r="Y48" s="2512"/>
      <c r="Z48" s="2512"/>
      <c r="AA48" s="2512"/>
      <c r="AB48" s="2512"/>
      <c r="AC48" s="2512"/>
      <c r="AD48" s="2512"/>
      <c r="AE48" s="2512"/>
      <c r="AF48" s="2512"/>
      <c r="AG48" s="2512"/>
      <c r="AH48" s="2512"/>
      <c r="AI48" s="2512"/>
      <c r="AJ48" s="2512"/>
      <c r="AK48" s="2512"/>
      <c r="AL48" s="2512"/>
      <c r="AM48" s="2512"/>
      <c r="AN48" s="2512"/>
      <c r="AO48" s="2512"/>
      <c r="AP48" s="2512"/>
      <c r="AQ48" s="2512"/>
      <c r="AR48" s="2512"/>
      <c r="AS48" s="2512"/>
      <c r="AT48" s="2512"/>
      <c r="AU48" s="2512"/>
      <c r="AV48" s="2512"/>
      <c r="AW48" s="2512"/>
      <c r="AX48" s="2512"/>
      <c r="AY48" s="2512"/>
      <c r="AZ48" s="1315"/>
      <c r="BA48" s="1279">
        <v>48</v>
      </c>
    </row>
    <row r="49" spans="1:53" s="95" customFormat="1" ht="12.6" customHeight="1">
      <c r="A49" s="2512"/>
      <c r="B49" s="1287" t="s">
        <v>586</v>
      </c>
      <c r="C49" s="1286">
        <f>G28+G36+G41+G46</f>
        <v>14368887</v>
      </c>
      <c r="D49" s="2512"/>
      <c r="E49" s="3190"/>
      <c r="F49" s="2530">
        <f>C49/'Part V-Revenues &amp; Expenses'!$P$170</f>
        <v>333.04484980530316</v>
      </c>
      <c r="G49" s="1245" t="s">
        <v>587</v>
      </c>
      <c r="H49" s="1246"/>
      <c r="I49" s="1246"/>
      <c r="J49" s="3195">
        <f>C49/'Part V-Revenues &amp; Expenses'!$P$172</f>
        <v>333.04484980530316</v>
      </c>
      <c r="K49" s="3195"/>
      <c r="L49" s="1246"/>
      <c r="M49" s="3196" t="s">
        <v>588</v>
      </c>
      <c r="N49" s="3196"/>
      <c r="O49" s="1246"/>
      <c r="P49" s="1246"/>
      <c r="Q49" s="1246"/>
      <c r="R49" s="1246"/>
      <c r="S49" s="1246"/>
      <c r="T49" s="1247"/>
      <c r="U49" s="2512"/>
      <c r="V49" s="638"/>
      <c r="W49" s="3187"/>
      <c r="X49" s="3188"/>
      <c r="Y49" s="2512"/>
      <c r="Z49" s="2512"/>
      <c r="AA49" s="2512"/>
      <c r="AB49" s="2512"/>
      <c r="AC49" s="2512"/>
      <c r="AD49" s="2512"/>
      <c r="AE49" s="2512"/>
      <c r="AF49" s="2512"/>
      <c r="AG49" s="2512"/>
      <c r="AH49" s="2512"/>
      <c r="AI49" s="2512"/>
      <c r="AJ49" s="2512"/>
      <c r="AK49" s="2512"/>
      <c r="AL49" s="2512"/>
      <c r="AM49" s="2512"/>
      <c r="AN49" s="2512"/>
      <c r="AO49" s="2512"/>
      <c r="AP49" s="2512"/>
      <c r="AQ49" s="2512"/>
      <c r="AR49" s="2512"/>
      <c r="AS49" s="2512"/>
      <c r="AT49" s="2512"/>
      <c r="AU49" s="2512"/>
      <c r="AV49" s="2512"/>
      <c r="AW49" s="2512"/>
      <c r="AX49" s="2512"/>
      <c r="AY49" s="2512"/>
      <c r="AZ49" s="1315"/>
      <c r="BA49" s="1279">
        <v>49</v>
      </c>
    </row>
    <row r="50" spans="1:53" s="95" customFormat="1" ht="3" customHeight="1" thickBot="1">
      <c r="A50" s="269"/>
      <c r="B50" s="269"/>
      <c r="C50" s="269"/>
      <c r="D50" s="269"/>
      <c r="E50" s="269"/>
      <c r="F50" s="269"/>
      <c r="G50" s="269"/>
      <c r="H50" s="269"/>
      <c r="I50" s="269"/>
      <c r="J50" s="269"/>
      <c r="K50" s="269"/>
      <c r="L50" s="269"/>
      <c r="M50" s="269"/>
      <c r="N50" s="269"/>
      <c r="O50" s="269"/>
      <c r="P50" s="269"/>
      <c r="Q50" s="269"/>
      <c r="R50" s="269"/>
      <c r="S50" s="269"/>
      <c r="T50" s="269"/>
      <c r="U50" s="2512"/>
      <c r="V50" s="638"/>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c r="AS50" s="2512"/>
      <c r="AT50" s="2512"/>
      <c r="AU50" s="2512"/>
      <c r="AV50" s="2512"/>
      <c r="AW50" s="2512"/>
      <c r="AX50" s="2512"/>
      <c r="AY50" s="2512"/>
      <c r="AZ50" s="1315"/>
      <c r="BA50" s="1279">
        <v>56</v>
      </c>
    </row>
    <row r="51" spans="1:53" s="95" customFormat="1" ht="18.75" customHeight="1" thickBot="1">
      <c r="A51" s="237" t="s">
        <v>21</v>
      </c>
      <c r="B51" s="237" t="s">
        <v>589</v>
      </c>
      <c r="C51" s="2512"/>
      <c r="D51" s="2512"/>
      <c r="E51" s="2512"/>
      <c r="F51" s="2512"/>
      <c r="G51" s="2512"/>
      <c r="H51" s="2512"/>
      <c r="I51" s="2512"/>
      <c r="J51" s="3149" t="s">
        <v>528</v>
      </c>
      <c r="K51" s="3150"/>
      <c r="L51" s="183"/>
      <c r="M51" s="3153" t="s">
        <v>529</v>
      </c>
      <c r="N51" s="3154"/>
      <c r="O51" s="2512"/>
      <c r="P51" s="3149" t="s">
        <v>530</v>
      </c>
      <c r="Q51" s="3150"/>
      <c r="R51" s="2512"/>
      <c r="S51" s="3149" t="s">
        <v>531</v>
      </c>
      <c r="T51" s="3150"/>
      <c r="U51" s="2512"/>
      <c r="V51" s="638"/>
      <c r="W51" s="238" t="str">
        <f>B51</f>
        <v>DEVELOPMENT BUDGET (cont'd)</v>
      </c>
      <c r="X51" s="2512"/>
      <c r="Y51" s="2512"/>
      <c r="Z51" s="2512"/>
      <c r="AA51" s="2512"/>
      <c r="AB51" s="2512"/>
      <c r="AC51" s="2512"/>
      <c r="AD51" s="2512"/>
      <c r="AE51" s="2512"/>
      <c r="AF51" s="2512"/>
      <c r="AG51" s="2512"/>
      <c r="AH51" s="2512"/>
      <c r="AI51" s="2512"/>
      <c r="AJ51" s="2512"/>
      <c r="AK51" s="2512"/>
      <c r="AL51" s="2512"/>
      <c r="AM51" s="2512"/>
      <c r="AN51" s="2512"/>
      <c r="AO51" s="2512"/>
      <c r="AP51" s="2512"/>
      <c r="AQ51" s="2512"/>
      <c r="AR51" s="2512"/>
      <c r="AS51" s="2512"/>
      <c r="AT51" s="2512"/>
      <c r="AU51" s="2512"/>
      <c r="AV51" s="2512"/>
      <c r="AW51" s="2512"/>
      <c r="AX51" s="2512"/>
      <c r="AY51" s="2512"/>
      <c r="AZ51" s="1315"/>
      <c r="BA51" s="1279">
        <v>58</v>
      </c>
    </row>
    <row r="52" spans="1:53" s="95" customFormat="1" ht="18.75" customHeight="1" thickBot="1">
      <c r="A52" s="2512"/>
      <c r="B52" s="2512"/>
      <c r="C52" s="2512"/>
      <c r="D52" s="2512"/>
      <c r="E52" s="2512"/>
      <c r="F52" s="2512"/>
      <c r="G52" s="3157" t="s">
        <v>532</v>
      </c>
      <c r="H52" s="3158"/>
      <c r="I52" s="2512"/>
      <c r="J52" s="3151"/>
      <c r="K52" s="3152"/>
      <c r="L52" s="183"/>
      <c r="M52" s="3155"/>
      <c r="N52" s="3156"/>
      <c r="O52" s="2512"/>
      <c r="P52" s="3151"/>
      <c r="Q52" s="3152"/>
      <c r="R52" s="2512"/>
      <c r="S52" s="3151"/>
      <c r="T52" s="3152"/>
      <c r="U52" s="2512"/>
      <c r="V52" s="638"/>
      <c r="W52" s="3197" t="s">
        <v>361</v>
      </c>
      <c r="X52" s="3197"/>
      <c r="Y52" s="2512"/>
      <c r="Z52" s="2512"/>
      <c r="AA52" s="2512"/>
      <c r="AB52" s="2512"/>
      <c r="AC52" s="2512"/>
      <c r="AD52" s="2512"/>
      <c r="AE52" s="2512"/>
      <c r="AF52" s="2512"/>
      <c r="AG52" s="2512"/>
      <c r="AH52" s="2512"/>
      <c r="AI52" s="2512"/>
      <c r="AJ52" s="2512"/>
      <c r="AK52" s="2512"/>
      <c r="AL52" s="2512"/>
      <c r="AM52" s="2512"/>
      <c r="AN52" s="2512"/>
      <c r="AO52" s="2512"/>
      <c r="AP52" s="2512"/>
      <c r="AQ52" s="2512"/>
      <c r="AR52" s="2512"/>
      <c r="AS52" s="2512"/>
      <c r="AT52" s="2512"/>
      <c r="AU52" s="2512"/>
      <c r="AV52" s="2512"/>
      <c r="AW52" s="2512"/>
      <c r="AX52" s="2512"/>
      <c r="AY52" s="2512"/>
      <c r="AZ52" s="1315"/>
      <c r="BA52" s="1279">
        <v>59</v>
      </c>
    </row>
    <row r="53" spans="1:53" s="95" customFormat="1" ht="9" customHeight="1">
      <c r="A53" s="269"/>
      <c r="B53" s="269"/>
      <c r="C53" s="269"/>
      <c r="D53" s="269"/>
      <c r="E53" s="269"/>
      <c r="F53" s="269"/>
      <c r="G53" s="269"/>
      <c r="H53" s="269"/>
      <c r="I53" s="269"/>
      <c r="J53" s="269"/>
      <c r="K53" s="269"/>
      <c r="L53" s="269"/>
      <c r="M53" s="269"/>
      <c r="N53" s="269"/>
      <c r="O53" s="269"/>
      <c r="P53" s="269"/>
      <c r="Q53" s="269"/>
      <c r="R53" s="269"/>
      <c r="S53" s="269"/>
      <c r="T53" s="269"/>
      <c r="U53" s="2512"/>
      <c r="V53" s="638"/>
      <c r="W53" s="2512"/>
      <c r="X53" s="2512"/>
      <c r="Y53" s="2512"/>
      <c r="Z53" s="2512"/>
      <c r="AA53" s="2512"/>
      <c r="AB53" s="2512"/>
      <c r="AC53" s="2512"/>
      <c r="AD53" s="2512"/>
      <c r="AE53" s="2512"/>
      <c r="AF53" s="2512"/>
      <c r="AG53" s="2512"/>
      <c r="AH53" s="2512"/>
      <c r="AI53" s="2512"/>
      <c r="AJ53" s="2512"/>
      <c r="AK53" s="2512"/>
      <c r="AL53" s="2512"/>
      <c r="AM53" s="2512"/>
      <c r="AN53" s="2512"/>
      <c r="AO53" s="2512"/>
      <c r="AP53" s="2512"/>
      <c r="AQ53" s="2512"/>
      <c r="AR53" s="2512"/>
      <c r="AS53" s="2512"/>
      <c r="AT53" s="2512"/>
      <c r="AU53" s="2512"/>
      <c r="AV53" s="2512"/>
      <c r="AW53" s="2512"/>
      <c r="AX53" s="2512"/>
      <c r="AY53" s="2512"/>
      <c r="AZ53" s="1312"/>
      <c r="BA53" s="1279">
        <v>50</v>
      </c>
    </row>
    <row r="54" spans="1:53" s="95" customFormat="1" ht="12" customHeight="1">
      <c r="A54" s="2512"/>
      <c r="B54" s="151" t="s">
        <v>590</v>
      </c>
      <c r="C54" s="2512"/>
      <c r="D54" s="2512"/>
      <c r="E54" s="2512"/>
      <c r="F54" s="143" t="s">
        <v>591</v>
      </c>
      <c r="G54" s="285" t="str">
        <f>IF(G55&gt;E55,"Check Contingency Amount!!!!","")</f>
        <v/>
      </c>
      <c r="H54" s="2512"/>
      <c r="I54" s="2512"/>
      <c r="J54" s="186"/>
      <c r="K54" s="183"/>
      <c r="L54" s="2512"/>
      <c r="M54" s="186"/>
      <c r="N54" s="183"/>
      <c r="O54" s="185" t="str">
        <f>B54</f>
        <v>CONSTRUCTION CONTINGENCY (CC)</v>
      </c>
      <c r="P54" s="186"/>
      <c r="Q54" s="183"/>
      <c r="R54" s="2512"/>
      <c r="S54" s="186"/>
      <c r="T54" s="183"/>
      <c r="U54" s="2512"/>
      <c r="V54" s="638"/>
      <c r="W54" s="2512" t="str">
        <f>B54</f>
        <v>CONSTRUCTION CONTINGENCY (CC)</v>
      </c>
      <c r="X54" s="2512"/>
      <c r="Y54" s="2512"/>
      <c r="Z54" s="2512"/>
      <c r="AA54" s="2512"/>
      <c r="AB54" s="2512"/>
      <c r="AC54" s="2512"/>
      <c r="AD54" s="2512"/>
      <c r="AE54" s="2512"/>
      <c r="AF54" s="2512"/>
      <c r="AG54" s="2512"/>
      <c r="AH54" s="2512"/>
      <c r="AI54" s="2512"/>
      <c r="AJ54" s="2512"/>
      <c r="AK54" s="2512"/>
      <c r="AL54" s="2512"/>
      <c r="AM54" s="2512"/>
      <c r="AN54" s="2512"/>
      <c r="AO54" s="2512"/>
      <c r="AP54" s="2512"/>
      <c r="AQ54" s="2512"/>
      <c r="AR54" s="2512"/>
      <c r="AS54" s="2512"/>
      <c r="AT54" s="2512"/>
      <c r="AU54" s="2512"/>
      <c r="AV54" s="2512"/>
      <c r="AW54" s="2512"/>
      <c r="AX54" s="2512"/>
      <c r="AY54" s="2512"/>
      <c r="AZ54" s="1315"/>
      <c r="BA54" s="1279">
        <v>51</v>
      </c>
    </row>
    <row r="55" spans="1:53" ht="11.25" customHeight="1">
      <c r="B55" s="2512" t="s">
        <v>592</v>
      </c>
      <c r="D55" s="497" t="s">
        <v>593</v>
      </c>
      <c r="E55" s="132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718444.35000000009</v>
      </c>
      <c r="F55" s="1325">
        <f>G55/C49</f>
        <v>4.999997564181554E-2</v>
      </c>
      <c r="G55" s="3181">
        <v>718444</v>
      </c>
      <c r="H55" s="3182"/>
      <c r="I55" s="2512"/>
      <c r="J55" s="3181">
        <v>718444</v>
      </c>
      <c r="K55" s="3182"/>
      <c r="L55" s="2529"/>
      <c r="M55" s="3181"/>
      <c r="N55" s="3182"/>
      <c r="O55" s="2512"/>
      <c r="P55" s="3181"/>
      <c r="Q55" s="3182"/>
      <c r="R55" s="2512"/>
      <c r="S55" s="3181"/>
      <c r="T55" s="3182"/>
      <c r="V55" s="635"/>
      <c r="W55" s="3159"/>
      <c r="X55" s="3160"/>
      <c r="AZ55" s="1315"/>
      <c r="BA55" s="1279">
        <v>52</v>
      </c>
    </row>
    <row r="56" spans="1:53" s="95" customFormat="1" ht="6" customHeight="1">
      <c r="A56" s="269"/>
      <c r="B56" s="269"/>
      <c r="C56" s="269"/>
      <c r="D56" s="269"/>
      <c r="E56" s="269"/>
      <c r="F56" s="269"/>
      <c r="G56" s="269"/>
      <c r="H56" s="269"/>
      <c r="I56" s="269"/>
      <c r="J56" s="269"/>
      <c r="K56" s="269"/>
      <c r="L56" s="269"/>
      <c r="M56" s="269"/>
      <c r="N56" s="269"/>
      <c r="O56" s="269"/>
      <c r="P56" s="269"/>
      <c r="Q56" s="269"/>
      <c r="R56" s="269"/>
      <c r="S56" s="269"/>
      <c r="T56" s="269"/>
      <c r="U56" s="2512"/>
      <c r="V56" s="638"/>
      <c r="W56" s="3183"/>
      <c r="X56" s="3184"/>
      <c r="Y56" s="2512"/>
      <c r="Z56" s="2512"/>
      <c r="AA56" s="2512"/>
      <c r="AB56" s="2512"/>
      <c r="AC56" s="2512"/>
      <c r="AD56" s="2512"/>
      <c r="AE56" s="2512"/>
      <c r="AF56" s="2512"/>
      <c r="AG56" s="2512"/>
      <c r="AH56" s="2512"/>
      <c r="AI56" s="2512"/>
      <c r="AJ56" s="2512"/>
      <c r="AK56" s="2512"/>
      <c r="AL56" s="2512"/>
      <c r="AM56" s="2512"/>
      <c r="AN56" s="2512"/>
      <c r="AO56" s="2512"/>
      <c r="AP56" s="2512"/>
      <c r="AQ56" s="2512"/>
      <c r="AR56" s="2512"/>
      <c r="AS56" s="2512"/>
      <c r="AT56" s="2512"/>
      <c r="AU56" s="2512"/>
      <c r="AV56" s="2512"/>
      <c r="AW56" s="2512"/>
      <c r="AX56" s="2512"/>
      <c r="AY56" s="2512"/>
      <c r="AZ56" s="1315"/>
      <c r="BA56" s="1279">
        <v>53</v>
      </c>
    </row>
    <row r="57" spans="1:53" s="95" customFormat="1" ht="12.6" customHeight="1">
      <c r="A57" s="2512"/>
      <c r="B57" s="1248" t="s">
        <v>594</v>
      </c>
      <c r="C57" s="1243"/>
      <c r="D57" s="2512"/>
      <c r="E57" s="3200" t="s">
        <v>595</v>
      </c>
      <c r="F57" s="2531">
        <f>B58/'Part V-Revenues &amp; Expenses'!$P$65</f>
        <v>260126.39655172414</v>
      </c>
      <c r="G57" s="2532" t="s">
        <v>583</v>
      </c>
      <c r="H57" s="1244"/>
      <c r="I57" s="1244"/>
      <c r="J57" s="3191">
        <f>B58/'Part V-Revenues &amp; Expenses'!$P$67</f>
        <v>260126.39655172414</v>
      </c>
      <c r="K57" s="3191"/>
      <c r="L57" s="1244"/>
      <c r="M57" s="3192" t="s">
        <v>584</v>
      </c>
      <c r="N57" s="3192"/>
      <c r="O57" s="1244"/>
      <c r="P57" s="3191">
        <f>B58/'Part V-Revenues &amp; Expenses'!$K$179</f>
        <v>307.00250284877097</v>
      </c>
      <c r="Q57" s="3191"/>
      <c r="R57" s="1244"/>
      <c r="S57" s="3193" t="s">
        <v>585</v>
      </c>
      <c r="T57" s="3194"/>
      <c r="U57" s="2512"/>
      <c r="V57" s="638"/>
      <c r="W57" s="3185"/>
      <c r="X57" s="3186"/>
      <c r="Y57" s="2512"/>
      <c r="Z57" s="2512"/>
      <c r="AA57" s="2512"/>
      <c r="AB57" s="2512"/>
      <c r="AC57" s="2512"/>
      <c r="AD57" s="2512"/>
      <c r="AE57" s="2512"/>
      <c r="AF57" s="2512"/>
      <c r="AG57" s="2512"/>
      <c r="AH57" s="2512"/>
      <c r="AI57" s="2512"/>
      <c r="AJ57" s="2512"/>
      <c r="AK57" s="2512"/>
      <c r="AL57" s="2512"/>
      <c r="AM57" s="2512"/>
      <c r="AN57" s="2512"/>
      <c r="AO57" s="2512"/>
      <c r="AP57" s="2512"/>
      <c r="AQ57" s="2512"/>
      <c r="AR57" s="2512"/>
      <c r="AS57" s="2512"/>
      <c r="AT57" s="2512"/>
      <c r="AU57" s="2512"/>
      <c r="AV57" s="2512"/>
      <c r="AW57" s="2512"/>
      <c r="AX57" s="2512"/>
      <c r="AY57" s="2512"/>
      <c r="AZ57" s="1315"/>
      <c r="BA57" s="1279">
        <v>54</v>
      </c>
    </row>
    <row r="58" spans="1:53" s="95" customFormat="1" ht="12.6" customHeight="1">
      <c r="A58" s="2512"/>
      <c r="B58" s="3198">
        <f>C49+G55</f>
        <v>15087331</v>
      </c>
      <c r="C58" s="3199"/>
      <c r="D58" s="2512"/>
      <c r="E58" s="3201"/>
      <c r="F58" s="2530">
        <f>B58/'Part V-Revenues &amp; Expenses'!$P$170</f>
        <v>349.69708418320045</v>
      </c>
      <c r="G58" s="1245" t="s">
        <v>587</v>
      </c>
      <c r="H58" s="1246"/>
      <c r="I58" s="1246"/>
      <c r="J58" s="3195">
        <f>B58/'Part V-Revenues &amp; Expenses'!$P$172</f>
        <v>349.69708418320045</v>
      </c>
      <c r="K58" s="3195"/>
      <c r="L58" s="1246"/>
      <c r="M58" s="3196" t="s">
        <v>588</v>
      </c>
      <c r="N58" s="3196"/>
      <c r="O58" s="1246"/>
      <c r="P58" s="1246"/>
      <c r="Q58" s="1246"/>
      <c r="R58" s="1246"/>
      <c r="S58" s="1246"/>
      <c r="T58" s="1247"/>
      <c r="U58" s="2512"/>
      <c r="V58" s="638"/>
      <c r="W58" s="3185"/>
      <c r="X58" s="3186"/>
      <c r="Y58" s="2512"/>
      <c r="Z58" s="2512"/>
      <c r="AA58" s="2512"/>
      <c r="AB58" s="2512"/>
      <c r="AC58" s="2512"/>
      <c r="AD58" s="2512"/>
      <c r="AE58" s="2512"/>
      <c r="AF58" s="2512"/>
      <c r="AG58" s="2512"/>
      <c r="AH58" s="2512"/>
      <c r="AI58" s="2512"/>
      <c r="AJ58" s="2512"/>
      <c r="AK58" s="2512"/>
      <c r="AL58" s="2512"/>
      <c r="AM58" s="2512"/>
      <c r="AN58" s="2512"/>
      <c r="AO58" s="2512"/>
      <c r="AP58" s="2512"/>
      <c r="AQ58" s="2512"/>
      <c r="AR58" s="2512"/>
      <c r="AS58" s="2512"/>
      <c r="AT58" s="2512"/>
      <c r="AU58" s="2512"/>
      <c r="AV58" s="2512"/>
      <c r="AW58" s="2512"/>
      <c r="AX58" s="2512"/>
      <c r="AY58" s="2512"/>
      <c r="AZ58" s="1315"/>
      <c r="BA58" s="1279">
        <v>55</v>
      </c>
    </row>
    <row r="59" spans="1:53" s="95" customFormat="1" ht="6" customHeight="1">
      <c r="A59" s="269"/>
      <c r="B59" s="269"/>
      <c r="C59" s="269"/>
      <c r="D59" s="269"/>
      <c r="E59" s="269"/>
      <c r="F59" s="269"/>
      <c r="G59" s="269"/>
      <c r="H59" s="269"/>
      <c r="I59" s="269"/>
      <c r="J59" s="269"/>
      <c r="K59" s="269"/>
      <c r="L59" s="269"/>
      <c r="M59" s="269"/>
      <c r="N59" s="269"/>
      <c r="O59" s="269"/>
      <c r="P59" s="269"/>
      <c r="Q59" s="269"/>
      <c r="R59" s="269"/>
      <c r="S59" s="269"/>
      <c r="T59" s="269"/>
      <c r="U59" s="2512"/>
      <c r="V59" s="638"/>
      <c r="W59" s="3187"/>
      <c r="X59" s="3188"/>
      <c r="Y59" s="2512"/>
      <c r="Z59" s="2512"/>
      <c r="AA59" s="2512"/>
      <c r="AB59" s="2512"/>
      <c r="AC59" s="2512"/>
      <c r="AD59" s="2512"/>
      <c r="AE59" s="2512"/>
      <c r="AF59" s="2512"/>
      <c r="AG59" s="2512"/>
      <c r="AH59" s="2512"/>
      <c r="AI59" s="2512"/>
      <c r="AJ59" s="2512"/>
      <c r="AK59" s="2512"/>
      <c r="AL59" s="2512"/>
      <c r="AM59" s="2512"/>
      <c r="AN59" s="2512"/>
      <c r="AO59" s="2512"/>
      <c r="AP59" s="2512"/>
      <c r="AQ59" s="2512"/>
      <c r="AR59" s="2512"/>
      <c r="AS59" s="2512"/>
      <c r="AT59" s="2512"/>
      <c r="AU59" s="2512"/>
      <c r="AV59" s="2512"/>
      <c r="AW59" s="2512"/>
      <c r="AX59" s="2512"/>
      <c r="AY59" s="2512"/>
      <c r="AZ59" s="1315"/>
      <c r="BA59" s="1279">
        <v>53</v>
      </c>
    </row>
    <row r="60" spans="1:53" s="95" customFormat="1" ht="12" customHeight="1">
      <c r="A60" s="2512"/>
      <c r="B60" s="151" t="s">
        <v>596</v>
      </c>
      <c r="C60" s="2512"/>
      <c r="D60" s="2512"/>
      <c r="E60" s="2512"/>
      <c r="F60" s="2512"/>
      <c r="G60" s="2512"/>
      <c r="H60" s="2512"/>
      <c r="I60" s="2512"/>
      <c r="J60" s="186"/>
      <c r="K60" s="183"/>
      <c r="L60" s="2512"/>
      <c r="M60" s="186"/>
      <c r="N60" s="183"/>
      <c r="O60" s="185" t="str">
        <f>B60</f>
        <v>CONSTRUCTION PERIOD FINANCING</v>
      </c>
      <c r="P60" s="186"/>
      <c r="Q60" s="183"/>
      <c r="R60" s="2512"/>
      <c r="S60" s="186"/>
      <c r="T60" s="183"/>
      <c r="U60" s="2512"/>
      <c r="V60" s="638"/>
      <c r="W60" s="2512" t="str">
        <f>B60</f>
        <v>CONSTRUCTION PERIOD FINANCING</v>
      </c>
      <c r="X60" s="2512"/>
      <c r="Y60" s="2512"/>
      <c r="Z60" s="2512"/>
      <c r="AA60" s="2512"/>
      <c r="AB60" s="2512"/>
      <c r="AC60" s="2512"/>
      <c r="AD60" s="2512"/>
      <c r="AE60" s="2512"/>
      <c r="AF60" s="2512"/>
      <c r="AG60" s="2512"/>
      <c r="AH60" s="2512"/>
      <c r="AI60" s="2512"/>
      <c r="AJ60" s="2512"/>
      <c r="AK60" s="2512"/>
      <c r="AL60" s="2512"/>
      <c r="AM60" s="2512"/>
      <c r="AN60" s="2512"/>
      <c r="AO60" s="2512"/>
      <c r="AP60" s="2512"/>
      <c r="AQ60" s="2512"/>
      <c r="AR60" s="2512"/>
      <c r="AS60" s="2512"/>
      <c r="AT60" s="2512"/>
      <c r="AU60" s="2512"/>
      <c r="AV60" s="2512"/>
      <c r="AW60" s="2512"/>
      <c r="AX60" s="2512"/>
      <c r="AY60" s="2512"/>
      <c r="AZ60" s="1315"/>
      <c r="BA60" s="1279">
        <v>60</v>
      </c>
    </row>
    <row r="61" spans="1:53" s="95" customFormat="1" ht="12" customHeight="1">
      <c r="A61" s="2512"/>
      <c r="B61" s="2512" t="s">
        <v>597</v>
      </c>
      <c r="C61" s="2512"/>
      <c r="D61" s="2512"/>
      <c r="E61" s="2512"/>
      <c r="F61" s="2512"/>
      <c r="G61" s="3060"/>
      <c r="H61" s="3061"/>
      <c r="I61" s="2512"/>
      <c r="J61" s="3060"/>
      <c r="K61" s="3061"/>
      <c r="L61" s="2529"/>
      <c r="M61" s="3060"/>
      <c r="N61" s="3061"/>
      <c r="O61" s="2512"/>
      <c r="P61" s="3060"/>
      <c r="Q61" s="3061"/>
      <c r="R61" s="2512"/>
      <c r="S61" s="3060"/>
      <c r="T61" s="3061"/>
      <c r="U61" s="2512"/>
      <c r="V61" s="639"/>
      <c r="W61" s="3159"/>
      <c r="X61" s="3160"/>
      <c r="Y61" s="2512"/>
      <c r="Z61" s="2512"/>
      <c r="AA61" s="2512"/>
      <c r="AB61" s="2512"/>
      <c r="AC61" s="2512"/>
      <c r="AD61" s="2512"/>
      <c r="AE61" s="2512"/>
      <c r="AF61" s="2512"/>
      <c r="AG61" s="2512"/>
      <c r="AH61" s="2512"/>
      <c r="AI61" s="2512"/>
      <c r="AJ61" s="2512"/>
      <c r="AK61" s="2512"/>
      <c r="AL61" s="2512"/>
      <c r="AM61" s="2512"/>
      <c r="AN61" s="2512"/>
      <c r="AO61" s="2512"/>
      <c r="AP61" s="2512"/>
      <c r="AQ61" s="2512"/>
      <c r="AR61" s="2512"/>
      <c r="AS61" s="2512"/>
      <c r="AT61" s="2512"/>
      <c r="AU61" s="2512"/>
      <c r="AV61" s="2512"/>
      <c r="AW61" s="2512"/>
      <c r="AX61" s="2512"/>
      <c r="AY61" s="2512"/>
      <c r="AZ61" s="1315"/>
      <c r="BA61" s="1279">
        <v>61</v>
      </c>
    </row>
    <row r="62" spans="1:53" s="95" customFormat="1" ht="12" customHeight="1">
      <c r="A62" s="2512"/>
      <c r="B62" s="2512" t="s">
        <v>598</v>
      </c>
      <c r="C62" s="2512"/>
      <c r="D62" s="2512"/>
      <c r="E62" s="2512"/>
      <c r="F62" s="2512"/>
      <c r="G62" s="3035"/>
      <c r="H62" s="3036"/>
      <c r="I62" s="2512"/>
      <c r="J62" s="3035"/>
      <c r="K62" s="3036"/>
      <c r="L62" s="2529"/>
      <c r="M62" s="3035"/>
      <c r="N62" s="3036"/>
      <c r="O62" s="2512"/>
      <c r="P62" s="3035"/>
      <c r="Q62" s="3036"/>
      <c r="R62" s="2512"/>
      <c r="S62" s="3035"/>
      <c r="T62" s="3036"/>
      <c r="U62" s="2512"/>
      <c r="V62" s="639"/>
      <c r="W62" s="3159"/>
      <c r="X62" s="3160"/>
      <c r="Y62" s="2512"/>
      <c r="Z62" s="2512"/>
      <c r="AA62" s="2512"/>
      <c r="AB62" s="2512"/>
      <c r="AC62" s="2512"/>
      <c r="AD62" s="2512"/>
      <c r="AE62" s="2512"/>
      <c r="AF62" s="2512"/>
      <c r="AG62" s="2512"/>
      <c r="AH62" s="2512"/>
      <c r="AI62" s="2512"/>
      <c r="AJ62" s="2512"/>
      <c r="AK62" s="2512"/>
      <c r="AL62" s="2512"/>
      <c r="AM62" s="2512"/>
      <c r="AN62" s="2512"/>
      <c r="AO62" s="2512"/>
      <c r="AP62" s="2512"/>
      <c r="AQ62" s="2512"/>
      <c r="AR62" s="2512"/>
      <c r="AS62" s="2512"/>
      <c r="AT62" s="2512"/>
      <c r="AU62" s="2512"/>
      <c r="AV62" s="2512"/>
      <c r="AW62" s="2512"/>
      <c r="AX62" s="2512"/>
      <c r="AY62" s="2512"/>
      <c r="AZ62" s="1315"/>
      <c r="BA62" s="1279">
        <v>62</v>
      </c>
    </row>
    <row r="63" spans="1:53" s="95" customFormat="1" ht="12" customHeight="1">
      <c r="A63" s="2512"/>
      <c r="B63" s="2512" t="s">
        <v>599</v>
      </c>
      <c r="C63" s="2512"/>
      <c r="D63" s="2512"/>
      <c r="E63" s="2512"/>
      <c r="F63" s="2512"/>
      <c r="G63" s="3035">
        <v>131489</v>
      </c>
      <c r="H63" s="3036"/>
      <c r="I63" s="2512"/>
      <c r="J63" s="3035">
        <v>85468</v>
      </c>
      <c r="K63" s="3036"/>
      <c r="L63" s="2529"/>
      <c r="M63" s="3035"/>
      <c r="N63" s="3036"/>
      <c r="O63" s="2512"/>
      <c r="P63" s="3035"/>
      <c r="Q63" s="3036"/>
      <c r="R63" s="2512"/>
      <c r="S63" s="3035">
        <v>46021</v>
      </c>
      <c r="T63" s="3036"/>
      <c r="U63" s="2512"/>
      <c r="V63" s="639"/>
      <c r="W63" s="3159"/>
      <c r="X63" s="3160"/>
      <c r="Y63" s="2512"/>
      <c r="Z63" s="2512"/>
      <c r="AA63" s="2512"/>
      <c r="AB63" s="2512"/>
      <c r="AC63" s="2512"/>
      <c r="AD63" s="2512"/>
      <c r="AE63" s="2512"/>
      <c r="AF63" s="2512"/>
      <c r="AG63" s="2512"/>
      <c r="AH63" s="2512"/>
      <c r="AI63" s="2512"/>
      <c r="AJ63" s="2512"/>
      <c r="AK63" s="2512"/>
      <c r="AL63" s="2512"/>
      <c r="AM63" s="2512"/>
      <c r="AN63" s="2512"/>
      <c r="AO63" s="2512"/>
      <c r="AP63" s="2512"/>
      <c r="AQ63" s="2512"/>
      <c r="AR63" s="2512"/>
      <c r="AS63" s="2512"/>
      <c r="AT63" s="2512"/>
      <c r="AU63" s="2512"/>
      <c r="AV63" s="2512"/>
      <c r="AW63" s="2512"/>
      <c r="AX63" s="2512"/>
      <c r="AY63" s="2512"/>
      <c r="AZ63" s="1315"/>
      <c r="BA63" s="1279">
        <v>63</v>
      </c>
    </row>
    <row r="64" spans="1:53" s="95" customFormat="1" ht="12" customHeight="1">
      <c r="A64" s="2512"/>
      <c r="B64" s="2512" t="s">
        <v>600</v>
      </c>
      <c r="C64" s="2512"/>
      <c r="D64" s="2512"/>
      <c r="E64" s="2512"/>
      <c r="F64" s="2512"/>
      <c r="G64" s="3035">
        <v>942439</v>
      </c>
      <c r="H64" s="3036"/>
      <c r="I64" s="2512"/>
      <c r="J64" s="3035">
        <v>612586</v>
      </c>
      <c r="K64" s="3036"/>
      <c r="L64" s="2529"/>
      <c r="M64" s="3035"/>
      <c r="N64" s="3036"/>
      <c r="O64" s="2512"/>
      <c r="P64" s="3035"/>
      <c r="Q64" s="3036"/>
      <c r="R64" s="2512"/>
      <c r="S64" s="3035">
        <v>329854</v>
      </c>
      <c r="T64" s="3036"/>
      <c r="U64" s="2512"/>
      <c r="V64" s="639"/>
      <c r="W64" s="3159"/>
      <c r="X64" s="3160"/>
      <c r="Y64" s="2512"/>
      <c r="Z64" s="2512"/>
      <c r="AA64" s="2512"/>
      <c r="AB64" s="2512"/>
      <c r="AC64" s="2512"/>
      <c r="AD64" s="2512"/>
      <c r="AE64" s="2512"/>
      <c r="AF64" s="2512"/>
      <c r="AG64" s="2512"/>
      <c r="AH64" s="2512"/>
      <c r="AI64" s="2512"/>
      <c r="AJ64" s="2512"/>
      <c r="AK64" s="2512"/>
      <c r="AL64" s="2512"/>
      <c r="AM64" s="2512"/>
      <c r="AN64" s="2512"/>
      <c r="AO64" s="2512"/>
      <c r="AP64" s="2512"/>
      <c r="AQ64" s="2512"/>
      <c r="AR64" s="2512"/>
      <c r="AS64" s="2512"/>
      <c r="AT64" s="2512"/>
      <c r="AU64" s="2512"/>
      <c r="AV64" s="2512"/>
      <c r="AW64" s="2512"/>
      <c r="AX64" s="2512"/>
      <c r="AY64" s="2512"/>
      <c r="AZ64" s="1315"/>
      <c r="BA64" s="1279">
        <v>64</v>
      </c>
    </row>
    <row r="65" spans="1:53" s="95" customFormat="1" ht="12" customHeight="1">
      <c r="A65" s="2512"/>
      <c r="B65" s="2512" t="s">
        <v>601</v>
      </c>
      <c r="C65" s="2512"/>
      <c r="D65" s="2512"/>
      <c r="E65" s="2512"/>
      <c r="F65" s="2512"/>
      <c r="G65" s="3035">
        <v>50000</v>
      </c>
      <c r="H65" s="3036"/>
      <c r="I65" s="2512"/>
      <c r="J65" s="3035">
        <v>32500</v>
      </c>
      <c r="K65" s="3036"/>
      <c r="L65" s="2529"/>
      <c r="M65" s="3035"/>
      <c r="N65" s="3036"/>
      <c r="O65" s="2512"/>
      <c r="P65" s="3035"/>
      <c r="Q65" s="3036"/>
      <c r="R65" s="2512"/>
      <c r="S65" s="3035">
        <v>17500</v>
      </c>
      <c r="T65" s="3036"/>
      <c r="U65" s="2512"/>
      <c r="V65" s="639"/>
      <c r="W65" s="3159"/>
      <c r="X65" s="3160"/>
      <c r="Y65" s="2512"/>
      <c r="Z65" s="2512"/>
      <c r="AA65" s="2512"/>
      <c r="AB65" s="2512"/>
      <c r="AC65" s="2512"/>
      <c r="AD65" s="2512"/>
      <c r="AE65" s="2512"/>
      <c r="AF65" s="2512"/>
      <c r="AG65" s="2512"/>
      <c r="AH65" s="2512"/>
      <c r="AI65" s="2512"/>
      <c r="AJ65" s="2512"/>
      <c r="AK65" s="2512"/>
      <c r="AL65" s="2512"/>
      <c r="AM65" s="2512"/>
      <c r="AN65" s="2512"/>
      <c r="AO65" s="2512"/>
      <c r="AP65" s="2512"/>
      <c r="AQ65" s="2512"/>
      <c r="AR65" s="2512"/>
      <c r="AS65" s="2512"/>
      <c r="AT65" s="2512"/>
      <c r="AU65" s="2512"/>
      <c r="AV65" s="2512"/>
      <c r="AW65" s="2512"/>
      <c r="AX65" s="2512"/>
      <c r="AY65" s="2512"/>
      <c r="AZ65" s="1315" t="s">
        <v>602</v>
      </c>
      <c r="BA65" s="1279">
        <v>65</v>
      </c>
    </row>
    <row r="66" spans="1:53" s="95" customFormat="1" ht="12" customHeight="1">
      <c r="A66" s="2512"/>
      <c r="B66" s="2512" t="s">
        <v>603</v>
      </c>
      <c r="C66" s="2512"/>
      <c r="D66" s="2512"/>
      <c r="E66" s="2512"/>
      <c r="F66" s="2512"/>
      <c r="G66" s="3035">
        <v>33000</v>
      </c>
      <c r="H66" s="3036"/>
      <c r="I66" s="2512"/>
      <c r="J66" s="3035">
        <v>33000</v>
      </c>
      <c r="K66" s="3036"/>
      <c r="L66" s="2529"/>
      <c r="M66" s="3035"/>
      <c r="N66" s="3036"/>
      <c r="O66" s="2512"/>
      <c r="P66" s="3035"/>
      <c r="Q66" s="3036"/>
      <c r="R66" s="2512"/>
      <c r="S66" s="3035"/>
      <c r="T66" s="3036"/>
      <c r="U66" s="2512"/>
      <c r="V66" s="639"/>
      <c r="W66" s="3159"/>
      <c r="X66" s="3160"/>
      <c r="Y66" s="2512"/>
      <c r="Z66" s="2512"/>
      <c r="AA66" s="2512"/>
      <c r="AB66" s="2512"/>
      <c r="AC66" s="2512"/>
      <c r="AD66" s="2512"/>
      <c r="AE66" s="2512"/>
      <c r="AF66" s="2512"/>
      <c r="AG66" s="2512"/>
      <c r="AH66" s="2512"/>
      <c r="AI66" s="2512"/>
      <c r="AJ66" s="2512"/>
      <c r="AK66" s="2512"/>
      <c r="AL66" s="2512"/>
      <c r="AM66" s="2512"/>
      <c r="AN66" s="2512"/>
      <c r="AO66" s="2512"/>
      <c r="AP66" s="2512"/>
      <c r="AQ66" s="2512"/>
      <c r="AR66" s="2512"/>
      <c r="AS66" s="2512"/>
      <c r="AT66" s="2512"/>
      <c r="AU66" s="2512"/>
      <c r="AV66" s="2512"/>
      <c r="AW66" s="2512"/>
      <c r="AX66" s="2512"/>
      <c r="AY66" s="2512"/>
      <c r="AZ66" s="1315" t="s">
        <v>604</v>
      </c>
      <c r="BA66" s="1279">
        <v>66</v>
      </c>
    </row>
    <row r="67" spans="1:53" s="95" customFormat="1" ht="12" customHeight="1">
      <c r="A67" s="2512"/>
      <c r="B67" s="2512" t="s">
        <v>605</v>
      </c>
      <c r="C67" s="2512"/>
      <c r="D67" s="2512"/>
      <c r="E67" s="2512"/>
      <c r="F67" s="2512"/>
      <c r="G67" s="3035">
        <v>20000</v>
      </c>
      <c r="H67" s="3036"/>
      <c r="I67" s="2512"/>
      <c r="J67" s="3035">
        <v>20000</v>
      </c>
      <c r="K67" s="3036"/>
      <c r="L67" s="2529"/>
      <c r="M67" s="3035"/>
      <c r="N67" s="3036"/>
      <c r="O67" s="2512"/>
      <c r="P67" s="3035"/>
      <c r="Q67" s="3036"/>
      <c r="R67" s="2512"/>
      <c r="S67" s="3035"/>
      <c r="T67" s="3036"/>
      <c r="U67" s="2512"/>
      <c r="V67" s="639"/>
      <c r="W67" s="3159"/>
      <c r="X67" s="3160"/>
      <c r="Y67" s="2512"/>
      <c r="Z67" s="2512"/>
      <c r="AA67" s="2512"/>
      <c r="AB67" s="2512"/>
      <c r="AC67" s="2512"/>
      <c r="AD67" s="2512"/>
      <c r="AE67" s="2512"/>
      <c r="AF67" s="2512"/>
      <c r="AG67" s="2512"/>
      <c r="AH67" s="2512"/>
      <c r="AI67" s="2512"/>
      <c r="AJ67" s="2512"/>
      <c r="AK67" s="2512"/>
      <c r="AL67" s="2512"/>
      <c r="AM67" s="2512"/>
      <c r="AN67" s="2512"/>
      <c r="AO67" s="2512"/>
      <c r="AP67" s="2512"/>
      <c r="AQ67" s="2512"/>
      <c r="AR67" s="2512"/>
      <c r="AS67" s="2512"/>
      <c r="AT67" s="2512"/>
      <c r="AU67" s="2512"/>
      <c r="AV67" s="2512"/>
      <c r="AW67" s="2512"/>
      <c r="AX67" s="2512"/>
      <c r="AY67" s="2512"/>
      <c r="AZ67" s="1315" t="s">
        <v>606</v>
      </c>
      <c r="BA67" s="1279">
        <v>67</v>
      </c>
    </row>
    <row r="68" spans="1:53" s="95" customFormat="1" ht="12" customHeight="1">
      <c r="A68" s="2512"/>
      <c r="B68" s="2512" t="s">
        <v>607</v>
      </c>
      <c r="C68" s="2512"/>
      <c r="D68" s="2512"/>
      <c r="E68" s="2512"/>
      <c r="F68" s="2512"/>
      <c r="G68" s="3035">
        <v>125000</v>
      </c>
      <c r="H68" s="3036"/>
      <c r="I68" s="2512"/>
      <c r="J68" s="3035">
        <v>125000</v>
      </c>
      <c r="K68" s="3036"/>
      <c r="L68" s="2529"/>
      <c r="M68" s="3035"/>
      <c r="N68" s="3036"/>
      <c r="O68" s="2512"/>
      <c r="P68" s="3035"/>
      <c r="Q68" s="3036"/>
      <c r="R68" s="2512"/>
      <c r="S68" s="3035"/>
      <c r="T68" s="3036"/>
      <c r="U68" s="2512"/>
      <c r="V68" s="639"/>
      <c r="W68" s="3159"/>
      <c r="X68" s="3160"/>
      <c r="Y68" s="2512"/>
      <c r="Z68" s="2512"/>
      <c r="AA68" s="2512"/>
      <c r="AB68" s="2512"/>
      <c r="AC68" s="2512"/>
      <c r="AD68" s="2512"/>
      <c r="AE68" s="2512"/>
      <c r="AF68" s="2512"/>
      <c r="AG68" s="2512"/>
      <c r="AH68" s="2512"/>
      <c r="AI68" s="2512"/>
      <c r="AJ68" s="2512"/>
      <c r="AK68" s="2512"/>
      <c r="AL68" s="2512"/>
      <c r="AM68" s="2512"/>
      <c r="AN68" s="2512"/>
      <c r="AO68" s="2512"/>
      <c r="AP68" s="2512"/>
      <c r="AQ68" s="2512"/>
      <c r="AR68" s="2512"/>
      <c r="AS68" s="2512"/>
      <c r="AT68" s="2512"/>
      <c r="AU68" s="2512"/>
      <c r="AV68" s="2512"/>
      <c r="AW68" s="2512"/>
      <c r="AX68" s="2512"/>
      <c r="AY68" s="2512"/>
      <c r="AZ68" s="1315"/>
      <c r="BA68" s="1279">
        <v>68</v>
      </c>
    </row>
    <row r="69" spans="1:53" s="95" customFormat="1" ht="12" customHeight="1">
      <c r="A69" s="2512"/>
      <c r="B69" s="2512" t="s">
        <v>608</v>
      </c>
      <c r="C69" s="2512"/>
      <c r="D69" s="2512"/>
      <c r="E69" s="2512"/>
      <c r="F69" s="2512"/>
      <c r="G69" s="3035"/>
      <c r="H69" s="3036"/>
      <c r="I69" s="2512"/>
      <c r="J69" s="3035"/>
      <c r="K69" s="3036"/>
      <c r="L69" s="2529"/>
      <c r="M69" s="3035"/>
      <c r="N69" s="3036"/>
      <c r="O69" s="2512"/>
      <c r="P69" s="3035"/>
      <c r="Q69" s="3036"/>
      <c r="R69" s="2512"/>
      <c r="S69" s="3035"/>
      <c r="T69" s="3036"/>
      <c r="U69" s="2512"/>
      <c r="V69" s="639"/>
      <c r="W69" s="3159"/>
      <c r="X69" s="3160"/>
      <c r="Y69" s="2512"/>
      <c r="Z69" s="2512"/>
      <c r="AA69" s="2512"/>
      <c r="AB69" s="2512"/>
      <c r="AC69" s="2512"/>
      <c r="AD69" s="2512"/>
      <c r="AE69" s="2512"/>
      <c r="AF69" s="2512"/>
      <c r="AG69" s="2512"/>
      <c r="AH69" s="2512"/>
      <c r="AI69" s="2512"/>
      <c r="AJ69" s="2512"/>
      <c r="AK69" s="2512"/>
      <c r="AL69" s="2512"/>
      <c r="AM69" s="2512"/>
      <c r="AN69" s="2512"/>
      <c r="AO69" s="2512"/>
      <c r="AP69" s="2512"/>
      <c r="AQ69" s="2512"/>
      <c r="AR69" s="2512"/>
      <c r="AS69" s="2512"/>
      <c r="AT69" s="2512"/>
      <c r="AU69" s="2512"/>
      <c r="AV69" s="2512"/>
      <c r="AW69" s="2512"/>
      <c r="AX69" s="2512"/>
      <c r="AY69" s="2512"/>
      <c r="AZ69" s="1315"/>
      <c r="BA69" s="1279">
        <v>69</v>
      </c>
    </row>
    <row r="70" spans="1:53" s="95" customFormat="1" ht="12" customHeight="1">
      <c r="A70" s="2512"/>
      <c r="B70" s="190" t="s">
        <v>609</v>
      </c>
      <c r="C70" s="2512"/>
      <c r="D70" s="188"/>
      <c r="E70" s="188"/>
      <c r="F70" s="189"/>
      <c r="G70" s="3035">
        <v>93398</v>
      </c>
      <c r="H70" s="3036"/>
      <c r="I70" s="96"/>
      <c r="J70" s="3035">
        <v>93398</v>
      </c>
      <c r="K70" s="3036"/>
      <c r="L70" s="2529"/>
      <c r="M70" s="3035"/>
      <c r="N70" s="3036"/>
      <c r="O70" s="2512"/>
      <c r="P70" s="3035"/>
      <c r="Q70" s="3036"/>
      <c r="R70" s="2512"/>
      <c r="S70" s="3035"/>
      <c r="T70" s="3036"/>
      <c r="U70" s="2512"/>
      <c r="V70" s="639"/>
      <c r="W70" s="3159"/>
      <c r="X70" s="3160"/>
      <c r="Y70" s="2512"/>
      <c r="Z70" s="2512"/>
      <c r="AA70" s="2512"/>
      <c r="AB70" s="2512"/>
      <c r="AC70" s="2512"/>
      <c r="AD70" s="2512"/>
      <c r="AE70" s="2512"/>
      <c r="AF70" s="2512"/>
      <c r="AG70" s="2512"/>
      <c r="AH70" s="2512"/>
      <c r="AI70" s="2512"/>
      <c r="AJ70" s="2512"/>
      <c r="AK70" s="2512"/>
      <c r="AL70" s="2512"/>
      <c r="AM70" s="2512"/>
      <c r="AN70" s="2512"/>
      <c r="AO70" s="2512"/>
      <c r="AP70" s="2512"/>
      <c r="AQ70" s="2512"/>
      <c r="AR70" s="2512"/>
      <c r="AS70" s="2512"/>
      <c r="AT70" s="2512"/>
      <c r="AU70" s="2512"/>
      <c r="AV70" s="2512"/>
      <c r="AW70" s="2512"/>
      <c r="AX70" s="2512"/>
      <c r="AY70" s="2512"/>
      <c r="AZ70" s="1315"/>
      <c r="BA70" s="1279">
        <v>70</v>
      </c>
    </row>
    <row r="71" spans="1:53" s="95" customFormat="1" ht="12" customHeight="1">
      <c r="A71" s="205" t="str">
        <f>IF(AND(G71&gt;0,OR(C71="",C71="&lt;Enter detailed description here; use Comments section if needed&gt;")),"X","")</f>
        <v/>
      </c>
      <c r="B71" s="98" t="s">
        <v>610</v>
      </c>
      <c r="C71" s="3204" t="s">
        <v>611</v>
      </c>
      <c r="D71" s="3204"/>
      <c r="E71" s="3204"/>
      <c r="F71" s="3205"/>
      <c r="G71" s="3035">
        <v>25000</v>
      </c>
      <c r="H71" s="3036"/>
      <c r="I71" s="2512"/>
      <c r="J71" s="3035">
        <v>25000</v>
      </c>
      <c r="K71" s="3036"/>
      <c r="L71" s="2529"/>
      <c r="M71" s="3035"/>
      <c r="N71" s="3036"/>
      <c r="O71" s="2512"/>
      <c r="P71" s="3035"/>
      <c r="Q71" s="3036"/>
      <c r="R71" s="2512"/>
      <c r="S71" s="3035"/>
      <c r="T71" s="3036"/>
      <c r="U71" s="204" t="str">
        <f>IF(AND(G71&gt;0,OR(C71="",C71="&lt;Enter detailed description here; use Comments section if needed&gt;")),"NO DESCRIPTION PROVIDED - please enter detailed description in Other box at left; use Comments section below if needed.","")</f>
        <v/>
      </c>
      <c r="V71" s="639"/>
      <c r="W71" s="3159"/>
      <c r="X71" s="3160"/>
      <c r="Y71" s="2512"/>
      <c r="Z71" s="2512"/>
      <c r="AA71" s="2512"/>
      <c r="AB71" s="2512"/>
      <c r="AC71" s="2512"/>
      <c r="AD71" s="2512"/>
      <c r="AE71" s="2512"/>
      <c r="AF71" s="2512"/>
      <c r="AG71" s="2512"/>
      <c r="AH71" s="2512"/>
      <c r="AI71" s="2512"/>
      <c r="AJ71" s="2512"/>
      <c r="AK71" s="2512"/>
      <c r="AL71" s="2512"/>
      <c r="AM71" s="2512"/>
      <c r="AN71" s="2512"/>
      <c r="AO71" s="2512"/>
      <c r="AP71" s="2512"/>
      <c r="AQ71" s="2512"/>
      <c r="AR71" s="2512"/>
      <c r="AS71" s="2512"/>
      <c r="AT71" s="2512"/>
      <c r="AU71" s="2512"/>
      <c r="AV71" s="2512"/>
      <c r="AW71" s="2512"/>
      <c r="AX71" s="2512"/>
      <c r="AY71" s="2512"/>
      <c r="AZ71" s="1315"/>
      <c r="BA71" s="1279">
        <v>71</v>
      </c>
    </row>
    <row r="72" spans="1:53" s="95" customFormat="1" ht="12" customHeight="1" thickBot="1">
      <c r="A72" s="205" t="str">
        <f>IF(AND(G72&gt;0,OR(C72="",C72="&lt;Enter detailed description here; use Comments section if needed&gt;")),"X","")</f>
        <v/>
      </c>
      <c r="B72" s="98" t="s">
        <v>612</v>
      </c>
      <c r="C72" s="3202" t="s">
        <v>544</v>
      </c>
      <c r="D72" s="3202"/>
      <c r="E72" s="3202"/>
      <c r="F72" s="3203"/>
      <c r="G72" s="3049"/>
      <c r="H72" s="3050"/>
      <c r="I72" s="2512"/>
      <c r="J72" s="3049"/>
      <c r="K72" s="3050"/>
      <c r="L72" s="2529"/>
      <c r="M72" s="3049"/>
      <c r="N72" s="3050"/>
      <c r="O72" s="2512"/>
      <c r="P72" s="3049"/>
      <c r="Q72" s="3050"/>
      <c r="R72" s="2512"/>
      <c r="S72" s="3049"/>
      <c r="T72" s="3050"/>
      <c r="U72" s="204" t="str">
        <f>IF(AND(G72&gt;0,OR(C72="",C72="&lt;Enter detailed description here; use Comments section if needed&gt;")),"NO DESCRIPTION PROVIDED - please enter detailed description in Other box at left; use Comments section below if needed.","")</f>
        <v/>
      </c>
      <c r="V72" s="639"/>
      <c r="W72" s="3163"/>
      <c r="X72" s="3164"/>
      <c r="Y72" s="2512"/>
      <c r="Z72" s="2512"/>
      <c r="AA72" s="2512"/>
      <c r="AB72" s="2512"/>
      <c r="AC72" s="2512"/>
      <c r="AD72" s="2512"/>
      <c r="AE72" s="2512"/>
      <c r="AF72" s="2512"/>
      <c r="AG72" s="2512"/>
      <c r="AH72" s="2512"/>
      <c r="AI72" s="2512"/>
      <c r="AJ72" s="2512"/>
      <c r="AK72" s="2512"/>
      <c r="AL72" s="2512"/>
      <c r="AM72" s="2512"/>
      <c r="AN72" s="2512"/>
      <c r="AO72" s="2512"/>
      <c r="AP72" s="2512"/>
      <c r="AQ72" s="2512"/>
      <c r="AR72" s="2512"/>
      <c r="AS72" s="2512"/>
      <c r="AT72" s="2512"/>
      <c r="AU72" s="2512"/>
      <c r="AV72" s="2512"/>
      <c r="AW72" s="2512"/>
      <c r="AX72" s="2512"/>
      <c r="AY72" s="2512"/>
      <c r="AZ72" s="1315"/>
      <c r="BA72" s="1279">
        <v>72</v>
      </c>
    </row>
    <row r="73" spans="1:53" s="95" customFormat="1" ht="12" customHeight="1" thickTop="1">
      <c r="A73" s="2512"/>
      <c r="B73" s="2512"/>
      <c r="C73" s="2512"/>
      <c r="D73" s="2512"/>
      <c r="E73" s="2512"/>
      <c r="F73" s="184" t="s">
        <v>548</v>
      </c>
      <c r="G73" s="3165">
        <f>SUM(G61:G72)</f>
        <v>1420326</v>
      </c>
      <c r="H73" s="3166"/>
      <c r="I73" s="2512"/>
      <c r="J73" s="3165">
        <f>SUM(J61:J72)</f>
        <v>1026952</v>
      </c>
      <c r="K73" s="3166"/>
      <c r="L73" s="186"/>
      <c r="M73" s="3165">
        <f>SUM(M61:M72)</f>
        <v>0</v>
      </c>
      <c r="N73" s="3166"/>
      <c r="O73" s="2512"/>
      <c r="P73" s="3165">
        <f>SUM(P61:P72)</f>
        <v>0</v>
      </c>
      <c r="Q73" s="3166"/>
      <c r="R73" s="2512"/>
      <c r="S73" s="3165">
        <f>SUM(S61:S72)</f>
        <v>393375</v>
      </c>
      <c r="T73" s="3166"/>
      <c r="U73" s="2512"/>
      <c r="V73" s="2673">
        <f>SUM(V61:V72)</f>
        <v>0</v>
      </c>
      <c r="W73" s="3167"/>
      <c r="X73" s="3168"/>
      <c r="Y73" s="2512"/>
      <c r="Z73" s="2512"/>
      <c r="AA73" s="2512"/>
      <c r="AB73" s="2512"/>
      <c r="AC73" s="2512"/>
      <c r="AD73" s="2512"/>
      <c r="AE73" s="2512"/>
      <c r="AF73" s="2512"/>
      <c r="AG73" s="2512"/>
      <c r="AH73" s="2512"/>
      <c r="AI73" s="2512"/>
      <c r="AJ73" s="2512"/>
      <c r="AK73" s="2512"/>
      <c r="AL73" s="2512"/>
      <c r="AM73" s="2512"/>
      <c r="AN73" s="2512"/>
      <c r="AO73" s="2512"/>
      <c r="AP73" s="2512"/>
      <c r="AQ73" s="2512"/>
      <c r="AR73" s="2512"/>
      <c r="AS73" s="2512"/>
      <c r="AT73" s="2512"/>
      <c r="AU73" s="2512"/>
      <c r="AV73" s="2512"/>
      <c r="AW73" s="2512"/>
      <c r="AX73" s="2512"/>
      <c r="AY73" s="2512"/>
      <c r="AZ73" s="1315"/>
      <c r="BA73" s="1279">
        <v>73</v>
      </c>
    </row>
    <row r="74" spans="1:53" s="95" customFormat="1" ht="12" customHeight="1">
      <c r="A74" s="2512"/>
      <c r="B74" s="151" t="s">
        <v>613</v>
      </c>
      <c r="C74" s="2512"/>
      <c r="D74" s="2512"/>
      <c r="E74" s="2512"/>
      <c r="F74" s="2512"/>
      <c r="G74" s="183"/>
      <c r="H74" s="183"/>
      <c r="I74" s="2512"/>
      <c r="J74" s="183"/>
      <c r="K74" s="183"/>
      <c r="L74" s="2512"/>
      <c r="M74" s="183"/>
      <c r="N74" s="183"/>
      <c r="O74" s="185" t="str">
        <f>B74</f>
        <v>PROFESSIONAL SERVICES</v>
      </c>
      <c r="P74" s="183"/>
      <c r="Q74" s="183"/>
      <c r="R74" s="2512"/>
      <c r="S74" s="183"/>
      <c r="T74" s="183"/>
      <c r="U74" s="2512"/>
      <c r="V74" s="638"/>
      <c r="W74" s="2512" t="str">
        <f>B74</f>
        <v>PROFESSIONAL SERVICES</v>
      </c>
      <c r="X74" s="2512"/>
      <c r="Y74" s="2512"/>
      <c r="Z74" s="2512"/>
      <c r="AA74" s="2512"/>
      <c r="AB74" s="2512"/>
      <c r="AC74" s="2512"/>
      <c r="AD74" s="2512"/>
      <c r="AE74" s="2512"/>
      <c r="AF74" s="2512"/>
      <c r="AG74" s="2512"/>
      <c r="AH74" s="2512"/>
      <c r="AI74" s="2512"/>
      <c r="AJ74" s="2512"/>
      <c r="AK74" s="2512"/>
      <c r="AL74" s="2512"/>
      <c r="AM74" s="2512"/>
      <c r="AN74" s="2512"/>
      <c r="AO74" s="2512"/>
      <c r="AP74" s="2512"/>
      <c r="AQ74" s="2512"/>
      <c r="AR74" s="2512"/>
      <c r="AS74" s="2512"/>
      <c r="AT74" s="2512"/>
      <c r="AU74" s="2512"/>
      <c r="AV74" s="2512"/>
      <c r="AW74" s="2512"/>
      <c r="AX74" s="2512"/>
      <c r="AY74" s="2512"/>
      <c r="AZ74" s="1315"/>
      <c r="BA74" s="1279">
        <v>74</v>
      </c>
    </row>
    <row r="75" spans="1:53" s="95" customFormat="1" ht="12" customHeight="1">
      <c r="A75" s="2512"/>
      <c r="B75" s="2512" t="s">
        <v>614</v>
      </c>
      <c r="C75" s="2512"/>
      <c r="D75" s="2512"/>
      <c r="E75" s="2512"/>
      <c r="F75" s="2512"/>
      <c r="G75" s="3060">
        <v>350000</v>
      </c>
      <c r="H75" s="3061"/>
      <c r="I75" s="2512"/>
      <c r="J75" s="3060">
        <v>350000</v>
      </c>
      <c r="K75" s="3061"/>
      <c r="L75" s="2529"/>
      <c r="M75" s="3060"/>
      <c r="N75" s="3061"/>
      <c r="O75" s="2512"/>
      <c r="P75" s="3060"/>
      <c r="Q75" s="3061"/>
      <c r="R75" s="2512"/>
      <c r="S75" s="3060"/>
      <c r="T75" s="3061"/>
      <c r="U75" s="2512"/>
      <c r="V75" s="635"/>
      <c r="W75" s="3159"/>
      <c r="X75" s="3160"/>
      <c r="Y75" s="2512"/>
      <c r="Z75" s="2512"/>
      <c r="AA75" s="2512"/>
      <c r="AB75" s="2512"/>
      <c r="AC75" s="2512"/>
      <c r="AD75" s="2512"/>
      <c r="AE75" s="2512"/>
      <c r="AF75" s="2512"/>
      <c r="AG75" s="2512"/>
      <c r="AH75" s="2512"/>
      <c r="AI75" s="2512"/>
      <c r="AJ75" s="2512"/>
      <c r="AK75" s="2512"/>
      <c r="AL75" s="2512"/>
      <c r="AM75" s="2512"/>
      <c r="AN75" s="2512"/>
      <c r="AO75" s="2512"/>
      <c r="AP75" s="2512"/>
      <c r="AQ75" s="2512"/>
      <c r="AR75" s="2512"/>
      <c r="AS75" s="2512"/>
      <c r="AT75" s="2512"/>
      <c r="AU75" s="2512"/>
      <c r="AV75" s="2512"/>
      <c r="AW75" s="2512"/>
      <c r="AX75" s="2512"/>
      <c r="AY75" s="2512"/>
      <c r="AZ75" s="1315"/>
      <c r="BA75" s="1279">
        <v>75</v>
      </c>
    </row>
    <row r="76" spans="1:53" s="95" customFormat="1" ht="12" customHeight="1">
      <c r="A76" s="2512"/>
      <c r="B76" s="2512" t="s">
        <v>615</v>
      </c>
      <c r="C76" s="2512"/>
      <c r="D76" s="2512"/>
      <c r="E76" s="2512"/>
      <c r="F76" s="2512"/>
      <c r="G76" s="3035">
        <v>50000</v>
      </c>
      <c r="H76" s="3036"/>
      <c r="I76" s="2512"/>
      <c r="J76" s="3035">
        <v>50000</v>
      </c>
      <c r="K76" s="3036"/>
      <c r="L76" s="2529"/>
      <c r="M76" s="3035"/>
      <c r="N76" s="3036"/>
      <c r="O76" s="2512"/>
      <c r="P76" s="3035"/>
      <c r="Q76" s="3036"/>
      <c r="R76" s="2512"/>
      <c r="S76" s="3035"/>
      <c r="T76" s="3036"/>
      <c r="U76" s="2512"/>
      <c r="V76" s="635"/>
      <c r="W76" s="3159"/>
      <c r="X76" s="3160"/>
      <c r="Y76" s="2512"/>
      <c r="Z76" s="2512"/>
      <c r="AA76" s="2512"/>
      <c r="AB76" s="2512"/>
      <c r="AC76" s="2512"/>
      <c r="AD76" s="2512"/>
      <c r="AE76" s="2512"/>
      <c r="AF76" s="2512"/>
      <c r="AG76" s="2512"/>
      <c r="AH76" s="2512"/>
      <c r="AI76" s="2512"/>
      <c r="AJ76" s="2512"/>
      <c r="AK76" s="2512"/>
      <c r="AL76" s="2512"/>
      <c r="AM76" s="2512"/>
      <c r="AN76" s="2512"/>
      <c r="AO76" s="2512"/>
      <c r="AP76" s="2512"/>
      <c r="AQ76" s="2512"/>
      <c r="AR76" s="2512"/>
      <c r="AS76" s="2512"/>
      <c r="AT76" s="2512"/>
      <c r="AU76" s="2512"/>
      <c r="AV76" s="2512"/>
      <c r="AW76" s="2512"/>
      <c r="AX76" s="2512"/>
      <c r="AY76" s="2512"/>
      <c r="AZ76" s="1315"/>
      <c r="BA76" s="1279">
        <v>76</v>
      </c>
    </row>
    <row r="77" spans="1:53" s="95" customFormat="1" ht="12" customHeight="1">
      <c r="A77" s="2512"/>
      <c r="B77" s="2512" t="s">
        <v>616</v>
      </c>
      <c r="C77" s="2512"/>
      <c r="D77" s="154"/>
      <c r="E77" s="630"/>
      <c r="F77" s="285"/>
      <c r="G77" s="3035">
        <v>35000</v>
      </c>
      <c r="H77" s="3036"/>
      <c r="I77" s="2512"/>
      <c r="J77" s="3035">
        <v>35000</v>
      </c>
      <c r="K77" s="3036"/>
      <c r="L77" s="2529"/>
      <c r="M77" s="3035"/>
      <c r="N77" s="3036"/>
      <c r="O77" s="2512"/>
      <c r="P77" s="3035"/>
      <c r="Q77" s="3036"/>
      <c r="R77" s="2512"/>
      <c r="S77" s="3035"/>
      <c r="T77" s="3036"/>
      <c r="U77" s="2512"/>
      <c r="V77" s="635"/>
      <c r="W77" s="3159"/>
      <c r="X77" s="3160"/>
      <c r="Y77" s="2512"/>
      <c r="Z77" s="2512"/>
      <c r="AA77" s="2512"/>
      <c r="AB77" s="2512"/>
      <c r="AC77" s="2512"/>
      <c r="AD77" s="2512"/>
      <c r="AE77" s="2512"/>
      <c r="AF77" s="2512"/>
      <c r="AG77" s="2512"/>
      <c r="AH77" s="2512"/>
      <c r="AI77" s="2512"/>
      <c r="AJ77" s="2512"/>
      <c r="AK77" s="2512"/>
      <c r="AL77" s="2512"/>
      <c r="AM77" s="2512"/>
      <c r="AN77" s="2512"/>
      <c r="AO77" s="2512"/>
      <c r="AP77" s="2512"/>
      <c r="AQ77" s="2512"/>
      <c r="AR77" s="2512"/>
      <c r="AS77" s="2512"/>
      <c r="AT77" s="2512"/>
      <c r="AU77" s="2512"/>
      <c r="AV77" s="2512"/>
      <c r="AW77" s="2512"/>
      <c r="AX77" s="2512"/>
      <c r="AY77" s="2512"/>
      <c r="AZ77" s="1315"/>
      <c r="BA77" s="1279">
        <v>77</v>
      </c>
    </row>
    <row r="78" spans="1:53" s="95" customFormat="1" ht="12" customHeight="1">
      <c r="A78" s="2512"/>
      <c r="B78" s="2512" t="s">
        <v>617</v>
      </c>
      <c r="C78" s="2512"/>
      <c r="D78" s="2512"/>
      <c r="E78" s="2512"/>
      <c r="F78" s="2512"/>
      <c r="G78" s="3035"/>
      <c r="H78" s="3036"/>
      <c r="I78" s="2512"/>
      <c r="J78" s="3035"/>
      <c r="K78" s="3036"/>
      <c r="L78" s="2529"/>
      <c r="M78" s="3035"/>
      <c r="N78" s="3036"/>
      <c r="O78" s="2512"/>
      <c r="P78" s="3035"/>
      <c r="Q78" s="3036"/>
      <c r="R78" s="2512"/>
      <c r="S78" s="3035"/>
      <c r="T78" s="3036"/>
      <c r="U78" s="2512"/>
      <c r="V78" s="635"/>
      <c r="W78" s="3159"/>
      <c r="X78" s="3160"/>
      <c r="Y78" s="2512"/>
      <c r="Z78" s="2512"/>
      <c r="AA78" s="2512"/>
      <c r="AB78" s="2512"/>
      <c r="AC78" s="2512"/>
      <c r="AD78" s="2512"/>
      <c r="AE78" s="2512"/>
      <c r="AF78" s="2512"/>
      <c r="AG78" s="2512"/>
      <c r="AH78" s="2512"/>
      <c r="AI78" s="2512"/>
      <c r="AJ78" s="2512"/>
      <c r="AK78" s="2512"/>
      <c r="AL78" s="2512"/>
      <c r="AM78" s="2512"/>
      <c r="AN78" s="2512"/>
      <c r="AO78" s="2512"/>
      <c r="AP78" s="2512"/>
      <c r="AQ78" s="2512"/>
      <c r="AR78" s="2512"/>
      <c r="AS78" s="2512"/>
      <c r="AT78" s="2512"/>
      <c r="AU78" s="2512"/>
      <c r="AV78" s="2512"/>
      <c r="AW78" s="2512"/>
      <c r="AX78" s="2512"/>
      <c r="AY78" s="2512"/>
      <c r="AZ78" s="1315"/>
      <c r="BA78" s="1279">
        <v>78</v>
      </c>
    </row>
    <row r="79" spans="1:53" s="95" customFormat="1" ht="12" customHeight="1">
      <c r="A79" s="2512"/>
      <c r="B79" s="2512" t="s">
        <v>618</v>
      </c>
      <c r="C79" s="2512"/>
      <c r="D79" s="2512"/>
      <c r="E79" s="2512"/>
      <c r="F79" s="2512"/>
      <c r="G79" s="3035">
        <v>18600</v>
      </c>
      <c r="H79" s="3036"/>
      <c r="I79" s="2512"/>
      <c r="J79" s="3035">
        <v>18600</v>
      </c>
      <c r="K79" s="3036"/>
      <c r="L79" s="2529"/>
      <c r="M79" s="3035"/>
      <c r="N79" s="3036"/>
      <c r="O79" s="2512"/>
      <c r="P79" s="3035"/>
      <c r="Q79" s="3036"/>
      <c r="R79" s="2512"/>
      <c r="S79" s="3035"/>
      <c r="T79" s="3036"/>
      <c r="U79" s="2512"/>
      <c r="V79" s="635"/>
      <c r="W79" s="3159"/>
      <c r="X79" s="3160"/>
      <c r="Y79" s="2512"/>
      <c r="Z79" s="2512"/>
      <c r="AA79" s="2512"/>
      <c r="AB79" s="2512"/>
      <c r="AC79" s="2512"/>
      <c r="AD79" s="2512"/>
      <c r="AE79" s="2512"/>
      <c r="AF79" s="2512"/>
      <c r="AG79" s="2512"/>
      <c r="AH79" s="2512"/>
      <c r="AI79" s="2512"/>
      <c r="AJ79" s="2512"/>
      <c r="AK79" s="2512"/>
      <c r="AL79" s="2512"/>
      <c r="AM79" s="2512"/>
      <c r="AN79" s="2512"/>
      <c r="AO79" s="2512"/>
      <c r="AP79" s="2512"/>
      <c r="AQ79" s="2512"/>
      <c r="AR79" s="2512"/>
      <c r="AS79" s="2512"/>
      <c r="AT79" s="2512"/>
      <c r="AU79" s="2512"/>
      <c r="AV79" s="2512"/>
      <c r="AW79" s="2512"/>
      <c r="AX79" s="2512"/>
      <c r="AY79" s="2512"/>
      <c r="AZ79" s="1315" t="s">
        <v>619</v>
      </c>
      <c r="BA79" s="1279">
        <v>79</v>
      </c>
    </row>
    <row r="80" spans="1:53" s="95" customFormat="1" ht="12" customHeight="1">
      <c r="A80" s="2512"/>
      <c r="B80" s="2512" t="s">
        <v>620</v>
      </c>
      <c r="C80" s="2512"/>
      <c r="D80" s="2512"/>
      <c r="E80" s="2512"/>
      <c r="F80" s="2512"/>
      <c r="G80" s="3035">
        <v>75000</v>
      </c>
      <c r="H80" s="3036"/>
      <c r="I80" s="2512"/>
      <c r="J80" s="3035">
        <v>75000</v>
      </c>
      <c r="K80" s="3036"/>
      <c r="L80" s="2529"/>
      <c r="M80" s="3035"/>
      <c r="N80" s="3036"/>
      <c r="O80" s="2512"/>
      <c r="P80" s="3035"/>
      <c r="Q80" s="3036"/>
      <c r="R80" s="2512"/>
      <c r="S80" s="3035"/>
      <c r="T80" s="3036"/>
      <c r="U80" s="2512"/>
      <c r="V80" s="635"/>
      <c r="W80" s="3159"/>
      <c r="X80" s="3160"/>
      <c r="Y80" s="2512"/>
      <c r="Z80" s="2512"/>
      <c r="AA80" s="2512"/>
      <c r="AB80" s="2512"/>
      <c r="AC80" s="2512"/>
      <c r="AD80" s="2512"/>
      <c r="AE80" s="2512"/>
      <c r="AF80" s="2512"/>
      <c r="AG80" s="2512"/>
      <c r="AH80" s="2512"/>
      <c r="AI80" s="2512"/>
      <c r="AJ80" s="2512"/>
      <c r="AK80" s="2512"/>
      <c r="AL80" s="2512"/>
      <c r="AM80" s="2512"/>
      <c r="AN80" s="2512"/>
      <c r="AO80" s="2512"/>
      <c r="AP80" s="2512"/>
      <c r="AQ80" s="2512"/>
      <c r="AR80" s="2512"/>
      <c r="AS80" s="2512"/>
      <c r="AT80" s="2512"/>
      <c r="AU80" s="2512"/>
      <c r="AV80" s="2512"/>
      <c r="AW80" s="2512"/>
      <c r="AX80" s="2512"/>
      <c r="AY80" s="2512"/>
      <c r="AZ80" s="1315" t="s">
        <v>621</v>
      </c>
      <c r="BA80" s="1279">
        <v>80</v>
      </c>
    </row>
    <row r="81" spans="1:53" s="95" customFormat="1" ht="12" customHeight="1">
      <c r="A81" s="2512"/>
      <c r="B81" s="2512" t="s">
        <v>622</v>
      </c>
      <c r="C81" s="2512"/>
      <c r="D81" s="2512"/>
      <c r="E81" s="2512"/>
      <c r="F81" s="2512"/>
      <c r="G81" s="3035">
        <v>150000</v>
      </c>
      <c r="H81" s="3036"/>
      <c r="I81" s="2512"/>
      <c r="J81" s="3035">
        <v>150000</v>
      </c>
      <c r="K81" s="3036"/>
      <c r="L81" s="2529"/>
      <c r="M81" s="3035"/>
      <c r="N81" s="3036"/>
      <c r="O81" s="2512"/>
      <c r="P81" s="3035"/>
      <c r="Q81" s="3036"/>
      <c r="R81" s="2512"/>
      <c r="S81" s="3035"/>
      <c r="T81" s="3036"/>
      <c r="U81" s="2512"/>
      <c r="V81" s="635"/>
      <c r="W81" s="3159"/>
      <c r="X81" s="3160"/>
      <c r="Y81" s="2512"/>
      <c r="Z81" s="2512"/>
      <c r="AA81" s="2512"/>
      <c r="AB81" s="2512"/>
      <c r="AC81" s="2512"/>
      <c r="AD81" s="2512"/>
      <c r="AE81" s="2512"/>
      <c r="AF81" s="2512"/>
      <c r="AG81" s="2512"/>
      <c r="AH81" s="2512"/>
      <c r="AI81" s="2512"/>
      <c r="AJ81" s="2512"/>
      <c r="AK81" s="2512"/>
      <c r="AL81" s="2512"/>
      <c r="AM81" s="2512"/>
      <c r="AN81" s="2512"/>
      <c r="AO81" s="2512"/>
      <c r="AP81" s="2512"/>
      <c r="AQ81" s="2512"/>
      <c r="AR81" s="2512"/>
      <c r="AS81" s="2512"/>
      <c r="AT81" s="2512"/>
      <c r="AU81" s="2512"/>
      <c r="AV81" s="2512"/>
      <c r="AW81" s="2512"/>
      <c r="AX81" s="2512"/>
      <c r="AY81" s="2512"/>
      <c r="AZ81" s="1312"/>
      <c r="BA81" s="1279">
        <v>81</v>
      </c>
    </row>
    <row r="82" spans="1:53" s="95" customFormat="1" ht="12" customHeight="1">
      <c r="A82" s="2512"/>
      <c r="B82" s="2512" t="s">
        <v>623</v>
      </c>
      <c r="C82" s="2512"/>
      <c r="D82" s="2512"/>
      <c r="E82" s="2512"/>
      <c r="F82" s="2512"/>
      <c r="G82" s="3035">
        <v>150000</v>
      </c>
      <c r="H82" s="3036"/>
      <c r="I82" s="2512"/>
      <c r="J82" s="3035">
        <v>100000</v>
      </c>
      <c r="K82" s="3036"/>
      <c r="L82" s="2529"/>
      <c r="M82" s="3035"/>
      <c r="N82" s="3036"/>
      <c r="O82" s="2512"/>
      <c r="P82" s="3035"/>
      <c r="Q82" s="3036"/>
      <c r="R82" s="2512"/>
      <c r="S82" s="3035">
        <v>50000</v>
      </c>
      <c r="T82" s="3036"/>
      <c r="U82" s="2512"/>
      <c r="V82" s="635"/>
      <c r="W82" s="3159"/>
      <c r="X82" s="3160"/>
      <c r="Y82" s="2512"/>
      <c r="Z82" s="2512"/>
      <c r="AA82" s="2512"/>
      <c r="AB82" s="2512"/>
      <c r="AC82" s="2512"/>
      <c r="AD82" s="2512"/>
      <c r="AE82" s="2512"/>
      <c r="AF82" s="2512"/>
      <c r="AG82" s="2512"/>
      <c r="AH82" s="2512"/>
      <c r="AI82" s="2512"/>
      <c r="AJ82" s="2512"/>
      <c r="AK82" s="2512"/>
      <c r="AL82" s="2512"/>
      <c r="AM82" s="2512"/>
      <c r="AN82" s="2512"/>
      <c r="AO82" s="2512"/>
      <c r="AP82" s="2512"/>
      <c r="AQ82" s="2512"/>
      <c r="AR82" s="2512"/>
      <c r="AS82" s="2512"/>
      <c r="AT82" s="2512"/>
      <c r="AU82" s="2512"/>
      <c r="AV82" s="2512"/>
      <c r="AW82" s="2512"/>
      <c r="AX82" s="2512"/>
      <c r="AY82" s="2512"/>
      <c r="AZ82" s="1315"/>
      <c r="BA82" s="1279">
        <v>82</v>
      </c>
    </row>
    <row r="83" spans="1:53" s="95" customFormat="1" ht="12" customHeight="1">
      <c r="A83" s="2512"/>
      <c r="B83" s="2512" t="s">
        <v>624</v>
      </c>
      <c r="C83" s="2512"/>
      <c r="D83" s="2512"/>
      <c r="E83" s="2512"/>
      <c r="F83" s="2512"/>
      <c r="G83" s="3035">
        <v>40000</v>
      </c>
      <c r="H83" s="3036"/>
      <c r="I83" s="2512"/>
      <c r="J83" s="3035">
        <v>40000</v>
      </c>
      <c r="K83" s="3036"/>
      <c r="L83" s="2529"/>
      <c r="M83" s="3035"/>
      <c r="N83" s="3036"/>
      <c r="O83" s="2512"/>
      <c r="P83" s="3035"/>
      <c r="Q83" s="3036"/>
      <c r="R83" s="2512"/>
      <c r="S83" s="3035"/>
      <c r="T83" s="3036"/>
      <c r="U83" s="2512"/>
      <c r="V83" s="635"/>
      <c r="W83" s="3159"/>
      <c r="X83" s="3160"/>
      <c r="Y83" s="2512"/>
      <c r="Z83" s="2512"/>
      <c r="AA83" s="2512"/>
      <c r="AB83" s="2512"/>
      <c r="AC83" s="2512"/>
      <c r="AD83" s="2512"/>
      <c r="AE83" s="2512"/>
      <c r="AF83" s="2512"/>
      <c r="AG83" s="2512"/>
      <c r="AH83" s="2512"/>
      <c r="AI83" s="2512"/>
      <c r="AJ83" s="2512"/>
      <c r="AK83" s="2512"/>
      <c r="AL83" s="2512"/>
      <c r="AM83" s="2512"/>
      <c r="AN83" s="2512"/>
      <c r="AO83" s="2512"/>
      <c r="AP83" s="2512"/>
      <c r="AQ83" s="2512"/>
      <c r="AR83" s="2512"/>
      <c r="AS83" s="2512"/>
      <c r="AT83" s="2512"/>
      <c r="AU83" s="2512"/>
      <c r="AV83" s="2512"/>
      <c r="AW83" s="2512"/>
      <c r="AX83" s="2512"/>
      <c r="AY83" s="2512"/>
      <c r="AZ83" s="1315"/>
      <c r="BA83" s="1279">
        <v>83</v>
      </c>
    </row>
    <row r="84" spans="1:53" s="95" customFormat="1" ht="12" customHeight="1">
      <c r="A84" s="2512"/>
      <c r="B84" s="2512" t="s">
        <v>625</v>
      </c>
      <c r="C84" s="2512"/>
      <c r="D84" s="2512"/>
      <c r="E84" s="2512"/>
      <c r="F84" s="2512"/>
      <c r="G84" s="3035">
        <v>10000</v>
      </c>
      <c r="H84" s="3036"/>
      <c r="I84" s="2512"/>
      <c r="J84" s="3035">
        <v>10000</v>
      </c>
      <c r="K84" s="3036"/>
      <c r="L84" s="2529"/>
      <c r="M84" s="3035"/>
      <c r="N84" s="3036"/>
      <c r="O84" s="2512"/>
      <c r="P84" s="3035"/>
      <c r="Q84" s="3036"/>
      <c r="R84" s="2512"/>
      <c r="S84" s="3035"/>
      <c r="T84" s="3036"/>
      <c r="U84" s="2512"/>
      <c r="V84" s="635"/>
      <c r="W84" s="3159"/>
      <c r="X84" s="3160"/>
      <c r="Y84" s="2512"/>
      <c r="Z84" s="2512"/>
      <c r="AA84" s="2512"/>
      <c r="AB84" s="2512"/>
      <c r="AC84" s="2512"/>
      <c r="AD84" s="2512"/>
      <c r="AE84" s="2512"/>
      <c r="AF84" s="2512"/>
      <c r="AG84" s="2512"/>
      <c r="AH84" s="2512"/>
      <c r="AI84" s="2512"/>
      <c r="AJ84" s="2512"/>
      <c r="AK84" s="2512"/>
      <c r="AL84" s="2512"/>
      <c r="AM84" s="2512"/>
      <c r="AN84" s="2512"/>
      <c r="AO84" s="2512"/>
      <c r="AP84" s="2512"/>
      <c r="AQ84" s="2512"/>
      <c r="AR84" s="2512"/>
      <c r="AS84" s="2512"/>
      <c r="AT84" s="2512"/>
      <c r="AU84" s="2512"/>
      <c r="AV84" s="2512"/>
      <c r="AW84" s="2512"/>
      <c r="AX84" s="2512"/>
      <c r="AY84" s="2512"/>
      <c r="AZ84" s="1315"/>
      <c r="BA84" s="1279">
        <v>84</v>
      </c>
    </row>
    <row r="85" spans="1:53" s="95" customFormat="1" ht="12" customHeight="1" thickBot="1">
      <c r="A85" s="205" t="str">
        <f>IF(AND(G85&gt;0,OR(C85="",C85="&lt;Enter detailed description here; use Comments section if needed&gt;")),"X","")</f>
        <v/>
      </c>
      <c r="B85" s="98" t="s">
        <v>626</v>
      </c>
      <c r="C85" s="3161" t="s">
        <v>627</v>
      </c>
      <c r="D85" s="3161"/>
      <c r="E85" s="3161"/>
      <c r="F85" s="3162"/>
      <c r="G85" s="3049">
        <v>6500</v>
      </c>
      <c r="H85" s="3050"/>
      <c r="I85" s="2512"/>
      <c r="J85" s="3049">
        <v>6500</v>
      </c>
      <c r="K85" s="3050"/>
      <c r="L85" s="2529"/>
      <c r="M85" s="3049"/>
      <c r="N85" s="3050"/>
      <c r="O85" s="2512"/>
      <c r="P85" s="3049"/>
      <c r="Q85" s="3050"/>
      <c r="R85" s="2512"/>
      <c r="S85" s="3049"/>
      <c r="T85" s="3050"/>
      <c r="U85" s="204" t="str">
        <f>IF(AND(G85&gt;0,OR(C85="",C85="&lt;Enter detailed description here; use Comments section if needed&gt;")),"NO DESCRIPTION PROVIDED - please enter detailed description in Other box at left; use Comments section below if needed.","")</f>
        <v/>
      </c>
      <c r="V85" s="635"/>
      <c r="W85" s="3163"/>
      <c r="X85" s="3164"/>
      <c r="Y85" s="2512"/>
      <c r="Z85" s="2512"/>
      <c r="AA85" s="2512"/>
      <c r="AB85" s="2512"/>
      <c r="AC85" s="2512"/>
      <c r="AD85" s="2512"/>
      <c r="AE85" s="2512"/>
      <c r="AF85" s="2512"/>
      <c r="AG85" s="2512"/>
      <c r="AH85" s="2512"/>
      <c r="AI85" s="2512"/>
      <c r="AJ85" s="2512"/>
      <c r="AK85" s="2512"/>
      <c r="AL85" s="2512"/>
      <c r="AM85" s="2512"/>
      <c r="AN85" s="2512"/>
      <c r="AO85" s="2512"/>
      <c r="AP85" s="2512"/>
      <c r="AQ85" s="2512"/>
      <c r="AR85" s="2512"/>
      <c r="AS85" s="2512"/>
      <c r="AT85" s="2512"/>
      <c r="AU85" s="2512"/>
      <c r="AV85" s="2512"/>
      <c r="AW85" s="2512"/>
      <c r="AX85" s="2512"/>
      <c r="AY85" s="2512"/>
      <c r="AZ85" s="1315"/>
      <c r="BA85" s="1279">
        <v>85</v>
      </c>
    </row>
    <row r="86" spans="1:53" s="95" customFormat="1" ht="12" customHeight="1" thickTop="1">
      <c r="A86" s="2512"/>
      <c r="B86" s="2512"/>
      <c r="C86" s="2512"/>
      <c r="D86" s="2512"/>
      <c r="E86" s="2512"/>
      <c r="F86" s="184" t="s">
        <v>548</v>
      </c>
      <c r="G86" s="3165">
        <f>SUM(G75:G85)</f>
        <v>885100</v>
      </c>
      <c r="H86" s="3166"/>
      <c r="I86" s="2512"/>
      <c r="J86" s="3165">
        <f>SUM(J75:J85)</f>
        <v>835100</v>
      </c>
      <c r="K86" s="3166"/>
      <c r="L86" s="186"/>
      <c r="M86" s="3165">
        <f>SUM(M75:M85)</f>
        <v>0</v>
      </c>
      <c r="N86" s="3166"/>
      <c r="O86" s="2512"/>
      <c r="P86" s="3165">
        <f>SUM(P75:P85)</f>
        <v>0</v>
      </c>
      <c r="Q86" s="3166"/>
      <c r="R86" s="2512"/>
      <c r="S86" s="3165">
        <f>SUM(S75:S85)</f>
        <v>50000</v>
      </c>
      <c r="T86" s="3166"/>
      <c r="U86" s="2512"/>
      <c r="V86" s="637">
        <f>SUM(V75:V85)</f>
        <v>0</v>
      </c>
      <c r="W86" s="3167"/>
      <c r="X86" s="3168"/>
      <c r="Y86" s="2512"/>
      <c r="Z86" s="2512"/>
      <c r="AA86" s="2512"/>
      <c r="AB86" s="2512"/>
      <c r="AC86" s="2512"/>
      <c r="AD86" s="2512"/>
      <c r="AE86" s="2512"/>
      <c r="AF86" s="2512"/>
      <c r="AG86" s="2512"/>
      <c r="AH86" s="2512"/>
      <c r="AI86" s="2512"/>
      <c r="AJ86" s="2512"/>
      <c r="AK86" s="2512"/>
      <c r="AL86" s="2512"/>
      <c r="AM86" s="2512"/>
      <c r="AN86" s="2512"/>
      <c r="AO86" s="2512"/>
      <c r="AP86" s="2512"/>
      <c r="AQ86" s="2512"/>
      <c r="AR86" s="2512"/>
      <c r="AS86" s="2512"/>
      <c r="AT86" s="2512"/>
      <c r="AU86" s="2512"/>
      <c r="AV86" s="2512"/>
      <c r="AW86" s="2512"/>
      <c r="AX86" s="2512"/>
      <c r="AY86" s="2512"/>
      <c r="AZ86" s="1315" t="s">
        <v>628</v>
      </c>
      <c r="BA86" s="1279">
        <v>86</v>
      </c>
    </row>
    <row r="87" spans="1:53" ht="12" customHeight="1">
      <c r="A87" s="2512"/>
      <c r="B87" s="151" t="s">
        <v>629</v>
      </c>
      <c r="C87" s="2512"/>
      <c r="D87" s="519" t="s">
        <v>630</v>
      </c>
      <c r="E87" s="577">
        <f>G92/'Part V-Revenues &amp; Expenses'!$P$67</f>
        <v>5089.0689655172409</v>
      </c>
      <c r="F87" s="2512"/>
      <c r="G87" s="2512"/>
      <c r="H87" s="2512"/>
      <c r="I87" s="2512"/>
      <c r="J87" s="186"/>
      <c r="K87" s="186"/>
      <c r="M87" s="186"/>
      <c r="N87" s="186"/>
      <c r="O87" s="185" t="str">
        <f>B87</f>
        <v>LOCAL GOVERNMENT FEES</v>
      </c>
      <c r="P87" s="186"/>
      <c r="Q87" s="186"/>
      <c r="S87" s="186"/>
      <c r="T87" s="186"/>
      <c r="V87" s="638"/>
      <c r="W87" s="2512" t="str">
        <f>B87</f>
        <v>LOCAL GOVERNMENT FEES</v>
      </c>
      <c r="AZ87" s="1315"/>
      <c r="BA87" s="1279">
        <v>87</v>
      </c>
    </row>
    <row r="88" spans="1:53" s="95" customFormat="1" ht="12" customHeight="1">
      <c r="A88" s="2512"/>
      <c r="B88" s="2512" t="s">
        <v>631</v>
      </c>
      <c r="C88" s="2512"/>
      <c r="D88" s="2512"/>
      <c r="E88" s="2512"/>
      <c r="F88" s="2512"/>
      <c r="G88" s="3060">
        <v>144271</v>
      </c>
      <c r="H88" s="3061"/>
      <c r="I88" s="2512"/>
      <c r="J88" s="3060">
        <v>144271</v>
      </c>
      <c r="K88" s="3061"/>
      <c r="L88" s="2529"/>
      <c r="M88" s="3060"/>
      <c r="N88" s="3061"/>
      <c r="O88" s="2512"/>
      <c r="P88" s="3060"/>
      <c r="Q88" s="3061"/>
      <c r="R88" s="2512"/>
      <c r="S88" s="3060"/>
      <c r="T88" s="3061"/>
      <c r="U88" s="2512"/>
      <c r="V88" s="635"/>
      <c r="W88" s="3159"/>
      <c r="X88" s="3160"/>
      <c r="Y88" s="2512"/>
      <c r="Z88" s="2512"/>
      <c r="AA88" s="2512"/>
      <c r="AB88" s="2512"/>
      <c r="AC88" s="2512"/>
      <c r="AD88" s="2512"/>
      <c r="AE88" s="2512"/>
      <c r="AF88" s="2512"/>
      <c r="AG88" s="2512"/>
      <c r="AH88" s="2512"/>
      <c r="AI88" s="2512"/>
      <c r="AJ88" s="2512"/>
      <c r="AK88" s="2512"/>
      <c r="AL88" s="2512"/>
      <c r="AM88" s="2512"/>
      <c r="AN88" s="2512"/>
      <c r="AO88" s="2512"/>
      <c r="AP88" s="2512"/>
      <c r="AQ88" s="2512"/>
      <c r="AR88" s="2512"/>
      <c r="AS88" s="2512"/>
      <c r="AT88" s="2512"/>
      <c r="AU88" s="2512"/>
      <c r="AV88" s="2512"/>
      <c r="AW88" s="2512"/>
      <c r="AX88" s="2512"/>
      <c r="AY88" s="2512"/>
      <c r="AZ88" s="1315"/>
      <c r="BA88" s="1279">
        <v>88</v>
      </c>
    </row>
    <row r="89" spans="1:53" s="95" customFormat="1" ht="12" customHeight="1">
      <c r="A89" s="2512"/>
      <c r="B89" s="2512" t="s">
        <v>632</v>
      </c>
      <c r="C89" s="2512"/>
      <c r="D89" s="2512"/>
      <c r="E89" s="2512"/>
      <c r="F89" s="2512"/>
      <c r="G89" s="3035"/>
      <c r="H89" s="3036"/>
      <c r="I89" s="2512"/>
      <c r="J89" s="3035"/>
      <c r="K89" s="3036"/>
      <c r="L89" s="2529"/>
      <c r="M89" s="3035"/>
      <c r="N89" s="3036"/>
      <c r="O89" s="2512"/>
      <c r="P89" s="3035"/>
      <c r="Q89" s="3036"/>
      <c r="R89" s="2512"/>
      <c r="S89" s="3035"/>
      <c r="T89" s="3036"/>
      <c r="U89" s="2512"/>
      <c r="V89" s="635"/>
      <c r="W89" s="3159"/>
      <c r="X89" s="3160"/>
      <c r="Y89" s="2512"/>
      <c r="Z89" s="2512"/>
      <c r="AA89" s="2512"/>
      <c r="AB89" s="2512"/>
      <c r="AC89" s="2512"/>
      <c r="AD89" s="2512"/>
      <c r="AE89" s="2512"/>
      <c r="AF89" s="2512"/>
      <c r="AG89" s="2512"/>
      <c r="AH89" s="2512"/>
      <c r="AI89" s="2512"/>
      <c r="AJ89" s="2512"/>
      <c r="AK89" s="2512"/>
      <c r="AL89" s="2512"/>
      <c r="AM89" s="2512"/>
      <c r="AN89" s="2512"/>
      <c r="AO89" s="2512"/>
      <c r="AP89" s="2512"/>
      <c r="AQ89" s="2512"/>
      <c r="AR89" s="2512"/>
      <c r="AS89" s="2512"/>
      <c r="AT89" s="2512"/>
      <c r="AU89" s="2512"/>
      <c r="AV89" s="2512"/>
      <c r="AW89" s="2512"/>
      <c r="AX89" s="2512"/>
      <c r="AY89" s="2512"/>
      <c r="AZ89" s="1315"/>
      <c r="BA89" s="1279">
        <v>89</v>
      </c>
    </row>
    <row r="90" spans="1:53" s="95" customFormat="1" ht="12" customHeight="1">
      <c r="A90" s="2512"/>
      <c r="B90" s="2512" t="s">
        <v>633</v>
      </c>
      <c r="C90" s="2512"/>
      <c r="D90" s="192" t="s">
        <v>634</v>
      </c>
      <c r="E90" s="2674" t="s">
        <v>56</v>
      </c>
      <c r="F90" s="2512"/>
      <c r="G90" s="3035">
        <v>21120</v>
      </c>
      <c r="H90" s="3036"/>
      <c r="I90" s="96"/>
      <c r="J90" s="3035">
        <v>21120</v>
      </c>
      <c r="K90" s="3036"/>
      <c r="L90" s="2529"/>
      <c r="M90" s="3035"/>
      <c r="N90" s="3036"/>
      <c r="O90" s="2512"/>
      <c r="P90" s="3035"/>
      <c r="Q90" s="3036"/>
      <c r="R90" s="2512"/>
      <c r="S90" s="3035"/>
      <c r="T90" s="3036"/>
      <c r="U90" s="2512"/>
      <c r="V90" s="635"/>
      <c r="W90" s="3159"/>
      <c r="X90" s="3160"/>
      <c r="Y90" s="2512"/>
      <c r="Z90" s="2512"/>
      <c r="AA90" s="2512"/>
      <c r="AB90" s="2512"/>
      <c r="AC90" s="2512"/>
      <c r="AD90" s="2512"/>
      <c r="AE90" s="2512"/>
      <c r="AF90" s="2512"/>
      <c r="AG90" s="2512"/>
      <c r="AH90" s="2512"/>
      <c r="AI90" s="2512"/>
      <c r="AJ90" s="2512"/>
      <c r="AK90" s="2512"/>
      <c r="AL90" s="2512"/>
      <c r="AM90" s="2512"/>
      <c r="AN90" s="2512"/>
      <c r="AO90" s="2512"/>
      <c r="AP90" s="2512"/>
      <c r="AQ90" s="2512"/>
      <c r="AR90" s="2512"/>
      <c r="AS90" s="2512"/>
      <c r="AT90" s="2512"/>
      <c r="AU90" s="2512"/>
      <c r="AV90" s="2512"/>
      <c r="AW90" s="2512"/>
      <c r="AX90" s="2512"/>
      <c r="AY90" s="2512"/>
      <c r="AZ90" s="1315"/>
      <c r="BA90" s="1279">
        <v>90</v>
      </c>
    </row>
    <row r="91" spans="1:53" s="95" customFormat="1" ht="12" customHeight="1" thickBot="1">
      <c r="A91" s="2512"/>
      <c r="B91" s="2512" t="s">
        <v>635</v>
      </c>
      <c r="C91" s="2512"/>
      <c r="D91" s="192" t="s">
        <v>634</v>
      </c>
      <c r="E91" s="648" t="s">
        <v>56</v>
      </c>
      <c r="F91" s="2512"/>
      <c r="G91" s="3049">
        <v>129775</v>
      </c>
      <c r="H91" s="3050"/>
      <c r="I91" s="96"/>
      <c r="J91" s="3049">
        <v>129775</v>
      </c>
      <c r="K91" s="3050"/>
      <c r="L91" s="2529"/>
      <c r="M91" s="3049"/>
      <c r="N91" s="3050"/>
      <c r="O91" s="2512"/>
      <c r="P91" s="3049"/>
      <c r="Q91" s="3050"/>
      <c r="R91" s="2512"/>
      <c r="S91" s="3049"/>
      <c r="T91" s="3050"/>
      <c r="U91" s="2512"/>
      <c r="V91" s="635"/>
      <c r="W91" s="3163"/>
      <c r="X91" s="3164"/>
      <c r="Y91" s="2512"/>
      <c r="Z91" s="2512"/>
      <c r="AA91" s="2512"/>
      <c r="AB91" s="2512"/>
      <c r="AC91" s="2512"/>
      <c r="AD91" s="2512"/>
      <c r="AE91" s="2512"/>
      <c r="AF91" s="2512"/>
      <c r="AG91" s="2512"/>
      <c r="AH91" s="2512"/>
      <c r="AI91" s="2512"/>
      <c r="AJ91" s="2512"/>
      <c r="AK91" s="2512"/>
      <c r="AL91" s="2512"/>
      <c r="AM91" s="2512"/>
      <c r="AN91" s="2512"/>
      <c r="AO91" s="2512"/>
      <c r="AP91" s="2512"/>
      <c r="AQ91" s="2512"/>
      <c r="AR91" s="2512"/>
      <c r="AS91" s="2512"/>
      <c r="AT91" s="2512"/>
      <c r="AU91" s="2512"/>
      <c r="AV91" s="2512"/>
      <c r="AW91" s="2512"/>
      <c r="AX91" s="2512"/>
      <c r="AY91" s="2512"/>
      <c r="AZ91" s="1315"/>
      <c r="BA91" s="1279">
        <v>91</v>
      </c>
    </row>
    <row r="92" spans="1:53" s="95" customFormat="1" ht="12" customHeight="1" thickTop="1">
      <c r="A92" s="2512"/>
      <c r="B92" s="2512"/>
      <c r="C92" s="2512"/>
      <c r="D92" s="2512"/>
      <c r="E92" s="2512"/>
      <c r="F92" s="184" t="s">
        <v>548</v>
      </c>
      <c r="G92" s="3165">
        <f>SUM(G88:G91)</f>
        <v>295166</v>
      </c>
      <c r="H92" s="3166"/>
      <c r="I92" s="2512"/>
      <c r="J92" s="3165">
        <f>SUM(J88:J91)</f>
        <v>295166</v>
      </c>
      <c r="K92" s="3166"/>
      <c r="L92" s="186"/>
      <c r="M92" s="3165">
        <f>SUM(M88:M91)</f>
        <v>0</v>
      </c>
      <c r="N92" s="3166"/>
      <c r="O92" s="2512"/>
      <c r="P92" s="3165">
        <f>SUM(P88:P91)</f>
        <v>0</v>
      </c>
      <c r="Q92" s="3166"/>
      <c r="R92" s="2512"/>
      <c r="S92" s="3165">
        <f>SUM(S88:S91)</f>
        <v>0</v>
      </c>
      <c r="T92" s="3166"/>
      <c r="U92" s="2512"/>
      <c r="V92" s="637">
        <f>SUM(V88:V91)</f>
        <v>0</v>
      </c>
      <c r="W92" s="3167"/>
      <c r="X92" s="3168"/>
      <c r="Y92" s="2512"/>
      <c r="Z92" s="2512"/>
      <c r="AA92" s="2512"/>
      <c r="AB92" s="2512"/>
      <c r="AC92" s="2512"/>
      <c r="AD92" s="2512"/>
      <c r="AE92" s="2512"/>
      <c r="AF92" s="2512"/>
      <c r="AG92" s="2512"/>
      <c r="AH92" s="2512"/>
      <c r="AI92" s="2512"/>
      <c r="AJ92" s="2512"/>
      <c r="AK92" s="2512"/>
      <c r="AL92" s="2512"/>
      <c r="AM92" s="2512"/>
      <c r="AN92" s="2512"/>
      <c r="AO92" s="2512"/>
      <c r="AP92" s="2512"/>
      <c r="AQ92" s="2512"/>
      <c r="AR92" s="2512"/>
      <c r="AS92" s="2512"/>
      <c r="AT92" s="2512"/>
      <c r="AU92" s="2512"/>
      <c r="AV92" s="2512"/>
      <c r="AW92" s="2512"/>
      <c r="AX92" s="2512"/>
      <c r="AY92" s="2512"/>
      <c r="AZ92" s="1315"/>
      <c r="BA92" s="1279">
        <v>92</v>
      </c>
    </row>
    <row r="93" spans="1:53" s="95" customFormat="1" ht="6" customHeight="1" thickBot="1">
      <c r="A93" s="269"/>
      <c r="B93" s="269"/>
      <c r="C93" s="269"/>
      <c r="D93" s="269"/>
      <c r="E93" s="269"/>
      <c r="F93" s="269"/>
      <c r="G93" s="269"/>
      <c r="H93" s="269"/>
      <c r="I93" s="269"/>
      <c r="J93" s="269"/>
      <c r="K93" s="269"/>
      <c r="L93" s="269"/>
      <c r="M93" s="269"/>
      <c r="N93" s="269"/>
      <c r="O93" s="269"/>
      <c r="P93" s="269"/>
      <c r="Q93" s="269"/>
      <c r="R93" s="269"/>
      <c r="S93" s="269"/>
      <c r="T93" s="269"/>
      <c r="U93" s="2512"/>
      <c r="V93" s="638"/>
      <c r="W93" s="2512"/>
      <c r="X93" s="2512"/>
      <c r="Y93" s="2512"/>
      <c r="Z93" s="2512"/>
      <c r="AA93" s="2512"/>
      <c r="AB93" s="2512"/>
      <c r="AC93" s="2512"/>
      <c r="AD93" s="2512"/>
      <c r="AE93" s="2512"/>
      <c r="AF93" s="2512"/>
      <c r="AG93" s="2512"/>
      <c r="AH93" s="2512"/>
      <c r="AI93" s="2512"/>
      <c r="AJ93" s="2512"/>
      <c r="AK93" s="2512"/>
      <c r="AL93" s="2512"/>
      <c r="AM93" s="2512"/>
      <c r="AN93" s="2512"/>
      <c r="AO93" s="2512"/>
      <c r="AP93" s="2512"/>
      <c r="AQ93" s="2512"/>
      <c r="AR93" s="2512"/>
      <c r="AS93" s="2512"/>
      <c r="AT93" s="2512"/>
      <c r="AU93" s="2512"/>
      <c r="AV93" s="2512"/>
      <c r="AW93" s="2512"/>
      <c r="AX93" s="2512"/>
      <c r="AY93" s="2512"/>
      <c r="AZ93" s="1315"/>
      <c r="BA93" s="1279">
        <v>93</v>
      </c>
    </row>
    <row r="94" spans="1:53" s="95" customFormat="1" ht="18" customHeight="1" thickBot="1">
      <c r="A94" s="237" t="s">
        <v>21</v>
      </c>
      <c r="B94" s="237" t="s">
        <v>636</v>
      </c>
      <c r="C94" s="2512"/>
      <c r="D94" s="2512"/>
      <c r="E94" s="2512"/>
      <c r="F94" s="2512"/>
      <c r="G94" s="2512"/>
      <c r="H94" s="2512"/>
      <c r="I94" s="2512"/>
      <c r="J94" s="3149" t="s">
        <v>528</v>
      </c>
      <c r="K94" s="3150"/>
      <c r="L94" s="183"/>
      <c r="M94" s="3153" t="s">
        <v>529</v>
      </c>
      <c r="N94" s="3154"/>
      <c r="O94" s="2512"/>
      <c r="P94" s="3149" t="s">
        <v>530</v>
      </c>
      <c r="Q94" s="3150"/>
      <c r="R94" s="2512"/>
      <c r="S94" s="3149" t="s">
        <v>531</v>
      </c>
      <c r="T94" s="3150"/>
      <c r="U94" s="2512"/>
      <c r="V94" s="238" t="str">
        <f>B94</f>
        <v>DEVELOPMENT BUDGET  (cont'd)</v>
      </c>
      <c r="W94" s="2512"/>
      <c r="X94" s="2512"/>
      <c r="Y94" s="2512"/>
      <c r="Z94" s="2512"/>
      <c r="AA94" s="2512"/>
      <c r="AB94" s="2512"/>
      <c r="AC94" s="2512"/>
      <c r="AD94" s="2512"/>
      <c r="AE94" s="2512"/>
      <c r="AF94" s="2512"/>
      <c r="AG94" s="2512"/>
      <c r="AH94" s="2512"/>
      <c r="AI94" s="2512"/>
      <c r="AJ94" s="2512"/>
      <c r="AK94" s="2512"/>
      <c r="AL94" s="2512"/>
      <c r="AM94" s="2512"/>
      <c r="AN94" s="2512"/>
      <c r="AO94" s="2512"/>
      <c r="AP94" s="2512"/>
      <c r="AQ94" s="2512"/>
      <c r="AR94" s="2512"/>
      <c r="AS94" s="2512"/>
      <c r="AT94" s="2512"/>
      <c r="AU94" s="2512"/>
      <c r="AV94" s="2512"/>
      <c r="AW94" s="2512"/>
      <c r="AX94" s="2512"/>
      <c r="AY94" s="2512"/>
      <c r="AZ94" s="1315"/>
      <c r="BA94" s="1279">
        <v>94</v>
      </c>
    </row>
    <row r="95" spans="1:53" s="95" customFormat="1" ht="18" customHeight="1" thickBot="1">
      <c r="A95" s="2512"/>
      <c r="B95" s="2512"/>
      <c r="C95" s="2512"/>
      <c r="D95" s="2512"/>
      <c r="E95" s="2512"/>
      <c r="F95" s="2512"/>
      <c r="G95" s="3157" t="s">
        <v>532</v>
      </c>
      <c r="H95" s="3158"/>
      <c r="I95" s="2512"/>
      <c r="J95" s="3151"/>
      <c r="K95" s="3152"/>
      <c r="L95" s="183"/>
      <c r="M95" s="3155"/>
      <c r="N95" s="3156"/>
      <c r="O95" s="2512"/>
      <c r="P95" s="3151"/>
      <c r="Q95" s="3152"/>
      <c r="R95" s="2512"/>
      <c r="S95" s="3151"/>
      <c r="T95" s="3152"/>
      <c r="U95" s="2512"/>
      <c r="V95" s="159" t="s">
        <v>361</v>
      </c>
      <c r="W95" s="2512"/>
      <c r="X95" s="159"/>
      <c r="Y95" s="2512"/>
      <c r="Z95" s="2512"/>
      <c r="AA95" s="2512"/>
      <c r="AB95" s="2512"/>
      <c r="AC95" s="2512"/>
      <c r="AD95" s="2512"/>
      <c r="AE95" s="2512"/>
      <c r="AF95" s="2512"/>
      <c r="AG95" s="2512"/>
      <c r="AH95" s="2512"/>
      <c r="AI95" s="2512"/>
      <c r="AJ95" s="2512"/>
      <c r="AK95" s="2512"/>
      <c r="AL95" s="2512"/>
      <c r="AM95" s="2512"/>
      <c r="AN95" s="2512"/>
      <c r="AO95" s="2512"/>
      <c r="AP95" s="2512"/>
      <c r="AQ95" s="2512"/>
      <c r="AR95" s="2512"/>
      <c r="AS95" s="2512"/>
      <c r="AT95" s="2512"/>
      <c r="AU95" s="2512"/>
      <c r="AV95" s="2512"/>
      <c r="AW95" s="2512"/>
      <c r="AX95" s="2512"/>
      <c r="AY95" s="2512"/>
      <c r="AZ95" s="1315"/>
      <c r="BA95" s="1279">
        <v>95</v>
      </c>
    </row>
    <row r="96" spans="1:53" s="95" customFormat="1" ht="12" customHeight="1">
      <c r="A96" s="2512"/>
      <c r="B96" s="151" t="s">
        <v>637</v>
      </c>
      <c r="C96" s="2512"/>
      <c r="D96" s="2512"/>
      <c r="E96" s="2512"/>
      <c r="F96" s="2512"/>
      <c r="G96" s="2512"/>
      <c r="H96" s="2512"/>
      <c r="I96" s="2512"/>
      <c r="J96" s="186"/>
      <c r="K96" s="186"/>
      <c r="L96" s="2512"/>
      <c r="M96" s="186"/>
      <c r="N96" s="186"/>
      <c r="O96" s="185" t="str">
        <f>B96</f>
        <v>PERMANENT FINANCING FEES</v>
      </c>
      <c r="P96" s="186"/>
      <c r="Q96" s="186"/>
      <c r="R96" s="2512"/>
      <c r="S96" s="186"/>
      <c r="T96" s="186"/>
      <c r="U96" s="2512"/>
      <c r="V96" s="638"/>
      <c r="W96" s="2512" t="str">
        <f>B96</f>
        <v>PERMANENT FINANCING FEES</v>
      </c>
      <c r="X96" s="2512"/>
      <c r="Y96" s="2512"/>
      <c r="Z96" s="2512"/>
      <c r="AA96" s="2512"/>
      <c r="AB96" s="2512"/>
      <c r="AC96" s="2512"/>
      <c r="AD96" s="2512"/>
      <c r="AE96" s="2512"/>
      <c r="AF96" s="2512"/>
      <c r="AG96" s="2512"/>
      <c r="AH96" s="2512"/>
      <c r="AI96" s="2512"/>
      <c r="AJ96" s="2512"/>
      <c r="AK96" s="2512"/>
      <c r="AL96" s="2512"/>
      <c r="AM96" s="2512"/>
      <c r="AN96" s="2512"/>
      <c r="AO96" s="2512"/>
      <c r="AP96" s="2512"/>
      <c r="AQ96" s="2512"/>
      <c r="AR96" s="2512"/>
      <c r="AS96" s="2512"/>
      <c r="AT96" s="2512"/>
      <c r="AU96" s="2512"/>
      <c r="AV96" s="2512"/>
      <c r="AW96" s="2512"/>
      <c r="AX96" s="2512"/>
      <c r="AY96" s="2512"/>
      <c r="AZ96" s="1315" t="s">
        <v>638</v>
      </c>
      <c r="BA96" s="1279">
        <v>96</v>
      </c>
    </row>
    <row r="97" spans="1:53" s="95" customFormat="1" ht="12" customHeight="1">
      <c r="A97" s="2512"/>
      <c r="B97" s="2512" t="s">
        <v>639</v>
      </c>
      <c r="C97" s="2512"/>
      <c r="D97" s="2512"/>
      <c r="E97" s="2512"/>
      <c r="F97" s="2512"/>
      <c r="G97" s="3060">
        <v>56100</v>
      </c>
      <c r="H97" s="3061"/>
      <c r="I97" s="2512"/>
      <c r="J97" s="3206"/>
      <c r="K97" s="3206"/>
      <c r="L97" s="2529"/>
      <c r="M97" s="3206"/>
      <c r="N97" s="3206"/>
      <c r="O97" s="2512"/>
      <c r="P97" s="3206"/>
      <c r="Q97" s="3206"/>
      <c r="R97" s="2512"/>
      <c r="S97" s="3060">
        <v>56100</v>
      </c>
      <c r="T97" s="3061"/>
      <c r="U97" s="2512"/>
      <c r="V97" s="635"/>
      <c r="W97" s="3159"/>
      <c r="X97" s="3160"/>
      <c r="Y97" s="2512"/>
      <c r="Z97" s="2512"/>
      <c r="AA97" s="2512"/>
      <c r="AB97" s="2512"/>
      <c r="AC97" s="2512"/>
      <c r="AD97" s="2512"/>
      <c r="AE97" s="2512"/>
      <c r="AF97" s="2512"/>
      <c r="AG97" s="2512"/>
      <c r="AH97" s="2512"/>
      <c r="AI97" s="2512"/>
      <c r="AJ97" s="2512"/>
      <c r="AK97" s="2512"/>
      <c r="AL97" s="2512"/>
      <c r="AM97" s="2512"/>
      <c r="AN97" s="2512"/>
      <c r="AO97" s="2512"/>
      <c r="AP97" s="2512"/>
      <c r="AQ97" s="2512"/>
      <c r="AR97" s="2512"/>
      <c r="AS97" s="2512"/>
      <c r="AT97" s="2512"/>
      <c r="AU97" s="2512"/>
      <c r="AV97" s="2512"/>
      <c r="AW97" s="2512"/>
      <c r="AX97" s="2512"/>
      <c r="AY97" s="2512"/>
      <c r="AZ97" s="1315" t="s">
        <v>640</v>
      </c>
      <c r="BA97" s="1279">
        <v>97</v>
      </c>
    </row>
    <row r="98" spans="1:53" s="95" customFormat="1" ht="12" customHeight="1">
      <c r="A98" s="2512"/>
      <c r="B98" s="2512" t="s">
        <v>641</v>
      </c>
      <c r="C98" s="2512"/>
      <c r="D98" s="2512"/>
      <c r="E98" s="2512"/>
      <c r="F98" s="2512"/>
      <c r="G98" s="3035">
        <v>50000</v>
      </c>
      <c r="H98" s="3036"/>
      <c r="I98" s="2512"/>
      <c r="J98" s="3206"/>
      <c r="K98" s="3206"/>
      <c r="L98" s="2529"/>
      <c r="M98" s="3206"/>
      <c r="N98" s="3206"/>
      <c r="O98" s="2512"/>
      <c r="P98" s="3206"/>
      <c r="Q98" s="3206"/>
      <c r="R98" s="2512"/>
      <c r="S98" s="3035">
        <v>50000</v>
      </c>
      <c r="T98" s="3036"/>
      <c r="U98" s="2512"/>
      <c r="V98" s="635"/>
      <c r="W98" s="3159"/>
      <c r="X98" s="3160"/>
      <c r="Y98" s="2512"/>
      <c r="Z98" s="2512"/>
      <c r="AA98" s="2512"/>
      <c r="AB98" s="2512"/>
      <c r="AC98" s="2512"/>
      <c r="AD98" s="2512"/>
      <c r="AE98" s="2512"/>
      <c r="AF98" s="2512"/>
      <c r="AG98" s="2512"/>
      <c r="AH98" s="2512"/>
      <c r="AI98" s="2512"/>
      <c r="AJ98" s="2512"/>
      <c r="AK98" s="2512"/>
      <c r="AL98" s="2512"/>
      <c r="AM98" s="2512"/>
      <c r="AN98" s="2512"/>
      <c r="AO98" s="2512"/>
      <c r="AP98" s="2512"/>
      <c r="AQ98" s="2512"/>
      <c r="AR98" s="2512"/>
      <c r="AS98" s="2512"/>
      <c r="AT98" s="2512"/>
      <c r="AU98" s="2512"/>
      <c r="AV98" s="2512"/>
      <c r="AW98" s="2512"/>
      <c r="AX98" s="2512"/>
      <c r="AY98" s="2512"/>
      <c r="AZ98" s="1315"/>
      <c r="BA98" s="1279">
        <v>98</v>
      </c>
    </row>
    <row r="99" spans="1:53" s="95" customFormat="1" ht="12" customHeight="1">
      <c r="A99" s="2512"/>
      <c r="B99" s="2512" t="s">
        <v>608</v>
      </c>
      <c r="C99" s="2512"/>
      <c r="D99" s="2512"/>
      <c r="E99" s="2512"/>
      <c r="F99" s="2512"/>
      <c r="G99" s="3035">
        <v>75000</v>
      </c>
      <c r="H99" s="3036"/>
      <c r="I99" s="2512"/>
      <c r="J99" s="3206"/>
      <c r="K99" s="3206"/>
      <c r="L99" s="2529"/>
      <c r="M99" s="3206"/>
      <c r="N99" s="3206"/>
      <c r="O99" s="2512"/>
      <c r="P99" s="3206"/>
      <c r="Q99" s="3206"/>
      <c r="R99" s="2512"/>
      <c r="S99" s="3035">
        <v>75000</v>
      </c>
      <c r="T99" s="3036"/>
      <c r="U99" s="2512"/>
      <c r="V99" s="635"/>
      <c r="W99" s="3159"/>
      <c r="X99" s="3160"/>
      <c r="Y99" s="2512"/>
      <c r="Z99" s="2512"/>
      <c r="AA99" s="2512"/>
      <c r="AB99" s="2512"/>
      <c r="AC99" s="2512"/>
      <c r="AD99" s="2512"/>
      <c r="AE99" s="2512"/>
      <c r="AF99" s="2512"/>
      <c r="AG99" s="2512"/>
      <c r="AH99" s="2512"/>
      <c r="AI99" s="2512"/>
      <c r="AJ99" s="2512"/>
      <c r="AK99" s="2512"/>
      <c r="AL99" s="2512"/>
      <c r="AM99" s="2512"/>
      <c r="AN99" s="2512"/>
      <c r="AO99" s="2512"/>
      <c r="AP99" s="2512"/>
      <c r="AQ99" s="2512"/>
      <c r="AR99" s="2512"/>
      <c r="AS99" s="2512"/>
      <c r="AT99" s="2512"/>
      <c r="AU99" s="2512"/>
      <c r="AV99" s="2512"/>
      <c r="AW99" s="2512"/>
      <c r="AX99" s="2512"/>
      <c r="AY99" s="2512"/>
      <c r="AZ99" s="1315"/>
      <c r="BA99" s="1279">
        <v>99</v>
      </c>
    </row>
    <row r="100" spans="1:53" s="95" customFormat="1" ht="12" customHeight="1">
      <c r="A100" s="2512"/>
      <c r="B100" s="2512" t="s">
        <v>642</v>
      </c>
      <c r="C100" s="2512"/>
      <c r="D100" s="2512"/>
      <c r="E100" s="2512"/>
      <c r="F100" s="2512"/>
      <c r="G100" s="3035"/>
      <c r="H100" s="3036"/>
      <c r="I100" s="2512"/>
      <c r="J100" s="3206"/>
      <c r="K100" s="3206"/>
      <c r="L100" s="2529"/>
      <c r="M100" s="3206"/>
      <c r="N100" s="3206"/>
      <c r="O100" s="2512"/>
      <c r="P100" s="3206"/>
      <c r="Q100" s="3206"/>
      <c r="R100" s="2512"/>
      <c r="S100" s="3035"/>
      <c r="T100" s="3036"/>
      <c r="U100" s="2512"/>
      <c r="V100" s="635"/>
      <c r="W100" s="3159"/>
      <c r="X100" s="3160"/>
      <c r="Y100" s="2512"/>
      <c r="Z100" s="2512"/>
      <c r="AA100" s="2512"/>
      <c r="AB100" s="2512"/>
      <c r="AC100" s="2512"/>
      <c r="AD100" s="2512"/>
      <c r="AE100" s="2512"/>
      <c r="AF100" s="2512"/>
      <c r="AG100" s="2512"/>
      <c r="AH100" s="2512"/>
      <c r="AI100" s="2512"/>
      <c r="AJ100" s="2512"/>
      <c r="AK100" s="2512"/>
      <c r="AL100" s="2512"/>
      <c r="AM100" s="2512"/>
      <c r="AN100" s="2512"/>
      <c r="AO100" s="2512"/>
      <c r="AP100" s="2512"/>
      <c r="AQ100" s="2512"/>
      <c r="AR100" s="2512"/>
      <c r="AS100" s="2512"/>
      <c r="AT100" s="2512"/>
      <c r="AU100" s="2512"/>
      <c r="AV100" s="2512"/>
      <c r="AW100" s="2512"/>
      <c r="AX100" s="2512"/>
      <c r="AY100" s="2512"/>
      <c r="AZ100" s="1315"/>
      <c r="BA100" s="1279">
        <v>100</v>
      </c>
    </row>
    <row r="101" spans="1:53" s="95" customFormat="1" ht="12" customHeight="1">
      <c r="A101" s="2512"/>
      <c r="B101" s="2512" t="s">
        <v>643</v>
      </c>
      <c r="C101" s="2512"/>
      <c r="D101" s="2512"/>
      <c r="E101" s="2512"/>
      <c r="F101" s="2512"/>
      <c r="G101" s="3035"/>
      <c r="H101" s="3036"/>
      <c r="I101" s="2512"/>
      <c r="J101" s="3206"/>
      <c r="K101" s="3206"/>
      <c r="L101" s="2529"/>
      <c r="M101" s="3206"/>
      <c r="N101" s="3206"/>
      <c r="O101" s="2512"/>
      <c r="P101" s="3206"/>
      <c r="Q101" s="3206"/>
      <c r="R101" s="2512"/>
      <c r="S101" s="3035"/>
      <c r="T101" s="3036"/>
      <c r="U101" s="2512"/>
      <c r="V101" s="635"/>
      <c r="W101" s="3159"/>
      <c r="X101" s="3160"/>
      <c r="Y101" s="2512"/>
      <c r="Z101" s="2512"/>
      <c r="AA101" s="2512"/>
      <c r="AB101" s="2512"/>
      <c r="AC101" s="2512"/>
      <c r="AD101" s="2512"/>
      <c r="AE101" s="2512"/>
      <c r="AF101" s="2512"/>
      <c r="AG101" s="2512"/>
      <c r="AH101" s="2512"/>
      <c r="AI101" s="2512"/>
      <c r="AJ101" s="2512"/>
      <c r="AK101" s="2512"/>
      <c r="AL101" s="2512"/>
      <c r="AM101" s="2512"/>
      <c r="AN101" s="2512"/>
      <c r="AO101" s="2512"/>
      <c r="AP101" s="2512"/>
      <c r="AQ101" s="2512"/>
      <c r="AR101" s="2512"/>
      <c r="AS101" s="2512"/>
      <c r="AT101" s="2512"/>
      <c r="AU101" s="2512"/>
      <c r="AV101" s="2512"/>
      <c r="AW101" s="2512"/>
      <c r="AX101" s="2512"/>
      <c r="AY101" s="2512"/>
      <c r="AZ101" s="1315"/>
      <c r="BA101" s="1279">
        <v>101</v>
      </c>
    </row>
    <row r="102" spans="1:53" s="95" customFormat="1" ht="12" customHeight="1" thickBot="1">
      <c r="A102" s="205" t="str">
        <f>IF(AND(G102&gt;0,OR(C102="",C102="&lt;Enter detailed description here; use Comments section if needed&gt;")),"X","")</f>
        <v/>
      </c>
      <c r="B102" s="98" t="s">
        <v>644</v>
      </c>
      <c r="C102" s="3161" t="s">
        <v>544</v>
      </c>
      <c r="D102" s="3161"/>
      <c r="E102" s="3161"/>
      <c r="F102" s="3162"/>
      <c r="G102" s="3049"/>
      <c r="H102" s="3050"/>
      <c r="I102" s="2512"/>
      <c r="J102" s="3206"/>
      <c r="K102" s="3206"/>
      <c r="L102" s="2529"/>
      <c r="M102" s="3206"/>
      <c r="N102" s="3206"/>
      <c r="O102" s="2512"/>
      <c r="P102" s="3206"/>
      <c r="Q102" s="3206"/>
      <c r="R102" s="2512"/>
      <c r="S102" s="3049"/>
      <c r="T102" s="3050"/>
      <c r="U102" s="204" t="str">
        <f>IF(AND(G102&gt;0,OR(C102="",C102="&lt;Enter detailed description here; use Comments section if needed&gt;")),"NO DESCRIPTION PROVIDED - please enter detailed description in Other box at left; use Comments section below if needed.","")</f>
        <v/>
      </c>
      <c r="V102" s="635"/>
      <c r="W102" s="3163"/>
      <c r="X102" s="3164"/>
      <c r="Y102" s="2512"/>
      <c r="Z102" s="2512"/>
      <c r="AA102" s="2512"/>
      <c r="AB102" s="2512"/>
      <c r="AC102" s="2512"/>
      <c r="AD102" s="2512"/>
      <c r="AE102" s="2512"/>
      <c r="AF102" s="2512"/>
      <c r="AG102" s="2512"/>
      <c r="AH102" s="2512"/>
      <c r="AI102" s="2512"/>
      <c r="AJ102" s="2512"/>
      <c r="AK102" s="2512"/>
      <c r="AL102" s="2512"/>
      <c r="AM102" s="2512"/>
      <c r="AN102" s="2512"/>
      <c r="AO102" s="2512"/>
      <c r="AP102" s="2512"/>
      <c r="AQ102" s="2512"/>
      <c r="AR102" s="2512"/>
      <c r="AS102" s="2512"/>
      <c r="AT102" s="2512"/>
      <c r="AU102" s="2512"/>
      <c r="AV102" s="2512"/>
      <c r="AW102" s="2512"/>
      <c r="AX102" s="2512"/>
      <c r="AY102" s="2512"/>
      <c r="AZ102" s="1315"/>
      <c r="BA102" s="1279">
        <v>102</v>
      </c>
    </row>
    <row r="103" spans="1:53" s="95" customFormat="1" ht="12" customHeight="1" thickTop="1">
      <c r="A103" s="2512"/>
      <c r="B103" s="2512"/>
      <c r="C103" s="2512"/>
      <c r="D103" s="2512"/>
      <c r="E103" s="2512"/>
      <c r="F103" s="184" t="s">
        <v>548</v>
      </c>
      <c r="G103" s="3165">
        <f>SUM(G97:G102)</f>
        <v>181100</v>
      </c>
      <c r="H103" s="3166"/>
      <c r="I103" s="2512"/>
      <c r="J103" s="3206"/>
      <c r="K103" s="3206"/>
      <c r="L103" s="186"/>
      <c r="M103" s="3206"/>
      <c r="N103" s="3206"/>
      <c r="O103" s="2512"/>
      <c r="P103" s="3206"/>
      <c r="Q103" s="3206"/>
      <c r="R103" s="2512"/>
      <c r="S103" s="3165">
        <f>SUM(S97:S102)</f>
        <v>181100</v>
      </c>
      <c r="T103" s="3166"/>
      <c r="U103" s="2512"/>
      <c r="V103" s="637">
        <f>SUM(V97:V102)</f>
        <v>0</v>
      </c>
      <c r="W103" s="3167"/>
      <c r="X103" s="3168"/>
      <c r="Y103" s="2512"/>
      <c r="Z103" s="2512"/>
      <c r="AA103" s="2512"/>
      <c r="AB103" s="2512"/>
      <c r="AC103" s="2512"/>
      <c r="AD103" s="2512"/>
      <c r="AE103" s="2512"/>
      <c r="AF103" s="2512"/>
      <c r="AG103" s="2512"/>
      <c r="AH103" s="2512"/>
      <c r="AI103" s="2512"/>
      <c r="AJ103" s="2512"/>
      <c r="AK103" s="2512"/>
      <c r="AL103" s="2512"/>
      <c r="AM103" s="2512"/>
      <c r="AN103" s="2512"/>
      <c r="AO103" s="2512"/>
      <c r="AP103" s="2512"/>
      <c r="AQ103" s="2512"/>
      <c r="AR103" s="2512"/>
      <c r="AS103" s="2512"/>
      <c r="AT103" s="2512"/>
      <c r="AU103" s="2512"/>
      <c r="AV103" s="2512"/>
      <c r="AW103" s="2512"/>
      <c r="AX103" s="2512"/>
      <c r="AY103" s="2512"/>
      <c r="AZ103" s="1315"/>
      <c r="BA103" s="1279">
        <v>103</v>
      </c>
    </row>
    <row r="104" spans="1:53" s="95" customFormat="1" ht="13.35" customHeight="1">
      <c r="A104" s="2512"/>
      <c r="B104" s="151" t="s">
        <v>645</v>
      </c>
      <c r="C104" s="2512"/>
      <c r="D104" s="2512"/>
      <c r="E104" s="2512"/>
      <c r="F104" s="2512"/>
      <c r="G104" s="2512"/>
      <c r="H104" s="2512"/>
      <c r="I104" s="2512"/>
      <c r="J104" s="186"/>
      <c r="K104" s="186"/>
      <c r="L104" s="2512"/>
      <c r="M104" s="186"/>
      <c r="N104" s="186"/>
      <c r="O104" s="185" t="str">
        <f>B104</f>
        <v>DCA-RELATED COSTS</v>
      </c>
      <c r="P104" s="186"/>
      <c r="Q104" s="186"/>
      <c r="R104" s="2512"/>
      <c r="S104" s="186"/>
      <c r="T104" s="186"/>
      <c r="U104" s="2512"/>
      <c r="V104" s="638"/>
      <c r="W104" s="2512" t="str">
        <f>B104</f>
        <v>DCA-RELATED COSTS</v>
      </c>
      <c r="X104" s="2512"/>
      <c r="Y104" s="2512"/>
      <c r="Z104" s="2512"/>
      <c r="AA104" s="98" t="s">
        <v>646</v>
      </c>
      <c r="AB104" s="98"/>
      <c r="AC104" s="98"/>
      <c r="AD104" s="1489" t="str">
        <f>IF(OR($M$38="9% Credit Competitive Round only", $M$38="9% Credit &amp; HOME"),"9%",IF(OR($M$38="4% Credit/TE Bond", $M$38="4% Credit/TE Bond &amp; HOME", $M$38="4% Credit/TE Bond &amp; HOME NOFA", $M$38="4% Credit &amp; NHTF", $M$38="4% Credit &amp; NHTF &amp; HOME"),"4%",""))</f>
        <v/>
      </c>
      <c r="AE104" s="2512"/>
      <c r="AF104" s="2512"/>
      <c r="AG104" s="2512"/>
      <c r="AH104" s="2512"/>
      <c r="AI104" s="2512"/>
      <c r="AJ104" s="2512"/>
      <c r="AK104" s="2512"/>
      <c r="AL104" s="2512"/>
      <c r="AM104" s="2512"/>
      <c r="AN104" s="2512"/>
      <c r="AO104" s="2512"/>
      <c r="AP104" s="2512"/>
      <c r="AQ104" s="2512"/>
      <c r="AR104" s="2512"/>
      <c r="AS104" s="2512"/>
      <c r="AT104" s="2512"/>
      <c r="AU104" s="2512"/>
      <c r="AV104" s="2512"/>
      <c r="AW104" s="2512"/>
      <c r="AX104" s="2512"/>
      <c r="AY104" s="2512"/>
      <c r="AZ104" s="1315"/>
      <c r="BA104" s="1279">
        <v>104</v>
      </c>
    </row>
    <row r="105" spans="1:53" s="95" customFormat="1" ht="12.6" customHeight="1">
      <c r="A105" s="2512"/>
      <c r="B105" s="2512" t="s">
        <v>647</v>
      </c>
      <c r="C105" s="2512"/>
      <c r="D105" s="2512"/>
      <c r="E105" s="2512"/>
      <c r="F105" s="2512"/>
      <c r="G105" s="3060"/>
      <c r="H105" s="3061"/>
      <c r="I105" s="2512"/>
      <c r="J105" s="186"/>
      <c r="K105" s="186"/>
      <c r="L105" s="2529"/>
      <c r="M105" s="186"/>
      <c r="N105" s="186"/>
      <c r="O105" s="2512"/>
      <c r="P105" s="186"/>
      <c r="Q105" s="186"/>
      <c r="R105" s="2512"/>
      <c r="S105" s="3060"/>
      <c r="T105" s="3061"/>
      <c r="U105" s="2512"/>
      <c r="V105" s="635"/>
      <c r="W105" s="3159"/>
      <c r="X105" s="3160"/>
      <c r="Y105" s="3207" t="s">
        <v>648</v>
      </c>
      <c r="Z105" s="2512"/>
      <c r="AA105" s="146" t="s">
        <v>649</v>
      </c>
      <c r="AB105" s="98"/>
      <c r="AC105" s="98"/>
      <c r="AD105" s="1488" t="str">
        <f>'Part V-Revenues &amp; Expenses'!$O$53</f>
        <v>40% of Units at 60% of AMI</v>
      </c>
      <c r="AE105" s="1487"/>
      <c r="AF105" s="1487"/>
      <c r="AG105" s="2512"/>
      <c r="AH105" s="2512"/>
      <c r="AI105" s="2512"/>
      <c r="AJ105" s="2512"/>
      <c r="AK105" s="2512"/>
      <c r="AL105" s="2512"/>
      <c r="AM105" s="2512"/>
      <c r="AN105" s="2512"/>
      <c r="AO105" s="2512"/>
      <c r="AP105" s="2512"/>
      <c r="AQ105" s="2512"/>
      <c r="AR105" s="2512"/>
      <c r="AS105" s="2512"/>
      <c r="AT105" s="2512"/>
      <c r="AU105" s="2512"/>
      <c r="AV105" s="2512"/>
      <c r="AW105" s="2512"/>
      <c r="AX105" s="2512"/>
      <c r="AY105" s="2512"/>
      <c r="AZ105" s="1315"/>
      <c r="BA105" s="1279">
        <v>105</v>
      </c>
    </row>
    <row r="106" spans="1:53" s="95" customFormat="1" ht="12.6" customHeight="1">
      <c r="A106" s="2512"/>
      <c r="B106" s="2512" t="str">
        <f>CONCATENATE("Tax Credit Application Fee ($",'DCA Underwriting Assumptions'!$Q$58, " ForProf/JntVent, $",'DCA Underwriting Assumptions'!$Q$59, " NonProf)")</f>
        <v>Tax Credit Application Fee ($10000 ForProf/JntVent, $8000 NonProf)</v>
      </c>
      <c r="C106" s="2512"/>
      <c r="D106" s="2512"/>
      <c r="E106" s="2512"/>
      <c r="F106" s="2512"/>
      <c r="G106" s="3035">
        <v>10000</v>
      </c>
      <c r="H106" s="3036"/>
      <c r="I106" s="2512"/>
      <c r="J106" s="186"/>
      <c r="K106" s="186"/>
      <c r="L106" s="193"/>
      <c r="M106" s="186"/>
      <c r="N106" s="186"/>
      <c r="O106" s="2512"/>
      <c r="P106" s="186"/>
      <c r="Q106" s="186"/>
      <c r="R106" s="2512"/>
      <c r="S106" s="3035">
        <v>10000</v>
      </c>
      <c r="T106" s="3036"/>
      <c r="U106" s="2512"/>
      <c r="V106" s="635"/>
      <c r="W106" s="3159"/>
      <c r="X106" s="3160"/>
      <c r="Y106" s="3207"/>
      <c r="Z106" s="2512"/>
      <c r="AA106" s="1490" t="s">
        <v>650</v>
      </c>
      <c r="AB106" s="1490"/>
      <c r="AC106" s="1490"/>
      <c r="AD106" s="1491">
        <f>'Part V-Revenues &amp; Expenses'!$P$67</f>
        <v>58</v>
      </c>
      <c r="AE106" s="2512"/>
      <c r="AF106" s="2512"/>
      <c r="AG106" s="2512"/>
      <c r="AH106" s="2512"/>
      <c r="AI106" s="2512"/>
      <c r="AJ106" s="2512"/>
      <c r="AK106" s="2512"/>
      <c r="AL106" s="2512"/>
      <c r="AM106" s="2512"/>
      <c r="AN106" s="2512"/>
      <c r="AO106" s="2512"/>
      <c r="AP106" s="2512"/>
      <c r="AQ106" s="2512"/>
      <c r="AR106" s="2512"/>
      <c r="AS106" s="2512"/>
      <c r="AT106" s="2512"/>
      <c r="AU106" s="2512"/>
      <c r="AV106" s="2512"/>
      <c r="AW106" s="2512"/>
      <c r="AX106" s="2512"/>
      <c r="AY106" s="2512"/>
      <c r="AZ106" s="1315" t="s">
        <v>651</v>
      </c>
      <c r="BA106" s="1279">
        <v>106</v>
      </c>
    </row>
    <row r="107" spans="1:53" s="95" customFormat="1" ht="12.6" customHeight="1">
      <c r="A107" s="2512"/>
      <c r="B107" s="2512" t="s">
        <v>652</v>
      </c>
      <c r="C107" s="2512"/>
      <c r="D107" s="2512"/>
      <c r="E107" s="2512"/>
      <c r="F107" s="2512"/>
      <c r="G107" s="3035">
        <v>2000</v>
      </c>
      <c r="H107" s="3036"/>
      <c r="I107" s="2512"/>
      <c r="J107" s="186"/>
      <c r="K107" s="186"/>
      <c r="L107" s="193"/>
      <c r="M107" s="186"/>
      <c r="N107" s="186"/>
      <c r="O107" s="2512"/>
      <c r="P107" s="186"/>
      <c r="Q107" s="186"/>
      <c r="R107" s="2512"/>
      <c r="S107" s="3035">
        <v>2000</v>
      </c>
      <c r="T107" s="3036"/>
      <c r="U107" s="2512"/>
      <c r="V107" s="635"/>
      <c r="W107" s="3159"/>
      <c r="X107" s="3160"/>
      <c r="Y107" s="3207"/>
      <c r="Z107" s="203"/>
      <c r="AA107" s="137" t="s">
        <v>653</v>
      </c>
      <c r="AB107" s="98"/>
      <c r="AC107" s="98"/>
      <c r="AD107" s="98"/>
      <c r="AE107" s="2512"/>
      <c r="AF107" s="1493" t="s">
        <v>654</v>
      </c>
      <c r="AG107" s="2512"/>
      <c r="AH107" s="2512"/>
      <c r="AI107" s="2512"/>
      <c r="AJ107" s="2512"/>
      <c r="AK107" s="2512"/>
      <c r="AL107" s="2512"/>
      <c r="AM107" s="2512"/>
      <c r="AN107" s="2512"/>
      <c r="AO107" s="2512"/>
      <c r="AP107" s="2512"/>
      <c r="AQ107" s="2512"/>
      <c r="AR107" s="2512"/>
      <c r="AS107" s="2512"/>
      <c r="AT107" s="2512"/>
      <c r="AU107" s="2512"/>
      <c r="AV107" s="2512"/>
      <c r="AW107" s="2512"/>
      <c r="AX107" s="2512"/>
      <c r="AY107" s="2512"/>
      <c r="AZ107" s="1315" t="s">
        <v>655</v>
      </c>
      <c r="BA107" s="1279">
        <v>107</v>
      </c>
    </row>
    <row r="108" spans="1:53" s="95" customFormat="1" ht="12.6" customHeight="1">
      <c r="A108" s="2512"/>
      <c r="B108" s="2512" t="s">
        <v>656</v>
      </c>
      <c r="C108" s="2512"/>
      <c r="D108" s="2512"/>
      <c r="E108" s="3208">
        <f>ROUNDUP('DCA Underwriting Assumptions'!$Q$70*J191,0)</f>
        <v>103600</v>
      </c>
      <c r="F108" s="3209"/>
      <c r="G108" s="3035">
        <v>103600</v>
      </c>
      <c r="H108" s="3036"/>
      <c r="I108" s="2512"/>
      <c r="J108" s="578" t="str">
        <f>IF(E108&gt;G108,"WARNING!  LIHTC Allocation Fee proposed is below minimum required.","")</f>
        <v/>
      </c>
      <c r="K108" s="186"/>
      <c r="L108" s="2529"/>
      <c r="M108" s="186"/>
      <c r="N108" s="186"/>
      <c r="O108" s="2512"/>
      <c r="P108" s="186"/>
      <c r="Q108" s="186"/>
      <c r="R108" s="2512"/>
      <c r="S108" s="3035">
        <v>103600</v>
      </c>
      <c r="T108" s="3036"/>
      <c r="U108" s="2512"/>
      <c r="V108" s="635"/>
      <c r="W108" s="3159"/>
      <c r="X108" s="3160"/>
      <c r="Y108" s="3207"/>
      <c r="Z108" s="203"/>
      <c r="AA108" s="98" t="s">
        <v>657</v>
      </c>
      <c r="AB108" s="98"/>
      <c r="AC108" s="98"/>
      <c r="AD108" s="2599">
        <f>'Part V-Revenues &amp; Expenses'!P140+'Part V-Revenues &amp; Expenses'!P141</f>
        <v>0</v>
      </c>
      <c r="AE108" s="2512"/>
      <c r="AF108" s="1492">
        <f>AD108*'DCA Underwriting Assumptions'!$Q$77</f>
        <v>0</v>
      </c>
      <c r="AG108" s="2512"/>
      <c r="AH108" s="2512"/>
      <c r="AI108" s="2512"/>
      <c r="AJ108" s="2512"/>
      <c r="AK108" s="2512"/>
      <c r="AL108" s="2512"/>
      <c r="AM108" s="2512"/>
      <c r="AN108" s="2512"/>
      <c r="AO108" s="2512"/>
      <c r="AP108" s="2512"/>
      <c r="AQ108" s="2512"/>
      <c r="AR108" s="2512"/>
      <c r="AS108" s="2512"/>
      <c r="AT108" s="2512"/>
      <c r="AU108" s="2512"/>
      <c r="AV108" s="2512"/>
      <c r="AW108" s="2512"/>
      <c r="AX108" s="2512"/>
      <c r="AY108" s="2512"/>
      <c r="AZ108" s="1315" t="s">
        <v>658</v>
      </c>
      <c r="BA108" s="1279">
        <v>108</v>
      </c>
    </row>
    <row r="109" spans="1:53" s="95" customFormat="1" ht="12.6" customHeight="1">
      <c r="A109" s="2512"/>
      <c r="B109" s="2512" t="s">
        <v>659</v>
      </c>
      <c r="C109" s="2512"/>
      <c r="D109" s="2512"/>
      <c r="E109" s="3208">
        <f>AF111+AF115</f>
        <v>46400</v>
      </c>
      <c r="F109" s="3209"/>
      <c r="G109" s="3035">
        <v>46400</v>
      </c>
      <c r="H109" s="3036"/>
      <c r="I109" s="3210" t="str">
        <f>IF(E109&gt;G109,"WARNING!  LIHTC Compliance Fee proposed is below minimum required.","")</f>
        <v/>
      </c>
      <c r="J109" s="3211"/>
      <c r="K109" s="3211"/>
      <c r="L109" s="3211"/>
      <c r="M109" s="3211"/>
      <c r="N109" s="3211"/>
      <c r="O109" s="3211"/>
      <c r="P109" s="3211"/>
      <c r="Q109" s="3211"/>
      <c r="R109" s="3212"/>
      <c r="S109" s="3035">
        <v>46400</v>
      </c>
      <c r="T109" s="3036"/>
      <c r="U109" s="2512"/>
      <c r="V109" s="635"/>
      <c r="W109" s="3159"/>
      <c r="X109" s="3160"/>
      <c r="Y109" s="3207"/>
      <c r="Z109" s="203"/>
      <c r="AA109" s="98" t="s">
        <v>660</v>
      </c>
      <c r="AB109" s="98"/>
      <c r="AC109" s="98"/>
      <c r="AD109" s="2599">
        <f>'Part V-Revenues &amp; Expenses'!$P$144+'Part V-Revenues &amp; Expenses'!$P$145</f>
        <v>0</v>
      </c>
      <c r="AE109" s="2512"/>
      <c r="AF109" s="1492">
        <f>AD109*'DCA Underwriting Assumptions'!$Q$77</f>
        <v>0</v>
      </c>
      <c r="AG109" s="2512"/>
      <c r="AH109" s="2512"/>
      <c r="AI109" s="2512"/>
      <c r="AJ109" s="2512"/>
      <c r="AK109" s="2512"/>
      <c r="AL109" s="2512"/>
      <c r="AM109" s="2512"/>
      <c r="AN109" s="2512"/>
      <c r="AO109" s="2512"/>
      <c r="AP109" s="2512"/>
      <c r="AQ109" s="2512"/>
      <c r="AR109" s="2512"/>
      <c r="AS109" s="2512"/>
      <c r="AT109" s="2512"/>
      <c r="AU109" s="2512"/>
      <c r="AV109" s="2512"/>
      <c r="AW109" s="2512"/>
      <c r="AX109" s="2512"/>
      <c r="AY109" s="2512"/>
      <c r="AZ109" s="1315"/>
      <c r="BA109" s="1279">
        <v>109</v>
      </c>
    </row>
    <row r="110" spans="1:53" s="95" customFormat="1" ht="12.6" customHeight="1">
      <c r="A110" s="2512"/>
      <c r="B110" s="2512" t="s">
        <v>661</v>
      </c>
      <c r="C110" s="2512"/>
      <c r="D110" s="2512"/>
      <c r="E110" s="2512"/>
      <c r="F110" s="729"/>
      <c r="G110" s="3035">
        <v>3000</v>
      </c>
      <c r="H110" s="3036"/>
      <c r="I110" s="3210"/>
      <c r="J110" s="3211"/>
      <c r="K110" s="3211"/>
      <c r="L110" s="3211"/>
      <c r="M110" s="3211"/>
      <c r="N110" s="3211"/>
      <c r="O110" s="3211"/>
      <c r="P110" s="3211"/>
      <c r="Q110" s="3211"/>
      <c r="R110" s="3212"/>
      <c r="S110" s="3035">
        <v>3000</v>
      </c>
      <c r="T110" s="3036"/>
      <c r="U110" s="2512"/>
      <c r="V110" s="635"/>
      <c r="W110" s="3159"/>
      <c r="X110" s="3160"/>
      <c r="Y110" s="3207"/>
      <c r="Z110" s="2512"/>
      <c r="AA110" s="98" t="s">
        <v>662</v>
      </c>
      <c r="AB110" s="98"/>
      <c r="AC110" s="98"/>
      <c r="AD110" s="2599">
        <f>'Part V-Revenues &amp; Expenses'!$P$146+'Part V-Revenues &amp; Expenses'!$P$147</f>
        <v>0</v>
      </c>
      <c r="AE110" s="2512"/>
      <c r="AF110" s="1492">
        <f>AD110*'DCA Underwriting Assumptions'!$Q$77</f>
        <v>0</v>
      </c>
      <c r="AG110" s="2512"/>
      <c r="AH110" s="2512"/>
      <c r="AI110" s="2512"/>
      <c r="AJ110" s="2512"/>
      <c r="AK110" s="2512"/>
      <c r="AL110" s="2512"/>
      <c r="AM110" s="2512"/>
      <c r="AN110" s="2512"/>
      <c r="AO110" s="2512"/>
      <c r="AP110" s="2512"/>
      <c r="AQ110" s="2512"/>
      <c r="AR110" s="2512"/>
      <c r="AS110" s="2512"/>
      <c r="AT110" s="2512"/>
      <c r="AU110" s="2512"/>
      <c r="AV110" s="2512"/>
      <c r="AW110" s="2512"/>
      <c r="AX110" s="2512"/>
      <c r="AY110" s="2512"/>
      <c r="AZ110" s="1315"/>
      <c r="BA110" s="1279">
        <v>110</v>
      </c>
    </row>
    <row r="111" spans="1:53" s="95" customFormat="1" ht="12.6" customHeight="1">
      <c r="A111" s="2512"/>
      <c r="B111" s="2512" t="s">
        <v>663</v>
      </c>
      <c r="C111" s="2512"/>
      <c r="D111" s="2512"/>
      <c r="E111" s="2512"/>
      <c r="F111" s="729">
        <f>ROUNDUP('DCA Underwriting Assumptions'!$Q$73,0)</f>
        <v>8000</v>
      </c>
      <c r="G111" s="3035">
        <v>8000</v>
      </c>
      <c r="H111" s="3036"/>
      <c r="I111" s="2512"/>
      <c r="J111" s="96"/>
      <c r="K111" s="96"/>
      <c r="L111" s="96"/>
      <c r="M111" s="96"/>
      <c r="N111" s="96"/>
      <c r="O111" s="96"/>
      <c r="P111" s="96"/>
      <c r="Q111" s="96"/>
      <c r="R111" s="2512"/>
      <c r="S111" s="3035">
        <v>8000</v>
      </c>
      <c r="T111" s="3036"/>
      <c r="U111" s="2512"/>
      <c r="V111" s="635"/>
      <c r="W111" s="3159"/>
      <c r="X111" s="3160"/>
      <c r="Y111" s="2512"/>
      <c r="Z111" s="2512"/>
      <c r="AA111" s="98"/>
      <c r="AB111" s="1138" t="s">
        <v>664</v>
      </c>
      <c r="AC111" s="98"/>
      <c r="AD111" s="2675">
        <f>SUM(AD108:AD110)</f>
        <v>0</v>
      </c>
      <c r="AE111" s="2512"/>
      <c r="AF111" s="2676">
        <f>SUM(AF108:AF110)</f>
        <v>0</v>
      </c>
      <c r="AG111" s="2512"/>
      <c r="AH111" s="2512"/>
      <c r="AI111" s="2512"/>
      <c r="AJ111" s="2512"/>
      <c r="AK111" s="2512"/>
      <c r="AL111" s="2512"/>
      <c r="AM111" s="2512"/>
      <c r="AN111" s="2512"/>
      <c r="AO111" s="2512"/>
      <c r="AP111" s="2512"/>
      <c r="AQ111" s="2512"/>
      <c r="AR111" s="2512"/>
      <c r="AS111" s="2512"/>
      <c r="AT111" s="2512"/>
      <c r="AU111" s="2512"/>
      <c r="AV111" s="2512"/>
      <c r="AW111" s="2512"/>
      <c r="AX111" s="2512"/>
      <c r="AY111" s="2512"/>
      <c r="AZ111" s="1315"/>
      <c r="BA111" s="1279">
        <v>111</v>
      </c>
    </row>
    <row r="112" spans="1:53" s="95" customFormat="1" ht="12.6" customHeight="1">
      <c r="A112" s="205" t="str">
        <f>IF(AND(G112&gt;0,OR(C112="",C112="&lt;Enter detailed description here; use Comments section if needed&gt;")),"X","")</f>
        <v/>
      </c>
      <c r="B112" s="98" t="s">
        <v>665</v>
      </c>
      <c r="C112" s="3204" t="s">
        <v>544</v>
      </c>
      <c r="D112" s="3204"/>
      <c r="E112" s="3204"/>
      <c r="F112" s="3205"/>
      <c r="G112" s="3035"/>
      <c r="H112" s="3036"/>
      <c r="I112" s="2512"/>
      <c r="J112" s="96"/>
      <c r="K112" s="96"/>
      <c r="L112" s="96"/>
      <c r="M112" s="96"/>
      <c r="N112" s="96"/>
      <c r="O112" s="96"/>
      <c r="P112" s="96"/>
      <c r="Q112" s="96"/>
      <c r="R112" s="2512"/>
      <c r="S112" s="3035"/>
      <c r="T112" s="3036"/>
      <c r="U112" s="204" t="str">
        <f>IF(AND(G112&gt;0,OR(C112="",C112="&lt;Enter detailed description here; use Comments section if needed&gt;")),"NO DESCRIPTION PROVIDED - please enter detailed description in Other box at left; use Comments section below if needed.","")</f>
        <v/>
      </c>
      <c r="V112" s="635"/>
      <c r="W112" s="3159"/>
      <c r="X112" s="3160"/>
      <c r="Y112" s="2512"/>
      <c r="Z112" s="2512"/>
      <c r="AA112" s="137" t="s">
        <v>666</v>
      </c>
      <c r="AB112" s="98"/>
      <c r="AC112" s="143"/>
      <c r="AD112" s="98"/>
      <c r="AE112" s="2512"/>
      <c r="AF112" s="1492"/>
      <c r="AG112" s="2512"/>
      <c r="AH112" s="2512"/>
      <c r="AI112" s="2512"/>
      <c r="AJ112" s="2512"/>
      <c r="AK112" s="2512"/>
      <c r="AL112" s="2512"/>
      <c r="AM112" s="2512"/>
      <c r="AN112" s="2512"/>
      <c r="AO112" s="2512"/>
      <c r="AP112" s="2512"/>
      <c r="AQ112" s="2512"/>
      <c r="AR112" s="2512"/>
      <c r="AS112" s="2512"/>
      <c r="AT112" s="2512"/>
      <c r="AU112" s="2512"/>
      <c r="AV112" s="2512"/>
      <c r="AW112" s="2512"/>
      <c r="AX112" s="2512"/>
      <c r="AY112" s="2512"/>
      <c r="AZ112" s="1315"/>
      <c r="BA112" s="1279">
        <v>112</v>
      </c>
    </row>
    <row r="113" spans="1:53" s="95" customFormat="1" ht="12.6" customHeight="1" thickBot="1">
      <c r="A113" s="205" t="str">
        <f>IF(AND(G113&gt;0,OR(C113="",C113="&lt;Enter detailed description here; use Comments section if needed&gt;")),"X","")</f>
        <v/>
      </c>
      <c r="B113" s="98" t="s">
        <v>665</v>
      </c>
      <c r="C113" s="3202" t="s">
        <v>544</v>
      </c>
      <c r="D113" s="3202"/>
      <c r="E113" s="3202"/>
      <c r="F113" s="3203"/>
      <c r="G113" s="3049"/>
      <c r="H113" s="3050"/>
      <c r="I113" s="2512"/>
      <c r="J113" s="96"/>
      <c r="K113" s="96"/>
      <c r="L113" s="96"/>
      <c r="M113" s="96"/>
      <c r="N113" s="96"/>
      <c r="O113" s="96"/>
      <c r="P113" s="96"/>
      <c r="Q113" s="96"/>
      <c r="R113" s="2512"/>
      <c r="S113" s="3049"/>
      <c r="T113" s="3050"/>
      <c r="U113" s="204" t="str">
        <f>IF(AND(G113&gt;0,OR(C113="",C113="&lt;Enter detailed description here; use Comments section if needed&gt;")),"NO DESCRIPTION PROVIDED - please enter detailed description in Other box at left; use Comments section below if needed.","")</f>
        <v/>
      </c>
      <c r="V113" s="635"/>
      <c r="W113" s="3163"/>
      <c r="X113" s="3164"/>
      <c r="Y113" s="2512"/>
      <c r="Z113" s="2512"/>
      <c r="AA113" s="98" t="s">
        <v>667</v>
      </c>
      <c r="AB113" s="98"/>
      <c r="AC113" s="143"/>
      <c r="AD113" s="2599">
        <f>'Part V-Revenues &amp; Expenses'!$P$131</f>
        <v>58</v>
      </c>
      <c r="AE113" s="2512"/>
      <c r="AF113" s="1492">
        <f>IF($AD$105="Income Averaging",AD113*'DCA Underwriting Assumptions'!$Q$75,AD113*'DCA Underwriting Assumptions'!$Q$74)</f>
        <v>46400</v>
      </c>
      <c r="AG113" s="2512"/>
      <c r="AH113" s="2512"/>
      <c r="AI113" s="2512"/>
      <c r="AJ113" s="2512"/>
      <c r="AK113" s="2512"/>
      <c r="AL113" s="2512"/>
      <c r="AM113" s="2512"/>
      <c r="AN113" s="2512"/>
      <c r="AO113" s="2512"/>
      <c r="AP113" s="2512"/>
      <c r="AQ113" s="2512"/>
      <c r="AR113" s="2512"/>
      <c r="AS113" s="2512"/>
      <c r="AT113" s="2512"/>
      <c r="AU113" s="2512"/>
      <c r="AV113" s="2512"/>
      <c r="AW113" s="2512"/>
      <c r="AX113" s="2512"/>
      <c r="AY113" s="2512"/>
      <c r="AZ113" s="1315" t="s">
        <v>668</v>
      </c>
      <c r="BA113" s="1279">
        <v>113</v>
      </c>
    </row>
    <row r="114" spans="1:53" s="95" customFormat="1" ht="12.6" customHeight="1" thickTop="1">
      <c r="A114" s="2512"/>
      <c r="B114" s="2512"/>
      <c r="C114" s="2512"/>
      <c r="D114" s="2512"/>
      <c r="E114" s="2512"/>
      <c r="F114" s="184" t="s">
        <v>548</v>
      </c>
      <c r="G114" s="3165">
        <f>SUM(G105:G113)</f>
        <v>173000</v>
      </c>
      <c r="H114" s="3166"/>
      <c r="I114" s="2512"/>
      <c r="J114" s="186"/>
      <c r="K114" s="186"/>
      <c r="L114" s="2529"/>
      <c r="M114" s="186"/>
      <c r="N114" s="186"/>
      <c r="O114" s="2512"/>
      <c r="P114" s="186"/>
      <c r="Q114" s="186"/>
      <c r="R114" s="2512"/>
      <c r="S114" s="3165">
        <f>SUM(S105:S113)</f>
        <v>173000</v>
      </c>
      <c r="T114" s="3166"/>
      <c r="U114" s="2512"/>
      <c r="V114" s="637">
        <f>SUM(V105:V113)</f>
        <v>0</v>
      </c>
      <c r="W114" s="3213"/>
      <c r="X114" s="3214"/>
      <c r="Y114" s="2512"/>
      <c r="Z114" s="2512"/>
      <c r="AA114" s="98" t="s">
        <v>669</v>
      </c>
      <c r="AB114" s="98"/>
      <c r="AC114" s="150"/>
      <c r="AD114" s="2599">
        <f>'Part V-Revenues &amp; Expenses'!$P$142+'Part V-Revenues &amp; Expenses'!$P$143</f>
        <v>0</v>
      </c>
      <c r="AE114" s="2512"/>
      <c r="AF114" s="1492">
        <f>IF($AD$105="Income Averaging",AD114*'DCA Underwriting Assumptions'!$Q$75,AD114*'DCA Underwriting Assumptions'!$Q$74)</f>
        <v>0</v>
      </c>
      <c r="AG114" s="2512"/>
      <c r="AH114" s="2512"/>
      <c r="AI114" s="2512"/>
      <c r="AJ114" s="2512"/>
      <c r="AK114" s="2512"/>
      <c r="AL114" s="2512"/>
      <c r="AM114" s="2512"/>
      <c r="AN114" s="2512"/>
      <c r="AO114" s="2512"/>
      <c r="AP114" s="2512"/>
      <c r="AQ114" s="2512"/>
      <c r="AR114" s="2512"/>
      <c r="AS114" s="2512"/>
      <c r="AT114" s="2512"/>
      <c r="AU114" s="2512"/>
      <c r="AV114" s="2512"/>
      <c r="AW114" s="2512"/>
      <c r="AX114" s="2512"/>
      <c r="AY114" s="2512"/>
      <c r="AZ114" s="1315" t="s">
        <v>670</v>
      </c>
      <c r="BA114" s="1279">
        <v>114</v>
      </c>
    </row>
    <row r="115" spans="1:53" s="95" customFormat="1" ht="13.35" customHeight="1">
      <c r="A115" s="2512"/>
      <c r="B115" s="151" t="s">
        <v>671</v>
      </c>
      <c r="C115" s="2512"/>
      <c r="D115" s="2512"/>
      <c r="E115" s="2512"/>
      <c r="F115" s="2512"/>
      <c r="G115" s="2512"/>
      <c r="H115" s="2512"/>
      <c r="I115" s="2512"/>
      <c r="J115" s="186"/>
      <c r="K115" s="186"/>
      <c r="L115" s="2512"/>
      <c r="M115" s="186"/>
      <c r="N115" s="186"/>
      <c r="O115" s="185" t="str">
        <f>B115</f>
        <v>EQUITY COSTS</v>
      </c>
      <c r="P115" s="186"/>
      <c r="Q115" s="186"/>
      <c r="R115" s="2512"/>
      <c r="S115" s="186"/>
      <c r="T115" s="186"/>
      <c r="U115" s="2512"/>
      <c r="V115" s="638"/>
      <c r="W115" s="2512" t="str">
        <f>B115</f>
        <v>EQUITY COSTS</v>
      </c>
      <c r="X115" s="2512"/>
      <c r="Y115" s="2512"/>
      <c r="Z115" s="2512"/>
      <c r="AA115" s="98"/>
      <c r="AB115" s="1138" t="s">
        <v>664</v>
      </c>
      <c r="AC115" s="98"/>
      <c r="AD115" s="2675">
        <f>SUM(AD113:AD114)</f>
        <v>58</v>
      </c>
      <c r="AE115" s="2512"/>
      <c r="AF115" s="2676">
        <f>SUM(AF113:AF114)</f>
        <v>46400</v>
      </c>
      <c r="AG115" s="2512"/>
      <c r="AH115" s="2512"/>
      <c r="AI115" s="2512"/>
      <c r="AJ115" s="2512"/>
      <c r="AK115" s="2512"/>
      <c r="AL115" s="2512"/>
      <c r="AM115" s="2512"/>
      <c r="AN115" s="2512"/>
      <c r="AO115" s="2512"/>
      <c r="AP115" s="2512"/>
      <c r="AQ115" s="2512"/>
      <c r="AR115" s="2512"/>
      <c r="AS115" s="2512"/>
      <c r="AT115" s="2512"/>
      <c r="AU115" s="2512"/>
      <c r="AV115" s="2512"/>
      <c r="AW115" s="2512"/>
      <c r="AX115" s="2512"/>
      <c r="AY115" s="2512"/>
      <c r="AZ115" s="1292"/>
      <c r="BA115" s="1279">
        <v>115</v>
      </c>
    </row>
    <row r="116" spans="1:53" s="95" customFormat="1" ht="12.6" customHeight="1">
      <c r="A116" s="2512"/>
      <c r="B116" s="2512" t="s">
        <v>672</v>
      </c>
      <c r="C116" s="2512"/>
      <c r="D116" s="2512"/>
      <c r="E116" s="2512"/>
      <c r="F116" s="2512"/>
      <c r="G116" s="3060">
        <v>12500</v>
      </c>
      <c r="H116" s="3061"/>
      <c r="I116" s="2512"/>
      <c r="J116" s="3206"/>
      <c r="K116" s="3206"/>
      <c r="L116" s="2529"/>
      <c r="M116" s="3206"/>
      <c r="N116" s="3206"/>
      <c r="O116" s="2512"/>
      <c r="P116" s="3206"/>
      <c r="Q116" s="3206"/>
      <c r="R116" s="2512"/>
      <c r="S116" s="3060">
        <v>12500</v>
      </c>
      <c r="T116" s="3061"/>
      <c r="U116" s="2512"/>
      <c r="V116" s="635"/>
      <c r="W116" s="3159"/>
      <c r="X116" s="3160"/>
      <c r="Y116" s="2512"/>
      <c r="Z116" s="2512"/>
      <c r="AA116" s="2512"/>
      <c r="AB116" s="2512"/>
      <c r="AC116" s="2512"/>
      <c r="AD116" s="2512"/>
      <c r="AE116" s="2512"/>
      <c r="AF116" s="2512"/>
      <c r="AG116" s="2512"/>
      <c r="AH116" s="2512"/>
      <c r="AI116" s="2512"/>
      <c r="AJ116" s="2512"/>
      <c r="AK116" s="2512"/>
      <c r="AL116" s="2512"/>
      <c r="AM116" s="2512"/>
      <c r="AN116" s="2512"/>
      <c r="AO116" s="2512"/>
      <c r="AP116" s="2512"/>
      <c r="AQ116" s="2512"/>
      <c r="AR116" s="2512"/>
      <c r="AS116" s="2512"/>
      <c r="AT116" s="2512"/>
      <c r="AU116" s="2512"/>
      <c r="AV116" s="2512"/>
      <c r="AW116" s="2512"/>
      <c r="AX116" s="2512"/>
      <c r="AY116" s="2512"/>
      <c r="AZ116" s="1292"/>
      <c r="BA116" s="1279">
        <v>116</v>
      </c>
    </row>
    <row r="117" spans="1:53" s="95" customFormat="1" ht="12.6" customHeight="1">
      <c r="A117" s="2512"/>
      <c r="B117" s="2512" t="s">
        <v>673</v>
      </c>
      <c r="C117" s="2512"/>
      <c r="D117" s="2512"/>
      <c r="E117" s="2512"/>
      <c r="F117" s="2512"/>
      <c r="G117" s="3035"/>
      <c r="H117" s="3036"/>
      <c r="I117" s="2512"/>
      <c r="J117" s="3206"/>
      <c r="K117" s="3206"/>
      <c r="L117" s="2529"/>
      <c r="M117" s="3206"/>
      <c r="N117" s="3206"/>
      <c r="O117" s="2512"/>
      <c r="P117" s="3206"/>
      <c r="Q117" s="3206"/>
      <c r="R117" s="2512"/>
      <c r="S117" s="3035"/>
      <c r="T117" s="3036"/>
      <c r="U117" s="2512"/>
      <c r="V117" s="635"/>
      <c r="W117" s="3159"/>
      <c r="X117" s="3160"/>
      <c r="Y117" s="2512"/>
      <c r="Z117" s="2512"/>
      <c r="AA117" s="2512"/>
      <c r="AB117" s="2512"/>
      <c r="AC117" s="2512"/>
      <c r="AD117" s="2512"/>
      <c r="AE117" s="2512"/>
      <c r="AF117" s="2512"/>
      <c r="AG117" s="2512"/>
      <c r="AH117" s="2512"/>
      <c r="AI117" s="2512"/>
      <c r="AJ117" s="2512"/>
      <c r="AK117" s="2512"/>
      <c r="AL117" s="2512"/>
      <c r="AM117" s="2512"/>
      <c r="AN117" s="2512"/>
      <c r="AO117" s="2512"/>
      <c r="AP117" s="2512"/>
      <c r="AQ117" s="2512"/>
      <c r="AR117" s="2512"/>
      <c r="AS117" s="2512"/>
      <c r="AT117" s="2512"/>
      <c r="AU117" s="2512"/>
      <c r="AV117" s="2512"/>
      <c r="AW117" s="2512"/>
      <c r="AX117" s="2512"/>
      <c r="AY117" s="2512"/>
      <c r="AZ117" s="1292"/>
      <c r="BA117" s="1279">
        <v>117</v>
      </c>
    </row>
    <row r="118" spans="1:53" s="95" customFormat="1" ht="12.6" customHeight="1">
      <c r="A118" s="2512"/>
      <c r="B118" s="2512" t="s">
        <v>674</v>
      </c>
      <c r="C118" s="2512"/>
      <c r="D118" s="2512"/>
      <c r="E118" s="2512"/>
      <c r="F118" s="2512"/>
      <c r="G118" s="3035">
        <v>12500</v>
      </c>
      <c r="H118" s="3036"/>
      <c r="I118" s="2512"/>
      <c r="J118" s="3206"/>
      <c r="K118" s="3206"/>
      <c r="L118" s="2529"/>
      <c r="M118" s="3206"/>
      <c r="N118" s="3206"/>
      <c r="O118" s="2512"/>
      <c r="P118" s="3206"/>
      <c r="Q118" s="3206"/>
      <c r="R118" s="2512"/>
      <c r="S118" s="3035">
        <v>12500</v>
      </c>
      <c r="T118" s="3036"/>
      <c r="U118" s="2512"/>
      <c r="V118" s="635"/>
      <c r="W118" s="3159"/>
      <c r="X118" s="3160"/>
      <c r="Y118" s="2512"/>
      <c r="Z118" s="2512"/>
      <c r="AA118" s="2512"/>
      <c r="AB118" s="2512"/>
      <c r="AC118" s="2512"/>
      <c r="AD118" s="2512"/>
      <c r="AE118" s="2512"/>
      <c r="AF118" s="2512"/>
      <c r="AG118" s="2512"/>
      <c r="AH118" s="2512"/>
      <c r="AI118" s="2512"/>
      <c r="AJ118" s="2512"/>
      <c r="AK118" s="2512"/>
      <c r="AL118" s="2512"/>
      <c r="AM118" s="2512"/>
      <c r="AN118" s="2512"/>
      <c r="AO118" s="2512"/>
      <c r="AP118" s="2512"/>
      <c r="AQ118" s="2512"/>
      <c r="AR118" s="2512"/>
      <c r="AS118" s="2512"/>
      <c r="AT118" s="2512"/>
      <c r="AU118" s="2512"/>
      <c r="AV118" s="2512"/>
      <c r="AW118" s="2512"/>
      <c r="AX118" s="2512"/>
      <c r="AY118" s="2512"/>
      <c r="AZ118" s="1292"/>
      <c r="BA118" s="1279">
        <v>118</v>
      </c>
    </row>
    <row r="119" spans="1:53" s="95" customFormat="1" ht="12.6" customHeight="1" thickBot="1">
      <c r="A119" s="205" t="str">
        <f>IF(AND(G119&gt;0,OR(C119="",C119="&lt;Enter detailed description here; use Comments section if needed&gt;")),"X","")</f>
        <v/>
      </c>
      <c r="B119" s="98" t="s">
        <v>665</v>
      </c>
      <c r="C119" s="3161" t="s">
        <v>544</v>
      </c>
      <c r="D119" s="3161"/>
      <c r="E119" s="3161"/>
      <c r="F119" s="3162"/>
      <c r="G119" s="3049"/>
      <c r="H119" s="3050"/>
      <c r="I119" s="2512"/>
      <c r="J119" s="3206"/>
      <c r="K119" s="3206"/>
      <c r="L119" s="2529"/>
      <c r="M119" s="3206"/>
      <c r="N119" s="3206"/>
      <c r="O119" s="2512"/>
      <c r="P119" s="3206"/>
      <c r="Q119" s="3206"/>
      <c r="R119" s="2512"/>
      <c r="S119" s="3049"/>
      <c r="T119" s="3050"/>
      <c r="U119" s="204" t="str">
        <f>IF(AND(G119&gt;0,OR(C119="",C119="&lt;Enter detailed description here; use Comments section if needed&gt;")),"NO DESCRIPTION PROVIDED - please enter detailed description in Other box at left; use Comments section below if needed.","")</f>
        <v/>
      </c>
      <c r="V119" s="635"/>
      <c r="W119" s="3163"/>
      <c r="X119" s="3164"/>
      <c r="Y119" s="2512"/>
      <c r="Z119" s="2512"/>
      <c r="AA119" s="2512"/>
      <c r="AB119" s="2512"/>
      <c r="AC119" s="2512"/>
      <c r="AD119" s="2512"/>
      <c r="AE119" s="2512"/>
      <c r="AF119" s="2512"/>
      <c r="AG119" s="2512"/>
      <c r="AH119" s="2512"/>
      <c r="AI119" s="2512"/>
      <c r="AJ119" s="2512"/>
      <c r="AK119" s="2512"/>
      <c r="AL119" s="2512"/>
      <c r="AM119" s="2512"/>
      <c r="AN119" s="2512"/>
      <c r="AO119" s="2512"/>
      <c r="AP119" s="2512"/>
      <c r="AQ119" s="2512"/>
      <c r="AR119" s="2512"/>
      <c r="AS119" s="2512"/>
      <c r="AT119" s="2512"/>
      <c r="AU119" s="2512"/>
      <c r="AV119" s="2512"/>
      <c r="AW119" s="2512"/>
      <c r="AX119" s="2512"/>
      <c r="AY119" s="2512"/>
      <c r="AZ119" s="1292"/>
      <c r="BA119" s="1279">
        <v>119</v>
      </c>
    </row>
    <row r="120" spans="1:53" s="95" customFormat="1" ht="12.6" customHeight="1" thickTop="1">
      <c r="A120" s="2512"/>
      <c r="B120" s="2512"/>
      <c r="C120" s="2512"/>
      <c r="D120" s="2512"/>
      <c r="E120" s="2512"/>
      <c r="F120" s="184" t="s">
        <v>548</v>
      </c>
      <c r="G120" s="3165">
        <f>SUM(G116:G119)</f>
        <v>25000</v>
      </c>
      <c r="H120" s="3166"/>
      <c r="I120" s="2512"/>
      <c r="J120" s="3206"/>
      <c r="K120" s="3206"/>
      <c r="L120" s="2529"/>
      <c r="M120" s="3206"/>
      <c r="N120" s="3206"/>
      <c r="O120" s="2512"/>
      <c r="P120" s="3206"/>
      <c r="Q120" s="3206"/>
      <c r="R120" s="2512"/>
      <c r="S120" s="3165">
        <f>SUM(S116:S119)</f>
        <v>25000</v>
      </c>
      <c r="T120" s="3166"/>
      <c r="U120" s="2512"/>
      <c r="V120" s="637">
        <f>SUM(V116:V119)</f>
        <v>0</v>
      </c>
      <c r="W120" s="3167"/>
      <c r="X120" s="3168"/>
      <c r="Y120" s="2512"/>
      <c r="Z120" s="2512"/>
      <c r="AA120" s="2512"/>
      <c r="AB120" s="2512"/>
      <c r="AC120" s="3215" t="s">
        <v>675</v>
      </c>
      <c r="AD120" s="3215" t="s">
        <v>676</v>
      </c>
      <c r="AE120" s="3217" t="s">
        <v>677</v>
      </c>
      <c r="AF120" s="3218" t="s">
        <v>678</v>
      </c>
      <c r="AG120" s="3217" t="s">
        <v>679</v>
      </c>
      <c r="AH120" s="3220" t="s">
        <v>680</v>
      </c>
      <c r="AI120" s="3220"/>
      <c r="AJ120" s="2512"/>
      <c r="AK120" s="2512"/>
      <c r="AL120" s="2512"/>
      <c r="AM120" s="2512"/>
      <c r="AN120" s="2512"/>
      <c r="AO120" s="2512"/>
      <c r="AP120" s="2512"/>
      <c r="AQ120" s="2512"/>
      <c r="AR120" s="2512"/>
      <c r="AS120" s="2512"/>
      <c r="AT120" s="2512"/>
      <c r="AU120" s="2512"/>
      <c r="AV120" s="2512"/>
      <c r="AW120" s="2512"/>
      <c r="AX120" s="2512"/>
      <c r="AY120" s="2512"/>
      <c r="AZ120" s="1292"/>
      <c r="BA120" s="1279">
        <v>120</v>
      </c>
    </row>
    <row r="121" spans="1:53" s="95" customFormat="1" ht="13.35" customHeight="1">
      <c r="A121" s="2512"/>
      <c r="B121" s="151" t="s">
        <v>681</v>
      </c>
      <c r="C121" s="2512"/>
      <c r="D121" s="2512"/>
      <c r="E121" s="350" t="s">
        <v>646</v>
      </c>
      <c r="F121" s="70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512"/>
      <c r="H121" s="2512"/>
      <c r="I121" s="2512"/>
      <c r="J121" s="186"/>
      <c r="K121" s="183"/>
      <c r="L121" s="2512"/>
      <c r="M121" s="186"/>
      <c r="N121" s="183"/>
      <c r="O121" s="185" t="str">
        <f>B121</f>
        <v>DEVELOPER'S FEE</v>
      </c>
      <c r="P121" s="186"/>
      <c r="Q121" s="183"/>
      <c r="R121" s="2512"/>
      <c r="S121" s="186"/>
      <c r="T121" s="183"/>
      <c r="U121" s="2512"/>
      <c r="V121" s="638"/>
      <c r="W121" s="2512" t="str">
        <f>B121</f>
        <v>DEVELOPER'S FEE</v>
      </c>
      <c r="X121" s="2512"/>
      <c r="Y121" s="941" t="s">
        <v>682</v>
      </c>
      <c r="Z121" s="146"/>
      <c r="AA121" s="143" t="s">
        <v>683</v>
      </c>
      <c r="AB121" s="143" t="s">
        <v>684</v>
      </c>
      <c r="AC121" s="3216"/>
      <c r="AD121" s="3216"/>
      <c r="AE121" s="2964"/>
      <c r="AF121" s="3219"/>
      <c r="AG121" s="3217"/>
      <c r="AH121" s="3220"/>
      <c r="AI121" s="3220"/>
      <c r="AJ121" s="2512"/>
      <c r="AK121" s="25"/>
      <c r="AL121" s="2512"/>
      <c r="AM121" s="2512"/>
      <c r="AN121" s="2512"/>
      <c r="AO121" s="2512"/>
      <c r="AP121" s="2512"/>
      <c r="AQ121" s="2512"/>
      <c r="AR121" s="2512"/>
      <c r="AS121" s="2512"/>
      <c r="AT121" s="2512"/>
      <c r="AU121" s="2512"/>
      <c r="AV121" s="2512"/>
      <c r="AW121" s="2512"/>
      <c r="AX121" s="2512"/>
      <c r="AY121" s="2512"/>
      <c r="AZ121" s="1292" t="s">
        <v>685</v>
      </c>
      <c r="BA121" s="1279">
        <v>121</v>
      </c>
    </row>
    <row r="122" spans="1:53" s="95" customFormat="1" ht="12.6" customHeight="1">
      <c r="A122" s="2512"/>
      <c r="B122" s="2512" t="s">
        <v>686</v>
      </c>
      <c r="C122" s="2512"/>
      <c r="D122" s="2512"/>
      <c r="E122" s="2512"/>
      <c r="F122" s="223">
        <f>IF($G$127=0,0,G122/$G$127)</f>
        <v>0.5</v>
      </c>
      <c r="G122" s="3232">
        <v>775500</v>
      </c>
      <c r="H122" s="3232"/>
      <c r="I122" s="2512"/>
      <c r="J122" s="3181">
        <v>775500</v>
      </c>
      <c r="K122" s="3182"/>
      <c r="L122" s="185"/>
      <c r="M122" s="3181"/>
      <c r="N122" s="3182"/>
      <c r="O122" s="2512"/>
      <c r="P122" s="3181"/>
      <c r="Q122" s="3182"/>
      <c r="R122" s="2512"/>
      <c r="S122" s="3181"/>
      <c r="T122" s="3182"/>
      <c r="U122" s="2512"/>
      <c r="V122" s="635"/>
      <c r="W122" s="3159"/>
      <c r="X122" s="3160"/>
      <c r="Y122" s="77"/>
      <c r="Z122" s="949">
        <v>0.09</v>
      </c>
      <c r="AA122" s="946">
        <f>'DCA Underwriting Assumptions'!$J$82</f>
        <v>1</v>
      </c>
      <c r="AB122" s="946">
        <f>'DCA Underwriting Assumptions'!$K$82</f>
        <v>50</v>
      </c>
      <c r="AC122" s="2633">
        <f>'DCA Underwriting Assumptions'!$Q$82</f>
        <v>27500</v>
      </c>
      <c r="AD122" s="2633">
        <f>AB122*AC122</f>
        <v>1375000</v>
      </c>
      <c r="AE122" s="2633">
        <f>IF('Part V-Revenues &amp; Expenses'!$P$67&lt;AA123,'Part V-Revenues &amp; Expenses'!$P$67*'Part III-A-Uses of Funds'!AC122,AB122*AC122)</f>
        <v>1375000</v>
      </c>
      <c r="AF122" s="3221">
        <f>SUM(AE122:AE124)</f>
        <v>1551000</v>
      </c>
      <c r="AG122" s="3224">
        <f>'DCA Underwriting Assumptions'!$Q$89</f>
        <v>2285000</v>
      </c>
      <c r="AH122" s="3227">
        <f>MIN(AF122,AG122)</f>
        <v>1551000</v>
      </c>
      <c r="AI122" s="4710"/>
      <c r="AJ122" s="2512"/>
      <c r="AK122" s="2512"/>
      <c r="AL122" s="2512"/>
      <c r="AM122" s="2512"/>
      <c r="AN122" s="2512"/>
      <c r="AO122" s="2512"/>
      <c r="AP122" s="2512"/>
      <c r="AQ122" s="2512"/>
      <c r="AR122" s="2512"/>
      <c r="AS122" s="2512"/>
      <c r="AT122" s="2512"/>
      <c r="AU122" s="2512"/>
      <c r="AV122" s="2512"/>
      <c r="AW122" s="2512"/>
      <c r="AX122" s="2512"/>
      <c r="AY122" s="2512"/>
      <c r="AZ122" s="1292"/>
      <c r="BA122" s="1279">
        <v>122</v>
      </c>
    </row>
    <row r="123" spans="1:53" s="95" customFormat="1" ht="12.6" customHeight="1">
      <c r="A123" s="2512"/>
      <c r="B123" s="2512" t="s">
        <v>687</v>
      </c>
      <c r="C123" s="2512"/>
      <c r="D123" s="2512"/>
      <c r="E123" s="2512"/>
      <c r="F123" s="709">
        <v>465300</v>
      </c>
      <c r="G123" s="150" t="s">
        <v>688</v>
      </c>
      <c r="H123" s="2512"/>
      <c r="I123" s="2512"/>
      <c r="J123" s="2512"/>
      <c r="K123" s="2512"/>
      <c r="L123" s="2512"/>
      <c r="M123" s="2512"/>
      <c r="N123" s="2512"/>
      <c r="O123" s="2512"/>
      <c r="P123" s="2512"/>
      <c r="Q123" s="2512"/>
      <c r="R123" s="2512"/>
      <c r="S123" s="2512"/>
      <c r="T123" s="2512"/>
      <c r="U123" s="2512"/>
      <c r="V123" s="635"/>
      <c r="W123" s="3159"/>
      <c r="X123" s="3160"/>
      <c r="Y123" s="77"/>
      <c r="Z123" s="58"/>
      <c r="AA123" s="947">
        <f>'DCA Underwriting Assumptions'!$J$83</f>
        <v>51</v>
      </c>
      <c r="AB123" s="947">
        <f>'DCA Underwriting Assumptions'!$K$83</f>
        <v>70</v>
      </c>
      <c r="AC123" s="2634">
        <f>'DCA Underwriting Assumptions'!$Q$83</f>
        <v>22000</v>
      </c>
      <c r="AD123" s="2634">
        <f>(AB123-AB122)*AC123</f>
        <v>440000</v>
      </c>
      <c r="AE123" s="2634">
        <f>IF(AND('Part V-Revenues &amp; Expenses'!$P$67&gt;AB122,'Part V-Revenues &amp; Expenses'!$P$67&lt;AA124),('Part V-Revenues &amp; Expenses'!$P$67-AB122)*'Part III-A-Uses of Funds'!AC123,IF(AND('Part V-Revenues &amp; Expenses'!$P$67&gt;AB122,'Part V-Revenues &amp; Expenses'!$P$67&gt;AB123),(AB123-AB122)*'Part III-A-Uses of Funds'!AC123,0))</f>
        <v>176000</v>
      </c>
      <c r="AF123" s="3222"/>
      <c r="AG123" s="3225"/>
      <c r="AH123" s="3228"/>
      <c r="AI123" s="3229"/>
      <c r="AJ123" s="2512"/>
      <c r="AK123" s="2512"/>
      <c r="AL123" s="2512"/>
      <c r="AM123" s="2512"/>
      <c r="AN123" s="2512"/>
      <c r="AO123" s="2512"/>
      <c r="AP123" s="2512"/>
      <c r="AQ123" s="2512"/>
      <c r="AR123" s="2512"/>
      <c r="AS123" s="2512"/>
      <c r="AT123" s="2512"/>
      <c r="AU123" s="2512"/>
      <c r="AV123" s="2512"/>
      <c r="AW123" s="2512"/>
      <c r="AX123" s="2512"/>
      <c r="AY123" s="2512"/>
      <c r="AZ123" s="1292"/>
      <c r="BA123" s="1279">
        <v>123</v>
      </c>
    </row>
    <row r="124" spans="1:53" s="95" customFormat="1" ht="12.6" customHeight="1">
      <c r="A124" s="2512"/>
      <c r="B124" s="2512" t="s">
        <v>689</v>
      </c>
      <c r="C124" s="2512"/>
      <c r="D124" s="2512"/>
      <c r="E124" s="2512"/>
      <c r="F124" s="223">
        <f>IF($G$127=0,0,G124/$G$127)</f>
        <v>0</v>
      </c>
      <c r="G124" s="3060"/>
      <c r="H124" s="3061"/>
      <c r="I124" s="2512"/>
      <c r="J124" s="3060"/>
      <c r="K124" s="3061"/>
      <c r="L124" s="2529"/>
      <c r="M124" s="3060"/>
      <c r="N124" s="3061"/>
      <c r="O124" s="2512"/>
      <c r="P124" s="3060"/>
      <c r="Q124" s="3061"/>
      <c r="R124" s="2512"/>
      <c r="S124" s="3060"/>
      <c r="T124" s="3061"/>
      <c r="U124" s="2512"/>
      <c r="V124" s="635"/>
      <c r="W124" s="3159"/>
      <c r="X124" s="3160"/>
      <c r="Y124" s="77"/>
      <c r="Z124" s="58"/>
      <c r="AA124" s="948">
        <f>'DCA Underwriting Assumptions'!$J$84</f>
        <v>71</v>
      </c>
      <c r="AB124" s="952"/>
      <c r="AC124" s="2635">
        <f>'DCA Underwriting Assumptions'!$Q$84</f>
        <v>16500</v>
      </c>
      <c r="AD124" s="2635">
        <f>AG122-AD123-AD122</f>
        <v>470000</v>
      </c>
      <c r="AE124" s="2635">
        <f>MIN(AD124,IF('Part V-Revenues &amp; Expenses'!$P$67&gt;AB123,('Part V-Revenues &amp; Expenses'!$P$67-AB123)*AC124,0))</f>
        <v>0</v>
      </c>
      <c r="AF124" s="3223"/>
      <c r="AG124" s="3226"/>
      <c r="AH124" s="3230"/>
      <c r="AI124" s="3231"/>
      <c r="AJ124" s="2512"/>
      <c r="AK124" s="2512"/>
      <c r="AL124" s="2512"/>
      <c r="AM124" s="2512"/>
      <c r="AN124" s="2512"/>
      <c r="AO124" s="2512"/>
      <c r="AP124" s="2512"/>
      <c r="AQ124" s="2512"/>
      <c r="AR124" s="2512"/>
      <c r="AS124" s="2512"/>
      <c r="AT124" s="2512"/>
      <c r="AU124" s="2512"/>
      <c r="AV124" s="2512"/>
      <c r="AW124" s="2512"/>
      <c r="AX124" s="2512"/>
      <c r="AY124" s="2512"/>
      <c r="AZ124" s="1292"/>
      <c r="BA124" s="1279">
        <v>124</v>
      </c>
    </row>
    <row r="125" spans="1:53" s="95" customFormat="1" ht="12.6" customHeight="1">
      <c r="A125" s="2512"/>
      <c r="B125" s="2512" t="s">
        <v>690</v>
      </c>
      <c r="C125" s="2512"/>
      <c r="D125" s="2512"/>
      <c r="E125" s="2512"/>
      <c r="F125" s="223">
        <f>IF($G$127=0,0,G125/$G$127)</f>
        <v>0</v>
      </c>
      <c r="G125" s="3035"/>
      <c r="H125" s="3036"/>
      <c r="I125" s="2512"/>
      <c r="J125" s="3035"/>
      <c r="K125" s="3036"/>
      <c r="L125" s="2529"/>
      <c r="M125" s="3035"/>
      <c r="N125" s="3036"/>
      <c r="O125" s="2512"/>
      <c r="P125" s="3035"/>
      <c r="Q125" s="3036"/>
      <c r="R125" s="2512"/>
      <c r="S125" s="3035"/>
      <c r="T125" s="3036"/>
      <c r="U125" s="2512"/>
      <c r="V125" s="635"/>
      <c r="W125" s="3159"/>
      <c r="X125" s="3160"/>
      <c r="Y125"/>
      <c r="Z125" s="949">
        <v>0.04</v>
      </c>
      <c r="AA125" s="951">
        <f>'DCA Underwriting Assumptions'!$J$85</f>
        <v>1</v>
      </c>
      <c r="AB125" s="951">
        <f>'DCA Underwriting Assumptions'!$K$85</f>
        <v>50</v>
      </c>
      <c r="AC125" s="2633">
        <f>'DCA Underwriting Assumptions'!$Q$85</f>
        <v>27500</v>
      </c>
      <c r="AD125" s="2633">
        <f>AB125*AC125</f>
        <v>1375000</v>
      </c>
      <c r="AE125" s="2633">
        <f>IF('Part V-Revenues &amp; Expenses'!$P$67&lt;AA126,'Part V-Revenues &amp; Expenses'!$P$67*'Part III-A-Uses of Funds'!AC125,AB125*AC125)</f>
        <v>1375000</v>
      </c>
      <c r="AF125" s="3221">
        <f>SUM(AE125:AE127)</f>
        <v>1551000</v>
      </c>
      <c r="AG125" s="3221">
        <f>'DCA Underwriting Assumptions'!$Q$90</f>
        <v>4000000</v>
      </c>
      <c r="AH125" s="3227">
        <f>MIN(AF125,AG125)</f>
        <v>1551000</v>
      </c>
      <c r="AI125" s="4710"/>
      <c r="AJ125" s="2512"/>
      <c r="AK125" s="2512"/>
      <c r="AL125" s="2512"/>
      <c r="AM125" s="2512"/>
      <c r="AN125" s="2512"/>
      <c r="AO125" s="2512"/>
      <c r="AP125" s="2512"/>
      <c r="AQ125" s="2512"/>
      <c r="AR125" s="2512"/>
      <c r="AS125" s="2512"/>
      <c r="AT125" s="2512"/>
      <c r="AU125" s="2512"/>
      <c r="AV125" s="2512"/>
      <c r="AW125" s="2512"/>
      <c r="AX125" s="2512"/>
      <c r="AY125" s="2512"/>
      <c r="AZ125" s="1292"/>
      <c r="BA125" s="1279">
        <v>125</v>
      </c>
    </row>
    <row r="126" spans="1:53" s="95" customFormat="1" ht="12.6" customHeight="1" thickBot="1">
      <c r="A126" s="2512"/>
      <c r="B126" s="2512" t="s">
        <v>691</v>
      </c>
      <c r="C126" s="2512"/>
      <c r="D126" s="2512"/>
      <c r="E126" s="2512"/>
      <c r="F126" s="223">
        <f>IF($G$127=0,0,G126/$G$127)</f>
        <v>0.5</v>
      </c>
      <c r="G126" s="3049">
        <v>775500</v>
      </c>
      <c r="H126" s="3050"/>
      <c r="I126" s="2512"/>
      <c r="J126" s="3049">
        <v>775500</v>
      </c>
      <c r="K126" s="3050"/>
      <c r="L126" s="2529"/>
      <c r="M126" s="3049"/>
      <c r="N126" s="3050"/>
      <c r="O126" s="2512"/>
      <c r="P126" s="3049"/>
      <c r="Q126" s="3050"/>
      <c r="R126" s="2512"/>
      <c r="S126" s="3049"/>
      <c r="T126" s="3050"/>
      <c r="U126" s="2512"/>
      <c r="V126" s="635"/>
      <c r="W126" s="3163"/>
      <c r="X126" s="3164"/>
      <c r="Y126"/>
      <c r="Z126" s="34"/>
      <c r="AA126" s="947">
        <f>'DCA Underwriting Assumptions'!$J$86</f>
        <v>51</v>
      </c>
      <c r="AB126" s="947">
        <f>'DCA Underwriting Assumptions'!$K$86</f>
        <v>70</v>
      </c>
      <c r="AC126" s="2634">
        <f>'DCA Underwriting Assumptions'!$Q$86</f>
        <v>22000</v>
      </c>
      <c r="AD126" s="2634">
        <f>(AB126-AB125)*AC126</f>
        <v>440000</v>
      </c>
      <c r="AE126" s="2634">
        <f>IF(AND('Part V-Revenues &amp; Expenses'!$P$67&gt;AB125,'Part V-Revenues &amp; Expenses'!$P$67&lt;AA127),('Part V-Revenues &amp; Expenses'!$P$67-AB125)*'Part III-A-Uses of Funds'!AC126,IF(AND('Part V-Revenues &amp; Expenses'!$P$67&gt;AB125,'Part V-Revenues &amp; Expenses'!$P$67&gt;AB126),(AB126-AB125)*'Part III-A-Uses of Funds'!AC126,0))</f>
        <v>176000</v>
      </c>
      <c r="AF126" s="3222"/>
      <c r="AG126" s="3222"/>
      <c r="AH126" s="3228"/>
      <c r="AI126" s="3229"/>
      <c r="AJ126" s="2512"/>
      <c r="AK126" s="2512"/>
      <c r="AL126" s="2512"/>
      <c r="AM126" s="2512"/>
      <c r="AN126" s="2512"/>
      <c r="AO126" s="2512"/>
      <c r="AP126" s="2512"/>
      <c r="AQ126" s="2512"/>
      <c r="AR126" s="2512"/>
      <c r="AS126" s="2512"/>
      <c r="AT126" s="2512"/>
      <c r="AU126" s="2512"/>
      <c r="AV126" s="2512"/>
      <c r="AW126" s="2512"/>
      <c r="AX126" s="2512"/>
      <c r="AY126" s="2512"/>
      <c r="AZ126" s="1315"/>
      <c r="BA126" s="1279">
        <v>126</v>
      </c>
    </row>
    <row r="127" spans="1:53" s="95" customFormat="1" ht="12.6" customHeight="1" thickTop="1">
      <c r="A127" s="953" t="str">
        <f>IF(G127&gt;E127,"DF over limit!  Round down/Enter nbr.","")</f>
        <v/>
      </c>
      <c r="B127" s="1508"/>
      <c r="C127" s="2512"/>
      <c r="D127" s="350" t="s">
        <v>692</v>
      </c>
      <c r="E127" s="1509">
        <f>IF(AF122+AF125=0,"Fill in Rent Chart!",IF(F121="9%",AH122,IF(F121="4%",AH125,"Select App Type!")))</f>
        <v>1551000</v>
      </c>
      <c r="F127" s="184" t="s">
        <v>548</v>
      </c>
      <c r="G127" s="3165">
        <f>SUM(G122:G126)</f>
        <v>1551000</v>
      </c>
      <c r="H127" s="3166"/>
      <c r="I127" s="2512"/>
      <c r="J127" s="3165">
        <f>SUM(J122:J126)</f>
        <v>1551000</v>
      </c>
      <c r="K127" s="3166"/>
      <c r="L127" s="2529"/>
      <c r="M127" s="3165">
        <f>SUM(M122:M126)</f>
        <v>0</v>
      </c>
      <c r="N127" s="3166"/>
      <c r="O127" s="2512"/>
      <c r="P127" s="3165">
        <f>SUM(P122:P126)</f>
        <v>0</v>
      </c>
      <c r="Q127" s="3166"/>
      <c r="R127" s="2512"/>
      <c r="S127" s="3165">
        <f>SUM(S122:S126)</f>
        <v>0</v>
      </c>
      <c r="T127" s="3166"/>
      <c r="U127" s="2512"/>
      <c r="V127" s="637">
        <f>SUM(V122:V126)</f>
        <v>0</v>
      </c>
      <c r="W127" s="3167"/>
      <c r="X127" s="3168"/>
      <c r="Y127"/>
      <c r="Z127" s="34"/>
      <c r="AA127" s="948">
        <f>'DCA Underwriting Assumptions'!$J$87</f>
        <v>71</v>
      </c>
      <c r="AB127" s="952"/>
      <c r="AC127" s="2635">
        <f>'DCA Underwriting Assumptions'!$Q$87</f>
        <v>16500</v>
      </c>
      <c r="AD127" s="2635">
        <f>AG125-AD126-AD125</f>
        <v>2185000</v>
      </c>
      <c r="AE127" s="2635">
        <f>MIN(AD127,IF('Part V-Revenues &amp; Expenses'!$P$67&gt;AB126,('Part V-Revenues &amp; Expenses'!$P$67-AB126)*AC127,0))</f>
        <v>0</v>
      </c>
      <c r="AF127" s="3223"/>
      <c r="AG127" s="3223"/>
      <c r="AH127" s="3230"/>
      <c r="AI127" s="3231"/>
      <c r="AJ127" s="2512"/>
      <c r="AK127" s="2512"/>
      <c r="AL127" s="2512"/>
      <c r="AM127" s="2512"/>
      <c r="AN127" s="2512"/>
      <c r="AO127" s="2512"/>
      <c r="AP127" s="2512"/>
      <c r="AQ127" s="2512"/>
      <c r="AR127" s="2512"/>
      <c r="AS127" s="2512"/>
      <c r="AT127" s="2512"/>
      <c r="AU127" s="2512"/>
      <c r="AV127" s="2512"/>
      <c r="AW127" s="2512"/>
      <c r="AX127" s="2512"/>
      <c r="AY127" s="2512"/>
      <c r="AZ127" s="1315"/>
      <c r="BA127" s="1279">
        <v>127</v>
      </c>
    </row>
    <row r="128" spans="1:53" s="95" customFormat="1" ht="13.35" customHeight="1">
      <c r="A128" s="2512"/>
      <c r="B128" s="151" t="s">
        <v>693</v>
      </c>
      <c r="C128" s="2512"/>
      <c r="D128" s="2512"/>
      <c r="E128" s="2512"/>
      <c r="F128" s="2512"/>
      <c r="G128" s="2512"/>
      <c r="H128" s="2512"/>
      <c r="I128" s="2512"/>
      <c r="J128" s="183"/>
      <c r="K128" s="183"/>
      <c r="L128" s="2512"/>
      <c r="M128" s="183"/>
      <c r="N128" s="183"/>
      <c r="O128" s="185" t="str">
        <f>B128</f>
        <v>START-UP AND RESERVES</v>
      </c>
      <c r="P128" s="183"/>
      <c r="Q128" s="183"/>
      <c r="R128" s="2512"/>
      <c r="S128" s="183"/>
      <c r="T128" s="183"/>
      <c r="U128" s="2512"/>
      <c r="V128" s="638"/>
      <c r="W128" s="2512" t="str">
        <f>B128</f>
        <v>START-UP AND RESERVES</v>
      </c>
      <c r="X128" s="2512"/>
      <c r="Y128" s="25"/>
      <c r="Z128" s="2579"/>
      <c r="AA128" s="2512"/>
      <c r="AB128" s="25"/>
      <c r="AC128"/>
      <c r="AD128"/>
      <c r="AE128" s="2512"/>
      <c r="AF128"/>
      <c r="AG128"/>
      <c r="AH128"/>
      <c r="AI128"/>
      <c r="AJ128"/>
      <c r="AK128"/>
      <c r="AL128" s="2512"/>
      <c r="AM128" s="2512"/>
      <c r="AN128" s="2512"/>
      <c r="AO128" s="2512"/>
      <c r="AP128" s="2512"/>
      <c r="AQ128" s="2512"/>
      <c r="AR128" s="2512"/>
      <c r="AS128" s="2512"/>
      <c r="AT128" s="2512"/>
      <c r="AU128" s="2512"/>
      <c r="AV128" s="2512"/>
      <c r="AW128" s="2512"/>
      <c r="AX128" s="2512"/>
      <c r="AY128" s="2512"/>
      <c r="AZ128" s="1315" t="s">
        <v>694</v>
      </c>
      <c r="BA128" s="1279">
        <v>128</v>
      </c>
    </row>
    <row r="129" spans="1:53" s="95" customFormat="1" ht="12.6" customHeight="1">
      <c r="A129" s="2512"/>
      <c r="B129" s="2512" t="s">
        <v>695</v>
      </c>
      <c r="C129" s="2512"/>
      <c r="D129" s="2512"/>
      <c r="E129" s="2512"/>
      <c r="F129" s="2512"/>
      <c r="G129" s="3060">
        <v>50000</v>
      </c>
      <c r="H129" s="3061"/>
      <c r="I129" s="2512"/>
      <c r="J129" s="194"/>
      <c r="K129" s="194"/>
      <c r="L129" s="194"/>
      <c r="M129" s="194"/>
      <c r="N129" s="194"/>
      <c r="O129" s="2512"/>
      <c r="P129" s="194"/>
      <c r="Q129" s="194"/>
      <c r="R129" s="2512"/>
      <c r="S129" s="3060">
        <v>50000</v>
      </c>
      <c r="T129" s="3061"/>
      <c r="U129" s="2512"/>
      <c r="V129" s="635"/>
      <c r="W129" s="3159"/>
      <c r="X129" s="3160"/>
      <c r="Y129" s="2512"/>
      <c r="Z129" s="2579"/>
      <c r="AA129" s="2512"/>
      <c r="AB129" s="25"/>
      <c r="AC129"/>
      <c r="AD129"/>
      <c r="AE129" s="2512"/>
      <c r="AF129"/>
      <c r="AG129"/>
      <c r="AH129"/>
      <c r="AI129"/>
      <c r="AJ129"/>
      <c r="AK129"/>
      <c r="AL129" s="2512"/>
      <c r="AM129" s="2512"/>
      <c r="AN129" s="2512"/>
      <c r="AO129" s="2512"/>
      <c r="AP129" s="2512"/>
      <c r="AQ129" s="2512"/>
      <c r="AR129" s="2512"/>
      <c r="AS129" s="2512"/>
      <c r="AT129" s="2512"/>
      <c r="AU129" s="2512"/>
      <c r="AV129" s="2512"/>
      <c r="AW129" s="2512"/>
      <c r="AX129" s="2512"/>
      <c r="AY129" s="2512"/>
      <c r="AZ129" s="1315" t="s">
        <v>696</v>
      </c>
      <c r="BA129" s="1279">
        <v>129</v>
      </c>
    </row>
    <row r="130" spans="1:53" s="95" customFormat="1" ht="12.6" customHeight="1">
      <c r="A130" s="2512"/>
      <c r="B130" s="2512" t="s">
        <v>697</v>
      </c>
      <c r="C130" s="2512"/>
      <c r="D130" s="2512"/>
      <c r="E130" s="2512"/>
      <c r="F130" s="259">
        <f>+'Part V-Revenues &amp; Expenses'!$Q$232*('DCA Underwriting Assumptions'!$Q$104/12)</f>
        <v>113096.75</v>
      </c>
      <c r="G130" s="3035">
        <v>113097</v>
      </c>
      <c r="H130" s="3036"/>
      <c r="I130" s="2512"/>
      <c r="J130" s="579" t="str">
        <f>IF(E130&gt;G130,"WARNING! Rent-Up Reserves proposed is below minimum - add comment.","")</f>
        <v/>
      </c>
      <c r="K130" s="579"/>
      <c r="L130" s="2529"/>
      <c r="M130" s="567"/>
      <c r="N130" s="567"/>
      <c r="O130" s="2512"/>
      <c r="P130" s="567"/>
      <c r="Q130" s="567"/>
      <c r="R130" s="2512"/>
      <c r="S130" s="3035">
        <v>113097</v>
      </c>
      <c r="T130" s="3036"/>
      <c r="U130" s="2512"/>
      <c r="V130" s="635"/>
      <c r="W130" s="3159"/>
      <c r="X130" s="3160"/>
      <c r="Y130"/>
      <c r="Z130" s="950"/>
      <c r="AA130" s="2512"/>
      <c r="AB130" s="146"/>
      <c r="AC130" s="2512"/>
      <c r="AD130"/>
      <c r="AE130" s="2512"/>
      <c r="AF130" s="2512"/>
      <c r="AG130"/>
      <c r="AH130"/>
      <c r="AI130"/>
      <c r="AJ130" s="2512"/>
      <c r="AK130" s="2512"/>
      <c r="AL130" s="2512"/>
      <c r="AM130" s="2512"/>
      <c r="AN130" s="2512"/>
      <c r="AO130" s="2512"/>
      <c r="AP130" s="2512"/>
      <c r="AQ130" s="2512"/>
      <c r="AR130" s="2512"/>
      <c r="AS130" s="2512"/>
      <c r="AT130" s="2512"/>
      <c r="AU130" s="2512"/>
      <c r="AV130" s="2512"/>
      <c r="AW130" s="2512"/>
      <c r="AX130" s="2512"/>
      <c r="AY130" s="2512"/>
      <c r="AZ130" s="1315"/>
      <c r="BA130" s="1279">
        <v>130</v>
      </c>
    </row>
    <row r="131" spans="1:53" s="95" customFormat="1" ht="12.6" customHeight="1">
      <c r="A131" s="2512"/>
      <c r="B131" s="2512" t="s">
        <v>698</v>
      </c>
      <c r="C131" s="2512"/>
      <c r="D131" s="2512"/>
      <c r="E131" s="2512"/>
      <c r="F131" s="259">
        <f>'Part V-Revenues &amp; Expenses'!$Q$232*('DCA Underwriting Assumptions'!$Q$103/12)+('Part VI-Pro Forma'!$B$26+'Part VI-Pro Forma'!$B$27+'Part VI-Pro Forma'!$B$28+'Part VI-Pro Forma'!$B$29)*'DCA Underwriting Assumptions'!$Q$102/(-12)</f>
        <v>342150.11816620338</v>
      </c>
      <c r="G131" s="3035">
        <v>342150</v>
      </c>
      <c r="H131" s="3036"/>
      <c r="I131" s="2512"/>
      <c r="J131" s="579" t="str">
        <f>IF(E131&gt;G131,"WARNING! ODR proposed is below minimum - add comment.","")</f>
        <v/>
      </c>
      <c r="K131" s="193"/>
      <c r="L131" s="193"/>
      <c r="M131" s="193"/>
      <c r="N131" s="193"/>
      <c r="O131" s="2512"/>
      <c r="P131" s="193"/>
      <c r="Q131" s="193"/>
      <c r="R131" s="2512"/>
      <c r="S131" s="3035">
        <v>342150</v>
      </c>
      <c r="T131" s="3036"/>
      <c r="U131" s="2512"/>
      <c r="V131" s="635"/>
      <c r="W131" s="3159"/>
      <c r="X131" s="3160"/>
      <c r="Y131"/>
      <c r="Z131" s="950"/>
      <c r="AA131" s="2512"/>
      <c r="AB131" s="146"/>
      <c r="AC131" s="2512"/>
      <c r="AD131"/>
      <c r="AE131" s="2512"/>
      <c r="AF131" s="2512"/>
      <c r="AG131"/>
      <c r="AH131"/>
      <c r="AI131"/>
      <c r="AJ131" s="2512"/>
      <c r="AK131" s="2512"/>
      <c r="AL131" s="2512"/>
      <c r="AM131" s="2512"/>
      <c r="AN131" s="2512"/>
      <c r="AO131" s="2512"/>
      <c r="AP131" s="2512"/>
      <c r="AQ131" s="2512"/>
      <c r="AR131" s="2512"/>
      <c r="AS131" s="2512"/>
      <c r="AT131" s="2512"/>
      <c r="AU131" s="2512"/>
      <c r="AV131" s="2512"/>
      <c r="AW131" s="2512"/>
      <c r="AX131" s="2512"/>
      <c r="AY131" s="2512"/>
      <c r="AZ131" s="1315"/>
      <c r="BA131" s="1279">
        <v>131</v>
      </c>
    </row>
    <row r="132" spans="1:53" s="95" customFormat="1" ht="12.6" customHeight="1">
      <c r="A132" s="2512"/>
      <c r="B132" s="2512" t="s">
        <v>699</v>
      </c>
      <c r="C132" s="2512"/>
      <c r="D132" s="2512"/>
      <c r="E132" s="2512"/>
      <c r="F132" s="2512"/>
      <c r="G132" s="3035"/>
      <c r="H132" s="3036"/>
      <c r="I132" s="2512"/>
      <c r="J132" s="194"/>
      <c r="K132" s="194"/>
      <c r="L132" s="194"/>
      <c r="M132" s="194"/>
      <c r="N132" s="194"/>
      <c r="O132" s="2512"/>
      <c r="P132" s="194"/>
      <c r="Q132" s="194"/>
      <c r="R132" s="2512"/>
      <c r="S132" s="3035"/>
      <c r="T132" s="3036"/>
      <c r="U132" s="2512"/>
      <c r="V132" s="635"/>
      <c r="W132" s="3159"/>
      <c r="X132" s="3160"/>
      <c r="Y132" s="2512"/>
      <c r="Z132" s="2512"/>
      <c r="AA132" s="2512"/>
      <c r="AB132" s="2512"/>
      <c r="AC132" s="2512"/>
      <c r="AD132" s="2512"/>
      <c r="AE132" s="2512"/>
      <c r="AF132" s="2512"/>
      <c r="AG132" s="2512"/>
      <c r="AH132" s="2512"/>
      <c r="AI132" s="2512"/>
      <c r="AJ132" s="2512"/>
      <c r="AK132" s="2512"/>
      <c r="AL132" s="2512"/>
      <c r="AM132" s="2512"/>
      <c r="AN132" s="2512"/>
      <c r="AO132" s="2512"/>
      <c r="AP132" s="2512"/>
      <c r="AQ132" s="2512"/>
      <c r="AR132" s="2512"/>
      <c r="AS132" s="2512"/>
      <c r="AT132" s="2512"/>
      <c r="AU132" s="2512"/>
      <c r="AV132" s="2512"/>
      <c r="AW132" s="2512"/>
      <c r="AX132" s="2512"/>
      <c r="AY132" s="2512"/>
      <c r="AZ132" s="1315" t="s">
        <v>700</v>
      </c>
      <c r="BA132" s="1279">
        <v>132</v>
      </c>
    </row>
    <row r="133" spans="1:53" s="95" customFormat="1" ht="12.6" customHeight="1">
      <c r="A133" s="2512"/>
      <c r="B133" s="2512" t="s">
        <v>701</v>
      </c>
      <c r="C133" s="2512"/>
      <c r="D133" s="2512"/>
      <c r="E133" s="497" t="s">
        <v>702</v>
      </c>
      <c r="F133" s="259">
        <f>IF('Part V-Revenues &amp; Expenses'!$P$67=0,0,G133/'Part V-Revenues &amp; Expenses'!$P$67)</f>
        <v>4310.3448275862065</v>
      </c>
      <c r="G133" s="3035">
        <v>250000</v>
      </c>
      <c r="H133" s="3036"/>
      <c r="I133" s="2512"/>
      <c r="J133" s="3060">
        <v>250000</v>
      </c>
      <c r="K133" s="3061"/>
      <c r="L133" s="2529"/>
      <c r="M133" s="3060"/>
      <c r="N133" s="3061"/>
      <c r="O133" s="2512"/>
      <c r="P133" s="3060"/>
      <c r="Q133" s="3061"/>
      <c r="R133" s="2512"/>
      <c r="S133" s="3035"/>
      <c r="T133" s="3036"/>
      <c r="U133" s="2512"/>
      <c r="V133" s="635"/>
      <c r="W133" s="3159"/>
      <c r="X133" s="3160"/>
      <c r="Y133" s="2512"/>
      <c r="Z133" s="2512"/>
      <c r="AA133" s="2512"/>
      <c r="AB133" s="2512"/>
      <c r="AC133" s="2512"/>
      <c r="AD133" s="2512"/>
      <c r="AE133" s="2512"/>
      <c r="AF133" s="2512"/>
      <c r="AG133" s="2512"/>
      <c r="AH133" s="2512"/>
      <c r="AI133" s="2512"/>
      <c r="AJ133" s="2512"/>
      <c r="AK133" s="2512"/>
      <c r="AL133" s="2512"/>
      <c r="AM133" s="2512"/>
      <c r="AN133" s="2512"/>
      <c r="AO133" s="2512"/>
      <c r="AP133" s="2512"/>
      <c r="AQ133" s="2512"/>
      <c r="AR133" s="2512"/>
      <c r="AS133" s="2512"/>
      <c r="AT133" s="2512"/>
      <c r="AU133" s="2512"/>
      <c r="AV133" s="2512"/>
      <c r="AW133" s="2512"/>
      <c r="AX133" s="2512"/>
      <c r="AY133" s="2512"/>
      <c r="AZ133" s="1315" t="s">
        <v>703</v>
      </c>
      <c r="BA133" s="1279">
        <v>133</v>
      </c>
    </row>
    <row r="134" spans="1:53" s="95" customFormat="1" ht="12.6" customHeight="1" thickBot="1">
      <c r="A134" s="205" t="str">
        <f>IF(AND(G134&gt;0,OR(C134="",C134="&lt;Enter detailed description here; use Comments section if needed&gt;")),"X","")</f>
        <v/>
      </c>
      <c r="B134" s="98" t="s">
        <v>665</v>
      </c>
      <c r="C134" s="3161" t="s">
        <v>704</v>
      </c>
      <c r="D134" s="3161"/>
      <c r="E134" s="3161"/>
      <c r="F134" s="3162"/>
      <c r="G134" s="3049">
        <v>250000</v>
      </c>
      <c r="H134" s="3050"/>
      <c r="I134" s="2512"/>
      <c r="J134" s="3169"/>
      <c r="K134" s="3170"/>
      <c r="L134" s="2529"/>
      <c r="M134" s="3049"/>
      <c r="N134" s="3050"/>
      <c r="O134" s="2512"/>
      <c r="P134" s="3049"/>
      <c r="Q134" s="3050"/>
      <c r="R134" s="2512"/>
      <c r="S134" s="3049">
        <v>250000</v>
      </c>
      <c r="T134" s="3050"/>
      <c r="U134" s="204" t="str">
        <f>IF(AND(G134&gt;0,OR(C134="",C134="&lt;Enter detailed description here; use Comments section if needed&gt;")),"NO DESCRIPTION PROVIDED - please enter detailed description in Other box at left; use Comments section below if needed.","")</f>
        <v/>
      </c>
      <c r="V134" s="635"/>
      <c r="W134" s="3163"/>
      <c r="X134" s="3164"/>
      <c r="Y134" s="2512"/>
      <c r="Z134" s="2512"/>
      <c r="AA134" s="2512"/>
      <c r="AB134" s="2512"/>
      <c r="AC134" s="2512"/>
      <c r="AD134" s="2512"/>
      <c r="AE134" s="2512"/>
      <c r="AF134" s="2512"/>
      <c r="AG134" s="2512"/>
      <c r="AH134" s="2512"/>
      <c r="AI134" s="2512"/>
      <c r="AJ134" s="2512"/>
      <c r="AK134" s="2512"/>
      <c r="AL134" s="2512"/>
      <c r="AM134" s="2512"/>
      <c r="AN134" s="2512"/>
      <c r="AO134" s="2512"/>
      <c r="AP134" s="2512"/>
      <c r="AQ134" s="2512"/>
      <c r="AR134" s="2512"/>
      <c r="AS134" s="2512"/>
      <c r="AT134" s="2512"/>
      <c r="AU134" s="2512"/>
      <c r="AV134" s="2512"/>
      <c r="AW134" s="2512"/>
      <c r="AX134" s="2512"/>
      <c r="AY134" s="2512"/>
      <c r="AZ134" s="1315"/>
      <c r="BA134" s="1279">
        <v>134</v>
      </c>
    </row>
    <row r="135" spans="1:53" s="95" customFormat="1" ht="12.6" customHeight="1" thickTop="1">
      <c r="A135" s="2512"/>
      <c r="B135" s="195"/>
      <c r="C135" s="2512"/>
      <c r="D135" s="2512"/>
      <c r="E135" s="2512"/>
      <c r="F135" s="184" t="s">
        <v>548</v>
      </c>
      <c r="G135" s="3165">
        <f>SUM(G129:G134)</f>
        <v>1005247</v>
      </c>
      <c r="H135" s="3166"/>
      <c r="I135" s="2512"/>
      <c r="J135" s="3165">
        <f>SUM(J133:J134)</f>
        <v>250000</v>
      </c>
      <c r="K135" s="3166"/>
      <c r="L135" s="2529"/>
      <c r="M135" s="3165">
        <f>SUM(M133:M134)</f>
        <v>0</v>
      </c>
      <c r="N135" s="3166"/>
      <c r="O135" s="2512"/>
      <c r="P135" s="3165">
        <f>SUM(P133:P134)</f>
        <v>0</v>
      </c>
      <c r="Q135" s="3166"/>
      <c r="R135" s="2512"/>
      <c r="S135" s="3165">
        <f>SUM(S129:S134)</f>
        <v>755247</v>
      </c>
      <c r="T135" s="3166"/>
      <c r="U135" s="2512"/>
      <c r="V135" s="637">
        <f>SUM(V129:V134)</f>
        <v>0</v>
      </c>
      <c r="W135" s="3167"/>
      <c r="X135" s="3168"/>
      <c r="Y135" s="2512"/>
      <c r="Z135" s="2512"/>
      <c r="AA135" s="2512"/>
      <c r="AB135" s="2512"/>
      <c r="AC135" s="2512"/>
      <c r="AD135" s="2512"/>
      <c r="AE135" s="2512"/>
      <c r="AF135" s="2512"/>
      <c r="AG135" s="2512"/>
      <c r="AH135" s="2512"/>
      <c r="AI135" s="2512"/>
      <c r="AJ135" s="2512"/>
      <c r="AK135" s="2512"/>
      <c r="AL135" s="2512"/>
      <c r="AM135" s="2512"/>
      <c r="AN135" s="2512"/>
      <c r="AO135" s="2512"/>
      <c r="AP135" s="2512"/>
      <c r="AQ135" s="2512"/>
      <c r="AR135" s="2512"/>
      <c r="AS135" s="2512"/>
      <c r="AT135" s="2512"/>
      <c r="AU135" s="2512"/>
      <c r="AV135" s="2512"/>
      <c r="AW135" s="2512"/>
      <c r="AX135" s="2512"/>
      <c r="AY135" s="2512"/>
      <c r="AZ135" s="1315"/>
      <c r="BA135" s="1279">
        <v>135</v>
      </c>
    </row>
    <row r="136" spans="1:53" s="95" customFormat="1" ht="3" customHeight="1">
      <c r="A136" s="2512"/>
      <c r="B136" s="2512"/>
      <c r="C136" s="2512"/>
      <c r="D136" s="2512"/>
      <c r="E136" s="2512"/>
      <c r="F136" s="2512"/>
      <c r="G136" s="2512"/>
      <c r="H136" s="2512"/>
      <c r="I136" s="196"/>
      <c r="J136" s="2512"/>
      <c r="K136" s="2512"/>
      <c r="L136" s="196"/>
      <c r="M136" s="2512"/>
      <c r="N136" s="2512"/>
      <c r="O136" s="2512"/>
      <c r="P136" s="2512"/>
      <c r="Q136" s="2512"/>
      <c r="R136" s="2512"/>
      <c r="S136" s="2512"/>
      <c r="T136" s="2512"/>
      <c r="U136" s="2512"/>
      <c r="V136" s="638"/>
      <c r="W136" s="2512"/>
      <c r="X136" s="2512"/>
      <c r="Y136" s="2512"/>
      <c r="Z136" s="2512"/>
      <c r="AA136" s="2512"/>
      <c r="AB136" s="2512"/>
      <c r="AC136" s="2512"/>
      <c r="AD136" s="2512"/>
      <c r="AE136" s="2512"/>
      <c r="AF136" s="2512"/>
      <c r="AG136" s="2512"/>
      <c r="AH136" s="2512"/>
      <c r="AI136" s="2512"/>
      <c r="AJ136" s="2512"/>
      <c r="AK136" s="2512"/>
      <c r="AL136" s="2512"/>
      <c r="AM136" s="2512"/>
      <c r="AN136" s="2512"/>
      <c r="AO136" s="2512"/>
      <c r="AP136" s="2512"/>
      <c r="AQ136" s="2512"/>
      <c r="AR136" s="2512"/>
      <c r="AS136" s="2512"/>
      <c r="AT136" s="2512"/>
      <c r="AU136" s="2512"/>
      <c r="AV136" s="2512"/>
      <c r="AW136" s="2512"/>
      <c r="AX136" s="2512"/>
      <c r="AY136" s="2512"/>
      <c r="AZ136" s="1315"/>
      <c r="BA136" s="1279">
        <v>136</v>
      </c>
    </row>
    <row r="137" spans="1:53" s="95" customFormat="1" ht="3.6" customHeight="1">
      <c r="A137" s="2512"/>
      <c r="B137" s="2512"/>
      <c r="C137" s="2512"/>
      <c r="D137" s="2519"/>
      <c r="E137" s="2519"/>
      <c r="F137" s="2512"/>
      <c r="G137" s="2512"/>
      <c r="H137" s="2512"/>
      <c r="I137" s="191"/>
      <c r="J137" s="191"/>
      <c r="K137" s="197"/>
      <c r="L137" s="2519"/>
      <c r="M137" s="2512"/>
      <c r="N137" s="2512"/>
      <c r="O137" s="2512"/>
      <c r="P137" s="2512"/>
      <c r="Q137" s="2512"/>
      <c r="R137" s="2512"/>
      <c r="S137" s="2512"/>
      <c r="T137" s="2512"/>
      <c r="U137" s="2512"/>
      <c r="V137" s="638"/>
      <c r="W137" s="2512"/>
      <c r="X137" s="2512"/>
      <c r="Y137" s="2512"/>
      <c r="Z137" s="2512"/>
      <c r="AA137" s="2512"/>
      <c r="AB137" s="2512"/>
      <c r="AC137" s="2512"/>
      <c r="AD137" s="2512"/>
      <c r="AE137" s="2512"/>
      <c r="AF137" s="2512"/>
      <c r="AG137" s="2512"/>
      <c r="AH137" s="2512"/>
      <c r="AI137" s="2512"/>
      <c r="AJ137" s="2512"/>
      <c r="AK137" s="2512"/>
      <c r="AL137" s="2512"/>
      <c r="AM137" s="2512"/>
      <c r="AN137" s="2512"/>
      <c r="AO137" s="2512"/>
      <c r="AP137" s="2512"/>
      <c r="AQ137" s="2512"/>
      <c r="AR137" s="2512"/>
      <c r="AS137" s="2512"/>
      <c r="AT137" s="2512"/>
      <c r="AU137" s="2512"/>
      <c r="AV137" s="2512"/>
      <c r="AW137" s="2512"/>
      <c r="AX137" s="2512"/>
      <c r="AY137" s="2512"/>
      <c r="AZ137" s="1315"/>
      <c r="BA137" s="1279">
        <v>137</v>
      </c>
    </row>
    <row r="138" spans="1:53" s="95" customFormat="1" ht="6" customHeight="1" thickBot="1">
      <c r="A138" s="269"/>
      <c r="B138" s="269"/>
      <c r="C138" s="269"/>
      <c r="D138" s="269"/>
      <c r="E138" s="269"/>
      <c r="F138" s="269"/>
      <c r="G138" s="269"/>
      <c r="H138" s="269"/>
      <c r="I138" s="269"/>
      <c r="J138" s="269"/>
      <c r="K138" s="269"/>
      <c r="L138" s="269"/>
      <c r="M138" s="269"/>
      <c r="N138" s="269"/>
      <c r="O138" s="269"/>
      <c r="P138" s="269"/>
      <c r="Q138" s="269"/>
      <c r="R138" s="269"/>
      <c r="S138" s="269"/>
      <c r="T138" s="269"/>
      <c r="U138" s="2512"/>
      <c r="V138" s="638"/>
      <c r="W138" s="2512"/>
      <c r="X138" s="2512"/>
      <c r="Y138" s="2512"/>
      <c r="Z138" s="2512"/>
      <c r="AA138" s="2512"/>
      <c r="AB138" s="2512"/>
      <c r="AC138" s="2512"/>
      <c r="AD138" s="2512"/>
      <c r="AE138" s="2512"/>
      <c r="AF138" s="2512"/>
      <c r="AG138" s="2512"/>
      <c r="AH138" s="2512"/>
      <c r="AI138" s="2512"/>
      <c r="AJ138" s="2512"/>
      <c r="AK138" s="2512"/>
      <c r="AL138" s="2512"/>
      <c r="AM138" s="2512"/>
      <c r="AN138" s="2512"/>
      <c r="AO138" s="2512"/>
      <c r="AP138" s="2512"/>
      <c r="AQ138" s="2512"/>
      <c r="AR138" s="2512"/>
      <c r="AS138" s="2512"/>
      <c r="AT138" s="2512"/>
      <c r="AU138" s="2512"/>
      <c r="AV138" s="2512"/>
      <c r="AW138" s="2512"/>
      <c r="AX138" s="2512"/>
      <c r="AY138" s="2512"/>
      <c r="AZ138" s="1315"/>
      <c r="BA138" s="1279">
        <v>138</v>
      </c>
    </row>
    <row r="139" spans="1:53" s="95" customFormat="1" ht="18" customHeight="1" thickBot="1">
      <c r="A139" s="237" t="s">
        <v>21</v>
      </c>
      <c r="B139" s="237" t="s">
        <v>636</v>
      </c>
      <c r="C139" s="2512"/>
      <c r="D139" s="2512"/>
      <c r="E139" s="2512"/>
      <c r="F139" s="2512"/>
      <c r="G139" s="2512"/>
      <c r="H139" s="2512"/>
      <c r="I139" s="2512"/>
      <c r="J139" s="3149" t="s">
        <v>528</v>
      </c>
      <c r="K139" s="3150"/>
      <c r="L139" s="183"/>
      <c r="M139" s="3153" t="s">
        <v>529</v>
      </c>
      <c r="N139" s="3154"/>
      <c r="O139" s="2512"/>
      <c r="P139" s="3149" t="s">
        <v>530</v>
      </c>
      <c r="Q139" s="3150"/>
      <c r="R139" s="2512"/>
      <c r="S139" s="3149" t="s">
        <v>531</v>
      </c>
      <c r="T139" s="3150"/>
      <c r="U139" s="2512"/>
      <c r="V139" s="238" t="str">
        <f>B139</f>
        <v>DEVELOPMENT BUDGET  (cont'd)</v>
      </c>
      <c r="W139" s="2512"/>
      <c r="X139" s="2512"/>
      <c r="Y139" s="2512"/>
      <c r="Z139" s="2512"/>
      <c r="AA139" s="2512"/>
      <c r="AB139" s="2512"/>
      <c r="AC139" s="2512"/>
      <c r="AD139" s="2512"/>
      <c r="AE139" s="2512"/>
      <c r="AF139" s="2512"/>
      <c r="AG139" s="2512"/>
      <c r="AH139" s="2512"/>
      <c r="AI139" s="2512"/>
      <c r="AJ139" s="2512"/>
      <c r="AK139" s="2512"/>
      <c r="AL139" s="2512"/>
      <c r="AM139" s="2512"/>
      <c r="AN139" s="2512"/>
      <c r="AO139" s="2512"/>
      <c r="AP139" s="2512"/>
      <c r="AQ139" s="2512"/>
      <c r="AR139" s="2512"/>
      <c r="AS139" s="2512"/>
      <c r="AT139" s="2512"/>
      <c r="AU139" s="2512"/>
      <c r="AV139" s="2512"/>
      <c r="AW139" s="2512"/>
      <c r="AX139" s="2512"/>
      <c r="AY139" s="2512"/>
      <c r="AZ139" s="1315"/>
      <c r="BA139" s="1279">
        <v>139</v>
      </c>
    </row>
    <row r="140" spans="1:53" s="95" customFormat="1" ht="18" customHeight="1" thickBot="1">
      <c r="A140" s="2512"/>
      <c r="B140" s="2512"/>
      <c r="C140" s="2512"/>
      <c r="D140" s="2512"/>
      <c r="E140" s="2512"/>
      <c r="F140" s="2512"/>
      <c r="G140" s="3157" t="s">
        <v>532</v>
      </c>
      <c r="H140" s="3158"/>
      <c r="I140" s="2512"/>
      <c r="J140" s="3151"/>
      <c r="K140" s="3152"/>
      <c r="L140" s="183"/>
      <c r="M140" s="3155"/>
      <c r="N140" s="3156"/>
      <c r="O140" s="2512"/>
      <c r="P140" s="3151"/>
      <c r="Q140" s="3152"/>
      <c r="R140" s="2512"/>
      <c r="S140" s="3151"/>
      <c r="T140" s="3152"/>
      <c r="U140" s="2512"/>
      <c r="V140" s="159" t="s">
        <v>361</v>
      </c>
      <c r="W140" s="2512"/>
      <c r="X140" s="159"/>
      <c r="Y140" s="2512"/>
      <c r="Z140" s="2512"/>
      <c r="AA140" s="2512"/>
      <c r="AB140" s="2512"/>
      <c r="AC140" s="2512"/>
      <c r="AD140" s="2512"/>
      <c r="AE140" s="2512"/>
      <c r="AF140" s="2512"/>
      <c r="AG140" s="2512"/>
      <c r="AH140" s="2512"/>
      <c r="AI140" s="2512"/>
      <c r="AJ140" s="2512"/>
      <c r="AK140" s="2512"/>
      <c r="AL140" s="2512"/>
      <c r="AM140" s="2512"/>
      <c r="AN140" s="2512"/>
      <c r="AO140" s="2512"/>
      <c r="AP140" s="2512"/>
      <c r="AQ140" s="2512"/>
      <c r="AR140" s="2512"/>
      <c r="AS140" s="2512"/>
      <c r="AT140" s="2512"/>
      <c r="AU140" s="2512"/>
      <c r="AV140" s="2512"/>
      <c r="AW140" s="2512"/>
      <c r="AX140" s="2512"/>
      <c r="AY140" s="2512"/>
      <c r="AZ140" s="1315"/>
      <c r="BA140" s="1279">
        <v>140</v>
      </c>
    </row>
    <row r="141" spans="1:53" s="95" customFormat="1" ht="13.35" customHeight="1">
      <c r="A141" s="2512"/>
      <c r="B141" s="151" t="s">
        <v>705</v>
      </c>
      <c r="C141" s="2519"/>
      <c r="D141" s="2512"/>
      <c r="E141" s="2512"/>
      <c r="F141" s="2512"/>
      <c r="G141" s="2512"/>
      <c r="H141" s="191"/>
      <c r="I141" s="191"/>
      <c r="J141" s="183"/>
      <c r="K141" s="183"/>
      <c r="L141" s="2512"/>
      <c r="M141" s="183"/>
      <c r="N141" s="183"/>
      <c r="O141" s="185" t="str">
        <f>B141</f>
        <v>OTHER COSTS</v>
      </c>
      <c r="P141" s="183"/>
      <c r="Q141" s="183"/>
      <c r="R141" s="2512"/>
      <c r="S141" s="183"/>
      <c r="T141" s="183"/>
      <c r="U141" s="2512"/>
      <c r="V141" s="638"/>
      <c r="W141" s="2512" t="str">
        <f>B141</f>
        <v>OTHER COSTS</v>
      </c>
      <c r="X141" s="2512"/>
      <c r="Y141" s="2512"/>
      <c r="Z141" s="2512"/>
      <c r="AA141" s="2512"/>
      <c r="AB141" s="2512"/>
      <c r="AC141" s="2512"/>
      <c r="AD141" s="2512"/>
      <c r="AE141" s="2512"/>
      <c r="AF141" s="2512"/>
      <c r="AG141" s="2512"/>
      <c r="AH141" s="2512"/>
      <c r="AI141" s="2512"/>
      <c r="AJ141" s="2512"/>
      <c r="AK141" s="2512"/>
      <c r="AL141" s="2512"/>
      <c r="AM141" s="2512"/>
      <c r="AN141" s="2512"/>
      <c r="AO141" s="2512"/>
      <c r="AP141" s="2512"/>
      <c r="AQ141" s="2512"/>
      <c r="AR141" s="2512"/>
      <c r="AS141" s="2512"/>
      <c r="AT141" s="2512"/>
      <c r="AU141" s="2512"/>
      <c r="AV141" s="2512"/>
      <c r="AW141" s="2512"/>
      <c r="AX141" s="2512"/>
      <c r="AY141" s="2512"/>
      <c r="AZ141" s="1315"/>
      <c r="BA141" s="1279">
        <v>141</v>
      </c>
    </row>
    <row r="142" spans="1:53" s="95" customFormat="1" ht="12.6" customHeight="1">
      <c r="A142" s="2512"/>
      <c r="B142" s="2512" t="s">
        <v>706</v>
      </c>
      <c r="C142" s="2519"/>
      <c r="D142" s="2512"/>
      <c r="E142" s="2512"/>
      <c r="F142" s="2512"/>
      <c r="G142" s="3060"/>
      <c r="H142" s="3061"/>
      <c r="I142" s="2512"/>
      <c r="J142" s="3060"/>
      <c r="K142" s="3061"/>
      <c r="L142" s="185"/>
      <c r="M142" s="3060"/>
      <c r="N142" s="3061"/>
      <c r="O142" s="2512"/>
      <c r="P142" s="3060"/>
      <c r="Q142" s="3061"/>
      <c r="R142" s="2512"/>
      <c r="S142" s="3060"/>
      <c r="T142" s="3061"/>
      <c r="U142" s="2512"/>
      <c r="V142" s="635"/>
      <c r="W142" s="3159"/>
      <c r="X142" s="3160"/>
      <c r="Y142" s="2512"/>
      <c r="Z142" s="2512"/>
      <c r="AA142" s="2512"/>
      <c r="AB142" s="2512"/>
      <c r="AC142" s="2512"/>
      <c r="AD142" s="2512"/>
      <c r="AE142" s="2512"/>
      <c r="AF142" s="2512"/>
      <c r="AG142" s="2512"/>
      <c r="AH142" s="2512"/>
      <c r="AI142" s="2512"/>
      <c r="AJ142" s="2512"/>
      <c r="AK142" s="2512"/>
      <c r="AL142" s="2512"/>
      <c r="AM142" s="2512"/>
      <c r="AN142" s="2512"/>
      <c r="AO142" s="2512"/>
      <c r="AP142" s="2512"/>
      <c r="AQ142" s="2512"/>
      <c r="AR142" s="2512"/>
      <c r="AS142" s="2512"/>
      <c r="AT142" s="2512"/>
      <c r="AU142" s="2512"/>
      <c r="AV142" s="2512"/>
      <c r="AW142" s="2512"/>
      <c r="AX142" s="2512"/>
      <c r="AY142" s="2512"/>
      <c r="AZ142" s="1315"/>
      <c r="BA142" s="1279">
        <v>142</v>
      </c>
    </row>
    <row r="143" spans="1:53" s="95" customFormat="1" ht="12.6" customHeight="1" thickBot="1">
      <c r="A143" s="205" t="str">
        <f>IF(AND(G143&gt;0,OR(C143="",C143="&lt;Enter detailed description here; use Comments section if needed&gt;")),"X","")</f>
        <v/>
      </c>
      <c r="B143" s="98" t="s">
        <v>665</v>
      </c>
      <c r="C143" s="3161" t="s">
        <v>707</v>
      </c>
      <c r="D143" s="3161"/>
      <c r="E143" s="3161"/>
      <c r="F143" s="3162"/>
      <c r="G143" s="3049">
        <v>50000</v>
      </c>
      <c r="H143" s="3050"/>
      <c r="I143" s="2512"/>
      <c r="J143" s="3049">
        <v>50000</v>
      </c>
      <c r="K143" s="3050"/>
      <c r="L143" s="2529"/>
      <c r="M143" s="3049"/>
      <c r="N143" s="3050"/>
      <c r="O143" s="2512"/>
      <c r="P143" s="3049"/>
      <c r="Q143" s="3050"/>
      <c r="R143" s="2512"/>
      <c r="S143" s="3049"/>
      <c r="T143" s="3050"/>
      <c r="U143" s="204" t="str">
        <f>IF(AND(G143&gt;0,OR(C143="",C143="&lt;Enter detailed description here; use Comments section if needed&gt;")),"NO DESCRIPTION PROVIDED - please enter detailed description in Other box at left; use Comments section below if needed.","")</f>
        <v/>
      </c>
      <c r="V143" s="635"/>
      <c r="W143" s="3163"/>
      <c r="X143" s="3164"/>
      <c r="Y143" s="2512"/>
      <c r="Z143" s="2512"/>
      <c r="AA143" s="2512"/>
      <c r="AB143" s="2512"/>
      <c r="AC143" s="2512"/>
      <c r="AD143" s="2512"/>
      <c r="AE143" s="2512"/>
      <c r="AF143" s="2512"/>
      <c r="AG143" s="2512"/>
      <c r="AH143" s="2512"/>
      <c r="AI143" s="2512"/>
      <c r="AJ143" s="2512"/>
      <c r="AK143" s="2512"/>
      <c r="AL143" s="2512"/>
      <c r="AM143" s="2512"/>
      <c r="AN143" s="2512"/>
      <c r="AO143" s="2512"/>
      <c r="AP143" s="2512"/>
      <c r="AQ143" s="2512"/>
      <c r="AR143" s="2512"/>
      <c r="AS143" s="2512"/>
      <c r="AT143" s="2512"/>
      <c r="AU143" s="2512"/>
      <c r="AV143" s="2512"/>
      <c r="AW143" s="2512"/>
      <c r="AX143" s="2512"/>
      <c r="AY143" s="2512"/>
      <c r="AZ143" s="1315"/>
      <c r="BA143" s="1279">
        <v>143</v>
      </c>
    </row>
    <row r="144" spans="1:53" s="95" customFormat="1" ht="12.6" customHeight="1" thickTop="1">
      <c r="A144" s="2512"/>
      <c r="B144" s="2512"/>
      <c r="C144" s="2519"/>
      <c r="D144" s="2512"/>
      <c r="E144" s="2512"/>
      <c r="F144" s="184" t="s">
        <v>548</v>
      </c>
      <c r="G144" s="3165">
        <f>SUM(G142:G143)</f>
        <v>50000</v>
      </c>
      <c r="H144" s="3166"/>
      <c r="I144" s="2512"/>
      <c r="J144" s="3165">
        <f>SUM(J142:J143)</f>
        <v>50000</v>
      </c>
      <c r="K144" s="3166"/>
      <c r="L144" s="2529"/>
      <c r="M144" s="3165">
        <f>SUM(M142:M143)</f>
        <v>0</v>
      </c>
      <c r="N144" s="3166"/>
      <c r="O144" s="2512"/>
      <c r="P144" s="3165">
        <f>SUM(P142:P143)</f>
        <v>0</v>
      </c>
      <c r="Q144" s="3166"/>
      <c r="R144" s="2512"/>
      <c r="S144" s="3165">
        <f>SUM(S142:S143)</f>
        <v>0</v>
      </c>
      <c r="T144" s="3166"/>
      <c r="U144" s="2512"/>
      <c r="V144" s="637">
        <f>SUM(V142:V143)</f>
        <v>0</v>
      </c>
      <c r="W144" s="3167"/>
      <c r="X144" s="3168"/>
      <c r="Y144" s="2512"/>
      <c r="Z144" s="2512"/>
      <c r="AA144" s="2512"/>
      <c r="AB144" s="2512"/>
      <c r="AC144" s="2512"/>
      <c r="AD144" s="2512"/>
      <c r="AE144" s="2512"/>
      <c r="AF144" s="2512"/>
      <c r="AG144" s="2512"/>
      <c r="AH144" s="2512"/>
      <c r="AI144" s="2512"/>
      <c r="AJ144" s="2512"/>
      <c r="AK144" s="2512"/>
      <c r="AL144" s="2512"/>
      <c r="AM144" s="2512"/>
      <c r="AN144" s="2512"/>
      <c r="AO144" s="2512"/>
      <c r="AP144" s="2512"/>
      <c r="AQ144" s="2512"/>
      <c r="AR144" s="2512"/>
      <c r="AS144" s="2512"/>
      <c r="AT144" s="2512"/>
      <c r="AU144" s="2512"/>
      <c r="AV144" s="2512"/>
      <c r="AW144" s="2512"/>
      <c r="AX144" s="2512"/>
      <c r="AY144" s="2512"/>
      <c r="AZ144" s="1315"/>
      <c r="BA144" s="1279">
        <v>144</v>
      </c>
    </row>
    <row r="145" spans="1:53" s="95" customFormat="1" ht="15" customHeight="1" thickBot="1">
      <c r="A145" s="2512"/>
      <c r="B145" s="2512"/>
      <c r="C145" s="2519"/>
      <c r="D145" s="2512"/>
      <c r="E145" s="2512"/>
      <c r="F145" s="2512"/>
      <c r="G145" s="2512"/>
      <c r="H145" s="191"/>
      <c r="I145" s="191"/>
      <c r="J145" s="2512"/>
      <c r="K145" s="2512"/>
      <c r="L145" s="2512"/>
      <c r="M145" s="2512"/>
      <c r="N145" s="2512"/>
      <c r="O145" s="2512"/>
      <c r="P145" s="2512"/>
      <c r="Q145" s="2512"/>
      <c r="R145" s="2512"/>
      <c r="S145" s="2512"/>
      <c r="T145" s="2512"/>
      <c r="U145" s="2512"/>
      <c r="V145" s="638"/>
      <c r="W145" s="633"/>
      <c r="X145" s="634"/>
      <c r="Y145" s="2512"/>
      <c r="Z145" s="2512"/>
      <c r="AA145" s="2512"/>
      <c r="AB145" s="2512"/>
      <c r="AC145" s="2512"/>
      <c r="AD145" s="2512"/>
      <c r="AE145" s="2512"/>
      <c r="AF145" s="2512"/>
      <c r="AG145" s="2512"/>
      <c r="AH145" s="2512"/>
      <c r="AI145" s="2512"/>
      <c r="AJ145" s="2512"/>
      <c r="AK145" s="2512"/>
      <c r="AL145" s="2512"/>
      <c r="AM145" s="2512"/>
      <c r="AN145" s="2512"/>
      <c r="AO145" s="2512"/>
      <c r="AP145" s="2512"/>
      <c r="AQ145" s="2512"/>
      <c r="AR145" s="2512"/>
      <c r="AS145" s="2512"/>
      <c r="AT145" s="2512"/>
      <c r="AU145" s="2512"/>
      <c r="AV145" s="2512"/>
      <c r="AW145" s="2512"/>
      <c r="AX145" s="2512"/>
      <c r="AY145" s="2512"/>
      <c r="AZ145" s="1315"/>
      <c r="BA145" s="1279">
        <v>145</v>
      </c>
    </row>
    <row r="146" spans="1:53" s="95" customFormat="1" ht="18.75" customHeight="1" thickBot="1">
      <c r="A146" s="2512"/>
      <c r="B146" s="1288" t="s">
        <v>708</v>
      </c>
      <c r="C146" s="2512"/>
      <c r="D146" s="2512"/>
      <c r="E146" s="497"/>
      <c r="F146" s="954"/>
      <c r="G146" s="3233">
        <f>G18+G24+G28+G36+G41+G46+G55+G73+G86+G92+G103+G114+G120+G127+G135+G144</f>
        <v>22230470</v>
      </c>
      <c r="H146" s="3234"/>
      <c r="I146" s="2512"/>
      <c r="J146" s="3233">
        <f>J18+J24+J28+J36+J41+J46+J55+J73+J86+J92+J103+J114+J120+J127+J135+J144</f>
        <v>19065949</v>
      </c>
      <c r="K146" s="3234"/>
      <c r="L146" s="2512"/>
      <c r="M146" s="3233">
        <f>M18+M24+M28+M36+M41+M46+M55+M73+M86+M92+M103+M114+M120+M127+M135+M144</f>
        <v>0</v>
      </c>
      <c r="N146" s="3234"/>
      <c r="O146" s="2512"/>
      <c r="P146" s="3233">
        <f>P18+P24+P28+P36+P41+P46+P55+P73+P86+P92+P103+P114+P120+P127+P135+P144</f>
        <v>0</v>
      </c>
      <c r="Q146" s="3234"/>
      <c r="R146" s="2512"/>
      <c r="S146" s="3233">
        <f>S18+S24+S28+S36+S41+S46+S55+S73+S86+S92+S103+S114+S120+S127+S135+S144</f>
        <v>3164522</v>
      </c>
      <c r="T146" s="3234"/>
      <c r="U146" s="2512"/>
      <c r="V146" s="640">
        <f>V18+V24+V28+V36+V41+V46+V55+V73+V86+V92+V103+V114+V120+V127+V135+V144</f>
        <v>0</v>
      </c>
      <c r="W146" s="3235"/>
      <c r="X146" s="3168"/>
      <c r="Y146" s="2512"/>
      <c r="Z146" s="2512"/>
      <c r="AA146" s="2512"/>
      <c r="AB146" s="2512"/>
      <c r="AC146" s="2512"/>
      <c r="AD146" s="2512"/>
      <c r="AE146" s="2512"/>
      <c r="AF146" s="2512"/>
      <c r="AG146" s="2512"/>
      <c r="AH146" s="2512"/>
      <c r="AI146" s="2512"/>
      <c r="AJ146" s="2512"/>
      <c r="AK146" s="2512"/>
      <c r="AL146" s="2512"/>
      <c r="AM146" s="2512"/>
      <c r="AN146" s="2512"/>
      <c r="AO146" s="2512"/>
      <c r="AP146" s="2512"/>
      <c r="AQ146" s="2512"/>
      <c r="AR146" s="2512"/>
      <c r="AS146" s="2512"/>
      <c r="AT146" s="2512"/>
      <c r="AU146" s="2512"/>
      <c r="AV146" s="2512"/>
      <c r="AW146" s="2512"/>
      <c r="AX146" s="2512"/>
      <c r="AY146" s="2512"/>
      <c r="AZ146" s="1315"/>
      <c r="BA146" s="1279">
        <v>146</v>
      </c>
    </row>
    <row r="147" spans="1:53" s="95" customFormat="1" ht="12" customHeight="1">
      <c r="A147" s="2512"/>
      <c r="B147" s="2512"/>
      <c r="C147" s="2519"/>
      <c r="D147" s="2512"/>
      <c r="E147" s="2512"/>
      <c r="F147" s="2512"/>
      <c r="G147" s="2512"/>
      <c r="H147" s="191"/>
      <c r="I147" s="191"/>
      <c r="J147" s="2512"/>
      <c r="K147" s="2512"/>
      <c r="L147" s="2512"/>
      <c r="M147" s="2512"/>
      <c r="N147" s="2512"/>
      <c r="O147" s="2512"/>
      <c r="P147" s="2512"/>
      <c r="Q147" s="2512"/>
      <c r="R147" s="2512"/>
      <c r="S147" s="2512"/>
      <c r="T147" s="2512"/>
      <c r="U147" s="2512"/>
      <c r="V147" s="638"/>
      <c r="W147" s="2512"/>
      <c r="X147" s="2512"/>
      <c r="Y147" s="2512"/>
      <c r="Z147" s="2512"/>
      <c r="AA147" s="2512"/>
      <c r="AB147" s="2512"/>
      <c r="AC147" s="2512"/>
      <c r="AD147" s="2512"/>
      <c r="AE147" s="2512"/>
      <c r="AF147" s="2512"/>
      <c r="AG147" s="2512"/>
      <c r="AH147" s="2512"/>
      <c r="AI147" s="2512"/>
      <c r="AJ147" s="2512"/>
      <c r="AK147" s="2512"/>
      <c r="AL147" s="2512"/>
      <c r="AM147" s="2512"/>
      <c r="AN147" s="2512"/>
      <c r="AO147" s="2512"/>
      <c r="AP147" s="2512"/>
      <c r="AQ147" s="2512"/>
      <c r="AR147" s="2512"/>
      <c r="AS147" s="2512"/>
      <c r="AT147" s="2512"/>
      <c r="AU147" s="2512"/>
      <c r="AV147" s="2512"/>
      <c r="AW147" s="2512"/>
      <c r="AX147" s="2512"/>
      <c r="AY147" s="2512"/>
      <c r="AZ147" s="1315"/>
      <c r="BA147" s="1279">
        <v>147</v>
      </c>
    </row>
    <row r="148" spans="1:53" s="95" customFormat="1" ht="14.1" customHeight="1">
      <c r="A148" s="2512"/>
      <c r="B148" s="283" t="s">
        <v>709</v>
      </c>
      <c r="C148" s="281"/>
      <c r="D148" s="3238">
        <f>IF('Part V-Revenues &amp; Expenses'!$P$67=0,0,G146/'Part V-Revenues &amp; Expenses'!$P$67)</f>
        <v>383283.96551724139</v>
      </c>
      <c r="E148" s="3238"/>
      <c r="F148" s="282" t="s">
        <v>710</v>
      </c>
      <c r="G148" s="3239">
        <f>IF('Part V-Revenues &amp; Expenses'!$K$179=0,0,G146/'Part V-Revenues &amp; Expenses'!$K$179)</f>
        <v>452.35369526290089</v>
      </c>
      <c r="H148" s="3240"/>
      <c r="I148" s="196"/>
      <c r="J148" s="2512"/>
      <c r="K148" s="2512"/>
      <c r="L148" s="2512"/>
      <c r="M148" s="2512"/>
      <c r="N148" s="2512"/>
      <c r="O148" s="2512"/>
      <c r="P148" s="2512"/>
      <c r="Q148" s="2512"/>
      <c r="R148" s="2512"/>
      <c r="S148" s="2512"/>
      <c r="T148" s="2512"/>
      <c r="U148" s="2512"/>
      <c r="V148" s="638"/>
      <c r="W148" s="2512"/>
      <c r="X148" s="2512"/>
      <c r="Y148" s="2512"/>
      <c r="Z148" s="2512"/>
      <c r="AA148" s="2512"/>
      <c r="AB148" s="2512"/>
      <c r="AC148" s="2512"/>
      <c r="AD148" s="2512"/>
      <c r="AE148" s="2512"/>
      <c r="AF148" s="2512"/>
      <c r="AG148" s="2512"/>
      <c r="AH148" s="2512"/>
      <c r="AI148" s="2512"/>
      <c r="AJ148" s="2512"/>
      <c r="AK148" s="2512"/>
      <c r="AL148" s="2512"/>
      <c r="AM148" s="2512"/>
      <c r="AN148" s="2512"/>
      <c r="AO148" s="2512"/>
      <c r="AP148" s="2512"/>
      <c r="AQ148" s="2512"/>
      <c r="AR148" s="2512"/>
      <c r="AS148" s="2512"/>
      <c r="AT148" s="2512"/>
      <c r="AU148" s="2512"/>
      <c r="AV148" s="2512"/>
      <c r="AW148" s="2512"/>
      <c r="AX148" s="2512"/>
      <c r="AY148" s="2512"/>
      <c r="AZ148" s="1315"/>
      <c r="BA148" s="1279">
        <v>148</v>
      </c>
    </row>
    <row r="149" spans="1:53" s="95" customFormat="1" ht="21" customHeight="1" thickBot="1">
      <c r="A149" s="2512"/>
      <c r="B149" s="1281"/>
      <c r="C149" s="1282"/>
      <c r="D149" s="1283"/>
      <c r="E149" s="1283"/>
      <c r="F149" s="1284"/>
      <c r="G149" s="1110"/>
      <c r="H149" s="1110"/>
      <c r="I149" s="196"/>
      <c r="J149" s="2512"/>
      <c r="K149" s="2512"/>
      <c r="L149" s="2512"/>
      <c r="M149" s="2512"/>
      <c r="N149" s="2512"/>
      <c r="O149" s="2512"/>
      <c r="P149" s="2512"/>
      <c r="Q149" s="2512"/>
      <c r="R149" s="2512"/>
      <c r="S149" s="2512"/>
      <c r="T149" s="2512"/>
      <c r="U149" s="2512"/>
      <c r="V149" s="638"/>
      <c r="W149" s="2512"/>
      <c r="X149" s="2512"/>
      <c r="Y149" s="2512"/>
      <c r="Z149" s="2512"/>
      <c r="AA149" s="2512"/>
      <c r="AB149" s="2512"/>
      <c r="AC149" s="2512"/>
      <c r="AD149" s="2512"/>
      <c r="AE149" s="2512"/>
      <c r="AF149" s="2512"/>
      <c r="AG149" s="2512"/>
      <c r="AH149" s="2512"/>
      <c r="AI149" s="2512"/>
      <c r="AJ149" s="2512"/>
      <c r="AK149" s="2512"/>
      <c r="AL149" s="2512"/>
      <c r="AM149" s="2512"/>
      <c r="AN149" s="2512"/>
      <c r="AO149" s="2512"/>
      <c r="AP149" s="2512"/>
      <c r="AQ149" s="2512"/>
      <c r="AR149" s="2512"/>
      <c r="AS149" s="2512"/>
      <c r="AT149" s="2512"/>
      <c r="AU149" s="2512"/>
      <c r="AV149" s="2512"/>
      <c r="AW149" s="2512"/>
      <c r="AX149" s="2512"/>
      <c r="AY149" s="2512"/>
      <c r="AZ149" s="1315"/>
      <c r="BA149" s="1279">
        <v>149</v>
      </c>
    </row>
    <row r="150" spans="1:53" s="95" customFormat="1" ht="26.1" customHeight="1">
      <c r="A150" s="237" t="s">
        <v>25</v>
      </c>
      <c r="B150" s="239" t="s">
        <v>711</v>
      </c>
      <c r="C150" s="269"/>
      <c r="D150" s="2529"/>
      <c r="E150" s="2529"/>
      <c r="F150" s="2529"/>
      <c r="G150" s="2512"/>
      <c r="H150" s="2512"/>
      <c r="I150" s="198"/>
      <c r="J150" s="3149" t="s">
        <v>528</v>
      </c>
      <c r="K150" s="3150"/>
      <c r="L150" s="2512"/>
      <c r="M150" s="3149" t="s">
        <v>712</v>
      </c>
      <c r="N150" s="3150"/>
      <c r="O150" s="2512"/>
      <c r="P150" s="3149" t="s">
        <v>530</v>
      </c>
      <c r="Q150" s="3150"/>
      <c r="R150" s="2512"/>
      <c r="S150" s="2512"/>
      <c r="T150" s="2512"/>
      <c r="U150" s="2512"/>
      <c r="V150" s="638"/>
      <c r="W150" s="238" t="str">
        <f>B150</f>
        <v>TAX CREDIT CALCULATION - BASIS METHOD</v>
      </c>
      <c r="X150" s="2512"/>
      <c r="Y150" s="2512"/>
      <c r="Z150" s="2512"/>
      <c r="AA150" s="2512"/>
      <c r="AB150" s="2512"/>
      <c r="AC150" s="2512"/>
      <c r="AD150" s="2512"/>
      <c r="AE150" s="2512"/>
      <c r="AF150" s="2512"/>
      <c r="AG150" s="2512"/>
      <c r="AH150" s="2512"/>
      <c r="AI150" s="2512"/>
      <c r="AJ150" s="2512"/>
      <c r="AK150" s="2512"/>
      <c r="AL150" s="2512"/>
      <c r="AM150" s="2512"/>
      <c r="AN150" s="2512"/>
      <c r="AO150" s="2512"/>
      <c r="AP150" s="2512"/>
      <c r="AQ150" s="2512"/>
      <c r="AR150" s="2512"/>
      <c r="AS150" s="2512"/>
      <c r="AT150" s="2512"/>
      <c r="AU150" s="2512"/>
      <c r="AV150" s="2512"/>
      <c r="AW150" s="2512"/>
      <c r="AX150" s="2512"/>
      <c r="AY150" s="2512"/>
      <c r="AZ150" s="1315"/>
      <c r="BA150" s="1279">
        <v>150</v>
      </c>
    </row>
    <row r="151" spans="1:53" s="95" customFormat="1" ht="15" customHeight="1" thickBot="1">
      <c r="A151" s="2512"/>
      <c r="B151" s="134" t="s">
        <v>713</v>
      </c>
      <c r="C151" s="2512"/>
      <c r="D151" s="2529"/>
      <c r="E151" s="2529"/>
      <c r="F151" s="2512"/>
      <c r="G151" s="2512"/>
      <c r="H151" s="2512"/>
      <c r="I151" s="198"/>
      <c r="J151" s="3151"/>
      <c r="K151" s="3152"/>
      <c r="L151" s="269"/>
      <c r="M151" s="3151"/>
      <c r="N151" s="3152"/>
      <c r="O151" s="2512"/>
      <c r="P151" s="3151"/>
      <c r="Q151" s="3152"/>
      <c r="R151" s="2512"/>
      <c r="S151" s="2512"/>
      <c r="T151" s="2512"/>
      <c r="U151" s="2512"/>
      <c r="V151" s="638"/>
      <c r="W151" s="2512" t="str">
        <f>B151</f>
        <v>Subtractions From Eligible Basis</v>
      </c>
      <c r="X151" s="159"/>
      <c r="Y151" s="2512"/>
      <c r="Z151" s="2512"/>
      <c r="AA151" s="2512"/>
      <c r="AB151" s="2512"/>
      <c r="AC151" s="2512"/>
      <c r="AD151" s="2512"/>
      <c r="AE151" s="2512"/>
      <c r="AF151" s="2512"/>
      <c r="AG151" s="2512"/>
      <c r="AH151" s="2512"/>
      <c r="AI151" s="2512"/>
      <c r="AJ151" s="2512"/>
      <c r="AK151" s="2512"/>
      <c r="AL151" s="2512"/>
      <c r="AM151" s="2512"/>
      <c r="AN151" s="2512"/>
      <c r="AO151" s="2512"/>
      <c r="AP151" s="2512"/>
      <c r="AQ151" s="2512"/>
      <c r="AR151" s="2512"/>
      <c r="AS151" s="2512"/>
      <c r="AT151" s="2512"/>
      <c r="AU151" s="2512"/>
      <c r="AV151" s="2512"/>
      <c r="AW151" s="2512"/>
      <c r="AX151" s="2512"/>
      <c r="AY151" s="2512"/>
      <c r="AZ151" s="1315"/>
      <c r="BA151" s="1279">
        <v>151</v>
      </c>
    </row>
    <row r="152" spans="1:53" s="95" customFormat="1" ht="6" customHeight="1">
      <c r="A152" s="2512"/>
      <c r="B152" s="2512"/>
      <c r="C152" s="2512"/>
      <c r="D152" s="2519"/>
      <c r="E152" s="2519"/>
      <c r="F152" s="2512"/>
      <c r="G152" s="2512"/>
      <c r="H152" s="2512"/>
      <c r="I152" s="191"/>
      <c r="J152" s="191"/>
      <c r="K152" s="197"/>
      <c r="L152" s="2519"/>
      <c r="M152" s="2512"/>
      <c r="N152" s="2512"/>
      <c r="O152" s="2512"/>
      <c r="P152" s="2512"/>
      <c r="Q152" s="2512"/>
      <c r="R152" s="2512"/>
      <c r="S152" s="2512"/>
      <c r="T152" s="2512"/>
      <c r="U152" s="2512"/>
      <c r="V152" s="638"/>
      <c r="W152" s="2512"/>
      <c r="X152" s="2512"/>
      <c r="Y152" s="2512"/>
      <c r="Z152" s="2512"/>
      <c r="AA152" s="2512"/>
      <c r="AB152" s="2512"/>
      <c r="AC152" s="2512"/>
      <c r="AD152" s="2512"/>
      <c r="AE152" s="2512"/>
      <c r="AF152" s="2512"/>
      <c r="AG152" s="2512"/>
      <c r="AH152" s="2512"/>
      <c r="AI152" s="2512"/>
      <c r="AJ152" s="2512"/>
      <c r="AK152" s="2512"/>
      <c r="AL152" s="2512"/>
      <c r="AM152" s="2512"/>
      <c r="AN152" s="2512"/>
      <c r="AO152" s="2512"/>
      <c r="AP152" s="2512"/>
      <c r="AQ152" s="2512"/>
      <c r="AR152" s="2512"/>
      <c r="AS152" s="2512"/>
      <c r="AT152" s="2512"/>
      <c r="AU152" s="2512"/>
      <c r="AV152" s="2512"/>
      <c r="AW152" s="2512"/>
      <c r="AX152" s="2512"/>
      <c r="AY152" s="2512"/>
      <c r="AZ152" s="1315"/>
      <c r="BA152" s="1279">
        <v>152</v>
      </c>
    </row>
    <row r="153" spans="1:53" s="95" customFormat="1" ht="14.1" customHeight="1">
      <c r="A153" s="2512"/>
      <c r="B153" s="2519" t="s">
        <v>714</v>
      </c>
      <c r="C153" s="2512"/>
      <c r="D153" s="2512"/>
      <c r="E153" s="2512"/>
      <c r="F153" s="2512"/>
      <c r="G153" s="2512"/>
      <c r="H153" s="2512"/>
      <c r="I153" s="198"/>
      <c r="J153" s="3241"/>
      <c r="K153" s="3242"/>
      <c r="L153" s="2512"/>
      <c r="M153" s="2512"/>
      <c r="N153" s="2512"/>
      <c r="O153" s="2512"/>
      <c r="P153" s="3241"/>
      <c r="Q153" s="3242"/>
      <c r="R153" s="2512"/>
      <c r="S153" s="2512"/>
      <c r="T153" s="2512"/>
      <c r="U153" s="2512"/>
      <c r="V153" s="635"/>
      <c r="W153" s="3159"/>
      <c r="X153" s="3160"/>
      <c r="Y153" s="2512"/>
      <c r="Z153" s="2512"/>
      <c r="AA153" s="2512"/>
      <c r="AB153" s="2512"/>
      <c r="AC153" s="2512"/>
      <c r="AD153" s="2512"/>
      <c r="AE153" s="2512"/>
      <c r="AF153" s="2512"/>
      <c r="AG153" s="2512"/>
      <c r="AH153" s="2512"/>
      <c r="AI153" s="2512"/>
      <c r="AJ153" s="2512"/>
      <c r="AK153" s="2512"/>
      <c r="AL153" s="2512"/>
      <c r="AM153" s="2512"/>
      <c r="AN153" s="2512"/>
      <c r="AO153" s="2512"/>
      <c r="AP153" s="2512"/>
      <c r="AQ153" s="2512"/>
      <c r="AR153" s="2512"/>
      <c r="AS153" s="2512"/>
      <c r="AT153" s="2512"/>
      <c r="AU153" s="2512"/>
      <c r="AV153" s="2512"/>
      <c r="AW153" s="2512"/>
      <c r="AX153" s="2512"/>
      <c r="AY153" s="2512"/>
      <c r="AZ153" s="1315"/>
      <c r="BA153" s="1279">
        <v>153</v>
      </c>
    </row>
    <row r="154" spans="1:53" s="95" customFormat="1" ht="14.1" customHeight="1">
      <c r="A154" s="2512"/>
      <c r="B154" s="2512" t="s">
        <v>715</v>
      </c>
      <c r="C154" s="2512"/>
      <c r="D154" s="2512"/>
      <c r="E154" s="2512"/>
      <c r="F154" s="2512"/>
      <c r="G154" s="2512"/>
      <c r="H154" s="2512"/>
      <c r="I154" s="198"/>
      <c r="J154" s="3236"/>
      <c r="K154" s="3237"/>
      <c r="L154" s="2512"/>
      <c r="M154" s="2512"/>
      <c r="N154" s="2512"/>
      <c r="O154" s="2512"/>
      <c r="P154" s="3236"/>
      <c r="Q154" s="3237"/>
      <c r="R154" s="2512"/>
      <c r="S154" s="2512"/>
      <c r="T154" s="2512"/>
      <c r="U154" s="2512"/>
      <c r="V154" s="635"/>
      <c r="W154" s="3159"/>
      <c r="X154" s="3160"/>
      <c r="Y154" s="2512"/>
      <c r="Z154" s="2512"/>
      <c r="AA154" s="2512"/>
      <c r="AB154" s="2512"/>
      <c r="AC154" s="2512"/>
      <c r="AD154" s="2512"/>
      <c r="AE154" s="2512"/>
      <c r="AF154" s="2512"/>
      <c r="AG154" s="2512"/>
      <c r="AH154" s="2512"/>
      <c r="AI154" s="2512"/>
      <c r="AJ154" s="2512"/>
      <c r="AK154" s="2512"/>
      <c r="AL154" s="2512"/>
      <c r="AM154" s="2512"/>
      <c r="AN154" s="2512"/>
      <c r="AO154" s="2512"/>
      <c r="AP154" s="2512"/>
      <c r="AQ154" s="2512"/>
      <c r="AR154" s="2512"/>
      <c r="AS154" s="2512"/>
      <c r="AT154" s="2512"/>
      <c r="AU154" s="2512"/>
      <c r="AV154" s="2512"/>
      <c r="AW154" s="2512"/>
      <c r="AX154" s="2512"/>
      <c r="AY154" s="2512"/>
      <c r="AZ154" s="1315"/>
      <c r="BA154" s="1279">
        <v>154</v>
      </c>
    </row>
    <row r="155" spans="1:53" s="95" customFormat="1" ht="14.1" customHeight="1">
      <c r="A155" s="2512"/>
      <c r="B155" s="2512" t="s">
        <v>716</v>
      </c>
      <c r="C155" s="2512"/>
      <c r="D155" s="2512"/>
      <c r="E155" s="2512"/>
      <c r="F155" s="2512"/>
      <c r="G155" s="2512"/>
      <c r="H155" s="2512"/>
      <c r="I155" s="198"/>
      <c r="J155" s="3236"/>
      <c r="K155" s="3237"/>
      <c r="L155" s="2512"/>
      <c r="M155" s="2512"/>
      <c r="N155" s="2512"/>
      <c r="O155" s="2512"/>
      <c r="P155" s="3236"/>
      <c r="Q155" s="3237"/>
      <c r="R155" s="2512"/>
      <c r="S155" s="2512"/>
      <c r="T155" s="2512"/>
      <c r="U155" s="2512"/>
      <c r="V155" s="635"/>
      <c r="W155" s="3159"/>
      <c r="X155" s="3160"/>
      <c r="Y155" s="2512"/>
      <c r="Z155" s="2512"/>
      <c r="AA155" s="2512"/>
      <c r="AB155" s="2512"/>
      <c r="AC155" s="2512"/>
      <c r="AD155" s="2512"/>
      <c r="AE155" s="2512"/>
      <c r="AF155" s="2512"/>
      <c r="AG155" s="2512"/>
      <c r="AH155" s="2512"/>
      <c r="AI155" s="2512"/>
      <c r="AJ155" s="2512"/>
      <c r="AK155" s="2512"/>
      <c r="AL155" s="2512"/>
      <c r="AM155" s="2512"/>
      <c r="AN155" s="2512"/>
      <c r="AO155" s="2512"/>
      <c r="AP155" s="2512"/>
      <c r="AQ155" s="2512"/>
      <c r="AR155" s="2512"/>
      <c r="AS155" s="2512"/>
      <c r="AT155" s="2512"/>
      <c r="AU155" s="2512"/>
      <c r="AV155" s="2512"/>
      <c r="AW155" s="2512"/>
      <c r="AX155" s="2512"/>
      <c r="AY155" s="2512"/>
      <c r="AZ155" s="1315"/>
      <c r="BA155" s="1279">
        <v>155</v>
      </c>
    </row>
    <row r="156" spans="1:53" s="95" customFormat="1" ht="14.1" customHeight="1">
      <c r="A156" s="2512"/>
      <c r="B156" s="2512" t="s">
        <v>717</v>
      </c>
      <c r="C156" s="2512"/>
      <c r="D156" s="2512"/>
      <c r="E156" s="2512"/>
      <c r="F156" s="2512"/>
      <c r="G156" s="2512"/>
      <c r="H156" s="2512"/>
      <c r="I156" s="198"/>
      <c r="J156" s="3236"/>
      <c r="K156" s="3237"/>
      <c r="L156" s="2512"/>
      <c r="M156" s="2512"/>
      <c r="N156" s="2512"/>
      <c r="O156" s="2512"/>
      <c r="P156" s="3236"/>
      <c r="Q156" s="3237"/>
      <c r="R156" s="2512"/>
      <c r="S156" s="2512"/>
      <c r="T156" s="2512"/>
      <c r="U156" s="2512"/>
      <c r="V156" s="635"/>
      <c r="W156" s="3159"/>
      <c r="X156" s="3160"/>
      <c r="Y156" s="2512"/>
      <c r="Z156" s="2512"/>
      <c r="AA156" s="2512"/>
      <c r="AB156" s="2512"/>
      <c r="AC156" s="2512"/>
      <c r="AD156" s="2512"/>
      <c r="AE156" s="2512"/>
      <c r="AF156" s="2512"/>
      <c r="AG156" s="2512"/>
      <c r="AH156" s="2512"/>
      <c r="AI156" s="2512"/>
      <c r="AJ156" s="2512"/>
      <c r="AK156" s="2512"/>
      <c r="AL156" s="2512"/>
      <c r="AM156" s="2512"/>
      <c r="AN156" s="2512"/>
      <c r="AO156" s="2512"/>
      <c r="AP156" s="2512"/>
      <c r="AQ156" s="2512"/>
      <c r="AR156" s="2512"/>
      <c r="AS156" s="2512"/>
      <c r="AT156" s="2512"/>
      <c r="AU156" s="2512"/>
      <c r="AV156" s="2512"/>
      <c r="AW156" s="2512"/>
      <c r="AX156" s="2512"/>
      <c r="AY156" s="2512"/>
      <c r="AZ156" s="1315"/>
      <c r="BA156" s="1279">
        <v>156</v>
      </c>
    </row>
    <row r="157" spans="1:53" s="95" customFormat="1" ht="14.1" customHeight="1">
      <c r="A157" s="2512"/>
      <c r="B157" s="2512" t="s">
        <v>718</v>
      </c>
      <c r="C157" s="2512"/>
      <c r="D157" s="2512"/>
      <c r="E157" s="2512"/>
      <c r="F157" s="2512"/>
      <c r="G157" s="2512"/>
      <c r="H157" s="2512"/>
      <c r="I157" s="198"/>
      <c r="J157" s="3236"/>
      <c r="K157" s="3237"/>
      <c r="L157" s="2512"/>
      <c r="M157" s="2512"/>
      <c r="N157" s="2512"/>
      <c r="O157" s="2512"/>
      <c r="P157" s="3236"/>
      <c r="Q157" s="3237"/>
      <c r="R157" s="2512"/>
      <c r="S157" s="2512"/>
      <c r="T157" s="2512"/>
      <c r="U157" s="2512"/>
      <c r="V157" s="635"/>
      <c r="W157" s="3159"/>
      <c r="X157" s="3160"/>
      <c r="Y157" s="2512"/>
      <c r="Z157" s="2512"/>
      <c r="AA157" s="2512"/>
      <c r="AB157" s="2512"/>
      <c r="AC157" s="2512"/>
      <c r="AD157" s="2512"/>
      <c r="AE157" s="2512"/>
      <c r="AF157" s="2512"/>
      <c r="AG157" s="2512"/>
      <c r="AH157" s="2512"/>
      <c r="AI157" s="2512"/>
      <c r="AJ157" s="2512"/>
      <c r="AK157" s="2512"/>
      <c r="AL157" s="2512"/>
      <c r="AM157" s="2512"/>
      <c r="AN157" s="2512"/>
      <c r="AO157" s="2512"/>
      <c r="AP157" s="2512"/>
      <c r="AQ157" s="2512"/>
      <c r="AR157" s="2512"/>
      <c r="AS157" s="2512"/>
      <c r="AT157" s="2512"/>
      <c r="AU157" s="2512"/>
      <c r="AV157" s="2512"/>
      <c r="AW157" s="2512"/>
      <c r="AX157" s="2512"/>
      <c r="AY157" s="2512"/>
      <c r="AZ157" s="1315"/>
      <c r="BA157" s="1279">
        <v>157</v>
      </c>
    </row>
    <row r="158" spans="1:53" s="95" customFormat="1" ht="14.1" customHeight="1" thickBot="1">
      <c r="A158" s="2512"/>
      <c r="B158" s="2512" t="s">
        <v>719</v>
      </c>
      <c r="C158" s="3243" t="s">
        <v>720</v>
      </c>
      <c r="D158" s="3243"/>
      <c r="E158" s="3243"/>
      <c r="F158" s="3243"/>
      <c r="G158" s="3243"/>
      <c r="H158" s="3243"/>
      <c r="I158" s="3244"/>
      <c r="J158" s="3245"/>
      <c r="K158" s="3246"/>
      <c r="L158" s="2512"/>
      <c r="M158" s="2512"/>
      <c r="N158" s="2512"/>
      <c r="O158" s="2512"/>
      <c r="P158" s="3245"/>
      <c r="Q158" s="3246"/>
      <c r="R158" s="2512"/>
      <c r="S158" s="2512"/>
      <c r="T158" s="2512"/>
      <c r="U158" s="2512"/>
      <c r="V158" s="635"/>
      <c r="W158" s="3163"/>
      <c r="X158" s="3164"/>
      <c r="Y158" s="2512"/>
      <c r="Z158" s="2512"/>
      <c r="AA158" s="2512"/>
      <c r="AB158" s="2512"/>
      <c r="AC158" s="2512"/>
      <c r="AD158" s="2512"/>
      <c r="AE158" s="2512"/>
      <c r="AF158" s="2512"/>
      <c r="AG158" s="2512"/>
      <c r="AH158" s="2512"/>
      <c r="AI158" s="2512"/>
      <c r="AJ158" s="2512"/>
      <c r="AK158" s="2512"/>
      <c r="AL158" s="2512"/>
      <c r="AM158" s="2512"/>
      <c r="AN158" s="2512"/>
      <c r="AO158" s="2512"/>
      <c r="AP158" s="2512"/>
      <c r="AQ158" s="2512"/>
      <c r="AR158" s="2512"/>
      <c r="AS158" s="2512"/>
      <c r="AT158" s="2512"/>
      <c r="AU158" s="2512"/>
      <c r="AV158" s="2512"/>
      <c r="AW158" s="2512"/>
      <c r="AX158" s="2512"/>
      <c r="AY158" s="2512"/>
      <c r="AZ158" s="1315"/>
      <c r="BA158" s="1279">
        <v>158</v>
      </c>
    </row>
    <row r="159" spans="1:53" s="95" customFormat="1" ht="14.1" customHeight="1" thickBot="1">
      <c r="A159" s="2512"/>
      <c r="B159" s="151" t="s">
        <v>721</v>
      </c>
      <c r="C159" s="156"/>
      <c r="D159" s="2512"/>
      <c r="E159" s="2512"/>
      <c r="F159" s="2512"/>
      <c r="G159" s="2512"/>
      <c r="H159" s="2512"/>
      <c r="I159" s="2512"/>
      <c r="J159" s="3128">
        <f>SUM(J153:K158)</f>
        <v>0</v>
      </c>
      <c r="K159" s="3129"/>
      <c r="L159" s="2512"/>
      <c r="M159" s="2512"/>
      <c r="N159" s="2512"/>
      <c r="O159" s="2512"/>
      <c r="P159" s="3128">
        <f>SUM(P153:Q158)</f>
        <v>0</v>
      </c>
      <c r="Q159" s="3129"/>
      <c r="R159" s="2512"/>
      <c r="S159" s="2512"/>
      <c r="T159" s="2512"/>
      <c r="U159" s="2512"/>
      <c r="V159" s="637">
        <f>SUM(V153:V158)</f>
        <v>0</v>
      </c>
      <c r="W159" s="3167"/>
      <c r="X159" s="3168"/>
      <c r="Y159" s="2512"/>
      <c r="Z159" s="2512"/>
      <c r="AA159" s="2512"/>
      <c r="AB159" s="2512"/>
      <c r="AC159" s="2512"/>
      <c r="AD159" s="2512"/>
      <c r="AE159" s="2512"/>
      <c r="AF159" s="2512"/>
      <c r="AG159" s="2512"/>
      <c r="AH159" s="2512"/>
      <c r="AI159" s="2512"/>
      <c r="AJ159" s="2512"/>
      <c r="AK159" s="2512"/>
      <c r="AL159" s="2512"/>
      <c r="AM159" s="2512"/>
      <c r="AN159" s="2512"/>
      <c r="AO159" s="2512"/>
      <c r="AP159" s="2512"/>
      <c r="AQ159" s="2512"/>
      <c r="AR159" s="2512"/>
      <c r="AS159" s="2512"/>
      <c r="AT159" s="2512"/>
      <c r="AU159" s="2512"/>
      <c r="AV159" s="2512"/>
      <c r="AW159" s="2512"/>
      <c r="AX159" s="2512"/>
      <c r="AY159" s="2512"/>
      <c r="AZ159" s="1315"/>
      <c r="BA159" s="1279">
        <v>159</v>
      </c>
    </row>
    <row r="160" spans="1:53" s="95" customFormat="1" ht="3" customHeight="1">
      <c r="A160" s="2512"/>
      <c r="B160" s="2512"/>
      <c r="C160" s="2512"/>
      <c r="D160" s="2512"/>
      <c r="E160" s="2512"/>
      <c r="F160" s="2512"/>
      <c r="G160" s="2512"/>
      <c r="H160" s="2512"/>
      <c r="I160" s="2512"/>
      <c r="J160" s="2512"/>
      <c r="K160" s="2512"/>
      <c r="L160" s="2512"/>
      <c r="M160" s="2512"/>
      <c r="N160" s="2512"/>
      <c r="O160" s="2512"/>
      <c r="P160" s="2512"/>
      <c r="Q160" s="2512"/>
      <c r="R160" s="2512"/>
      <c r="S160" s="2512"/>
      <c r="T160" s="2512"/>
      <c r="U160" s="2512"/>
      <c r="V160" s="638"/>
      <c r="W160" s="2512"/>
      <c r="X160" s="2512"/>
      <c r="Y160" s="2512"/>
      <c r="Z160" s="2512"/>
      <c r="AA160" s="2512"/>
      <c r="AB160" s="2512"/>
      <c r="AC160" s="2512"/>
      <c r="AD160" s="2512"/>
      <c r="AE160" s="2512"/>
      <c r="AF160" s="2512"/>
      <c r="AG160" s="2512"/>
      <c r="AH160" s="2512"/>
      <c r="AI160" s="2512"/>
      <c r="AJ160" s="2512"/>
      <c r="AK160" s="2512"/>
      <c r="AL160" s="2512"/>
      <c r="AM160" s="2512"/>
      <c r="AN160" s="2512"/>
      <c r="AO160" s="2512"/>
      <c r="AP160" s="2512"/>
      <c r="AQ160" s="2512"/>
      <c r="AR160" s="2512"/>
      <c r="AS160" s="2512"/>
      <c r="AT160" s="2512"/>
      <c r="AU160" s="2512"/>
      <c r="AV160" s="2512"/>
      <c r="AW160" s="2512"/>
      <c r="AX160" s="2512"/>
      <c r="AY160" s="2512"/>
      <c r="AZ160" s="1315"/>
      <c r="BA160" s="1279">
        <v>160</v>
      </c>
    </row>
    <row r="161" spans="1:53" s="95" customFormat="1" ht="15" customHeight="1">
      <c r="A161" s="2512"/>
      <c r="B161" s="151" t="s">
        <v>722</v>
      </c>
      <c r="C161" s="2512"/>
      <c r="D161" s="2512"/>
      <c r="E161" s="2512"/>
      <c r="F161" s="2512"/>
      <c r="G161" s="2512"/>
      <c r="H161" s="2512"/>
      <c r="I161" s="2512"/>
      <c r="J161" s="2512"/>
      <c r="K161" s="2512"/>
      <c r="L161" s="2512"/>
      <c r="M161" s="2512"/>
      <c r="N161" s="2512"/>
      <c r="O161" s="2512"/>
      <c r="P161" s="2512"/>
      <c r="Q161" s="2512"/>
      <c r="R161" s="2512"/>
      <c r="S161" s="2512"/>
      <c r="T161" s="2512"/>
      <c r="U161" s="2512"/>
      <c r="V161" s="638"/>
      <c r="W161" s="2512" t="str">
        <f>B161</f>
        <v>Eligible Basis Calculation</v>
      </c>
      <c r="X161" s="2512"/>
      <c r="Y161" s="2512"/>
      <c r="Z161" s="2512"/>
      <c r="AA161" s="2512"/>
      <c r="AB161" s="2512"/>
      <c r="AC161" s="2512"/>
      <c r="AD161" s="2512"/>
      <c r="AE161" s="2512"/>
      <c r="AF161" s="2512"/>
      <c r="AG161" s="2512"/>
      <c r="AH161" s="2512"/>
      <c r="AI161" s="2512"/>
      <c r="AJ161" s="2512"/>
      <c r="AK161" s="2512"/>
      <c r="AL161" s="2512"/>
      <c r="AM161" s="2512"/>
      <c r="AN161" s="2512"/>
      <c r="AO161" s="2512"/>
      <c r="AP161" s="2512"/>
      <c r="AQ161" s="2512"/>
      <c r="AR161" s="2512"/>
      <c r="AS161" s="2512"/>
      <c r="AT161" s="2512"/>
      <c r="AU161" s="2512"/>
      <c r="AV161" s="2512"/>
      <c r="AW161" s="2512"/>
      <c r="AX161" s="2512"/>
      <c r="AY161" s="2512"/>
      <c r="AZ161" s="1315"/>
      <c r="BA161" s="1279">
        <v>161</v>
      </c>
    </row>
    <row r="162" spans="1:53" s="95" customFormat="1" ht="14.1" customHeight="1">
      <c r="A162" s="2512"/>
      <c r="B162" s="2512" t="s">
        <v>723</v>
      </c>
      <c r="C162" s="2512"/>
      <c r="D162" s="2512"/>
      <c r="E162" s="2512"/>
      <c r="F162" s="2512"/>
      <c r="G162" s="2512"/>
      <c r="H162" s="2512"/>
      <c r="I162" s="2512"/>
      <c r="J162" s="3247">
        <f>J146</f>
        <v>19065949</v>
      </c>
      <c r="K162" s="3248"/>
      <c r="L162" s="2512"/>
      <c r="M162" s="3249">
        <f>M146</f>
        <v>0</v>
      </c>
      <c r="N162" s="4711"/>
      <c r="O162" s="2512"/>
      <c r="P162" s="3247">
        <f>P146</f>
        <v>0</v>
      </c>
      <c r="Q162" s="3248"/>
      <c r="R162" s="3250" t="s">
        <v>724</v>
      </c>
      <c r="S162" s="3251"/>
      <c r="T162" s="3251"/>
      <c r="U162" s="2512"/>
      <c r="V162" s="635"/>
      <c r="W162" s="3159"/>
      <c r="X162" s="3160"/>
      <c r="Y162" s="2512"/>
      <c r="Z162" s="2512"/>
      <c r="AA162" s="2512"/>
      <c r="AB162" s="2512"/>
      <c r="AC162" s="2512"/>
      <c r="AD162" s="2512"/>
      <c r="AE162" s="2512"/>
      <c r="AF162" s="2512"/>
      <c r="AG162" s="2512"/>
      <c r="AH162" s="2512"/>
      <c r="AI162" s="2512"/>
      <c r="AJ162" s="2512"/>
      <c r="AK162" s="2512"/>
      <c r="AL162" s="2512"/>
      <c r="AM162" s="2512"/>
      <c r="AN162" s="2512"/>
      <c r="AO162" s="2512"/>
      <c r="AP162" s="2512"/>
      <c r="AQ162" s="2512"/>
      <c r="AR162" s="2512"/>
      <c r="AS162" s="2512"/>
      <c r="AT162" s="2512"/>
      <c r="AU162" s="2512"/>
      <c r="AV162" s="2512"/>
      <c r="AW162" s="2512"/>
      <c r="AX162" s="2512"/>
      <c r="AY162" s="2512"/>
      <c r="AZ162" s="1315"/>
      <c r="BA162" s="1279">
        <v>162</v>
      </c>
    </row>
    <row r="163" spans="1:53" s="95" customFormat="1" ht="14.1" customHeight="1">
      <c r="A163" s="2512"/>
      <c r="B163" s="2512" t="s">
        <v>725</v>
      </c>
      <c r="C163" s="2512"/>
      <c r="D163" s="2512"/>
      <c r="E163" s="2512"/>
      <c r="F163" s="2512"/>
      <c r="G163" s="2512"/>
      <c r="H163" s="2512"/>
      <c r="I163" s="2512"/>
      <c r="J163" s="3252">
        <f>J159</f>
        <v>0</v>
      </c>
      <c r="K163" s="3253"/>
      <c r="L163" s="2512"/>
      <c r="M163" s="3254"/>
      <c r="N163" s="3254"/>
      <c r="O163" s="2512"/>
      <c r="P163" s="3252">
        <f>P159</f>
        <v>0</v>
      </c>
      <c r="Q163" s="3253"/>
      <c r="R163" s="3250"/>
      <c r="S163" s="3251"/>
      <c r="T163" s="3251"/>
      <c r="U163" s="848"/>
      <c r="V163" s="635"/>
      <c r="W163" s="3159"/>
      <c r="X163" s="3160"/>
      <c r="Y163" s="2512"/>
      <c r="Z163" s="2512"/>
      <c r="AA163" s="2512"/>
      <c r="AB163" s="2512"/>
      <c r="AC163" s="2512"/>
      <c r="AD163" s="2512"/>
      <c r="AE163" s="2512"/>
      <c r="AF163" s="2512"/>
      <c r="AG163" s="2512"/>
      <c r="AH163" s="2512"/>
      <c r="AI163" s="2512"/>
      <c r="AJ163" s="2512"/>
      <c r="AK163" s="2512"/>
      <c r="AL163" s="2512"/>
      <c r="AM163" s="2512"/>
      <c r="AN163" s="2512"/>
      <c r="AO163" s="2512"/>
      <c r="AP163" s="2512"/>
      <c r="AQ163" s="2512"/>
      <c r="AR163" s="2512"/>
      <c r="AS163" s="2512"/>
      <c r="AT163" s="2512"/>
      <c r="AU163" s="2512"/>
      <c r="AV163" s="2512"/>
      <c r="AW163" s="2512"/>
      <c r="AX163" s="2512"/>
      <c r="AY163" s="2512"/>
      <c r="AZ163" s="1315"/>
      <c r="BA163" s="1279">
        <v>163</v>
      </c>
    </row>
    <row r="164" spans="1:53" s="95" customFormat="1" ht="14.1" customHeight="1">
      <c r="A164" s="2512"/>
      <c r="B164" s="2512" t="s">
        <v>726</v>
      </c>
      <c r="C164" s="2512"/>
      <c r="D164" s="2512"/>
      <c r="E164" s="2512"/>
      <c r="F164" s="2512"/>
      <c r="G164" s="2512"/>
      <c r="H164" s="2512"/>
      <c r="I164" s="2512"/>
      <c r="J164" s="3252">
        <f>J162-J163</f>
        <v>19065949</v>
      </c>
      <c r="K164" s="3253"/>
      <c r="L164" s="2512"/>
      <c r="M164" s="3255">
        <f>M162</f>
        <v>0</v>
      </c>
      <c r="N164" s="3256"/>
      <c r="O164" s="2512"/>
      <c r="P164" s="3252">
        <f>P162-P163</f>
        <v>0</v>
      </c>
      <c r="Q164" s="3253"/>
      <c r="R164" s="3257" t="s">
        <v>727</v>
      </c>
      <c r="S164" s="3258"/>
      <c r="T164" s="4712"/>
      <c r="U164" s="848"/>
      <c r="V164" s="635"/>
      <c r="W164" s="3159"/>
      <c r="X164" s="3160"/>
      <c r="Y164" s="2512"/>
      <c r="Z164" s="2512"/>
      <c r="AA164" s="2512"/>
      <c r="AB164" s="2512"/>
      <c r="AC164" s="2512"/>
      <c r="AD164" s="2512"/>
      <c r="AE164" s="2512"/>
      <c r="AF164" s="2512"/>
      <c r="AG164" s="2512"/>
      <c r="AH164" s="2512"/>
      <c r="AI164" s="2512"/>
      <c r="AJ164" s="2512"/>
      <c r="AK164" s="2512"/>
      <c r="AL164" s="2512"/>
      <c r="AM164" s="2512"/>
      <c r="AN164" s="2512"/>
      <c r="AO164" s="2512"/>
      <c r="AP164" s="2512"/>
      <c r="AQ164" s="2512"/>
      <c r="AR164" s="2512"/>
      <c r="AS164" s="2512"/>
      <c r="AT164" s="2512"/>
      <c r="AU164" s="2512"/>
      <c r="AV164" s="2512"/>
      <c r="AW164" s="2512"/>
      <c r="AX164" s="2512"/>
      <c r="AY164" s="2512"/>
      <c r="AZ164" s="1315"/>
      <c r="BA164" s="1279">
        <v>164</v>
      </c>
    </row>
    <row r="165" spans="1:53" s="95" customFormat="1" ht="14.1" customHeight="1">
      <c r="A165" s="2512"/>
      <c r="B165" s="2512" t="s">
        <v>728</v>
      </c>
      <c r="C165" s="2512"/>
      <c r="D165" s="2512"/>
      <c r="E165" s="2512"/>
      <c r="F165" s="2512"/>
      <c r="G165" s="2518" t="s">
        <v>729</v>
      </c>
      <c r="H165" s="2861" t="s">
        <v>730</v>
      </c>
      <c r="I165" s="2862"/>
      <c r="J165" s="3265">
        <v>1</v>
      </c>
      <c r="K165" s="3266"/>
      <c r="L165" s="2512"/>
      <c r="M165" s="3267"/>
      <c r="N165" s="3267"/>
      <c r="O165" s="2512"/>
      <c r="P165" s="3265"/>
      <c r="Q165" s="3266"/>
      <c r="R165" s="3259"/>
      <c r="S165" s="3260"/>
      <c r="T165" s="3261"/>
      <c r="U165" s="849"/>
      <c r="V165" s="635"/>
      <c r="W165" s="3159"/>
      <c r="X165" s="3160"/>
      <c r="Y165" s="2512"/>
      <c r="Z165" s="2512"/>
      <c r="AA165" s="2512"/>
      <c r="AB165" s="2512"/>
      <c r="AC165" s="2512"/>
      <c r="AD165" s="2512"/>
      <c r="AE165" s="2512"/>
      <c r="AF165" s="2512"/>
      <c r="AG165" s="2512"/>
      <c r="AH165" s="2512"/>
      <c r="AI165" s="2512"/>
      <c r="AJ165" s="2512"/>
      <c r="AK165" s="2512"/>
      <c r="AL165" s="2512"/>
      <c r="AM165" s="2512"/>
      <c r="AN165" s="2512"/>
      <c r="AO165" s="2512"/>
      <c r="AP165" s="2512"/>
      <c r="AQ165" s="2512"/>
      <c r="AR165" s="2512"/>
      <c r="AS165" s="2512"/>
      <c r="AT165" s="2512"/>
      <c r="AU165" s="2512"/>
      <c r="AV165" s="2512"/>
      <c r="AW165" s="2512"/>
      <c r="AX165" s="2512"/>
      <c r="AY165" s="2512"/>
      <c r="AZ165" s="1315"/>
      <c r="BA165" s="1279">
        <v>165</v>
      </c>
    </row>
    <row r="166" spans="1:53" s="95" customFormat="1" ht="14.1" customHeight="1">
      <c r="A166" s="2512"/>
      <c r="B166" s="2512" t="s">
        <v>731</v>
      </c>
      <c r="C166" s="2512"/>
      <c r="D166" s="2512"/>
      <c r="E166" s="2512"/>
      <c r="F166" s="2512"/>
      <c r="G166" s="2512"/>
      <c r="H166" s="2512"/>
      <c r="I166" s="2512"/>
      <c r="J166" s="3252">
        <f>J164*J165</f>
        <v>19065949</v>
      </c>
      <c r="K166" s="3253"/>
      <c r="L166" s="2512"/>
      <c r="M166" s="3247">
        <f>+M164</f>
        <v>0</v>
      </c>
      <c r="N166" s="3248"/>
      <c r="O166" s="2512"/>
      <c r="P166" s="3252">
        <f>P164*P165</f>
        <v>0</v>
      </c>
      <c r="Q166" s="3253"/>
      <c r="R166" s="3262"/>
      <c r="S166" s="3263"/>
      <c r="T166" s="3264"/>
      <c r="U166" s="849"/>
      <c r="V166" s="635"/>
      <c r="W166" s="3159"/>
      <c r="X166" s="3160"/>
      <c r="Y166" s="2512"/>
      <c r="Z166" s="2512"/>
      <c r="AA166" s="2512"/>
      <c r="AB166" s="2512"/>
      <c r="AC166" s="2512"/>
      <c r="AD166" s="2512"/>
      <c r="AE166" s="2512"/>
      <c r="AF166" s="2512"/>
      <c r="AG166" s="2512"/>
      <c r="AH166" s="2512"/>
      <c r="AI166" s="2512"/>
      <c r="AJ166" s="2512"/>
      <c r="AK166" s="2512"/>
      <c r="AL166" s="2512"/>
      <c r="AM166" s="2512"/>
      <c r="AN166" s="2512"/>
      <c r="AO166" s="2512"/>
      <c r="AP166" s="2512"/>
      <c r="AQ166" s="2512"/>
      <c r="AR166" s="2512"/>
      <c r="AS166" s="2512"/>
      <c r="AT166" s="2512"/>
      <c r="AU166" s="2512"/>
      <c r="AV166" s="2512"/>
      <c r="AW166" s="2512"/>
      <c r="AX166" s="2512"/>
      <c r="AY166" s="2512"/>
      <c r="AZ166" s="1315"/>
      <c r="BA166" s="1279">
        <v>166</v>
      </c>
    </row>
    <row r="167" spans="1:53" s="95" customFormat="1" ht="14.1" customHeight="1">
      <c r="A167" s="2512"/>
      <c r="B167" s="2512" t="s">
        <v>732</v>
      </c>
      <c r="C167" s="2512"/>
      <c r="D167" s="2512"/>
      <c r="E167" s="2512"/>
      <c r="F167" s="2512"/>
      <c r="G167" s="2512"/>
      <c r="H167" s="2512"/>
      <c r="I167" s="2512"/>
      <c r="J167" s="3268">
        <f>MIN('Part V-Revenues &amp; Expenses'!$P$63/'Part V-Revenues &amp; Expenses'!$P$65,'Part V-Revenues &amp; Expenses'!$P$168/'Part V-Revenues &amp; Expenses'!$P$170)</f>
        <v>0.89481735583163358</v>
      </c>
      <c r="K167" s="3269"/>
      <c r="L167" s="2512"/>
      <c r="M167" s="3268">
        <f>MIN('Part V-Revenues &amp; Expenses'!$P$63/'Part V-Revenues &amp; Expenses'!$P$65,'Part V-Revenues &amp; Expenses'!$P$168/'Part V-Revenues &amp; Expenses'!$P$170)</f>
        <v>0.89481735583163358</v>
      </c>
      <c r="N167" s="3269"/>
      <c r="O167" s="2512"/>
      <c r="P167" s="3268">
        <f>MIN('Part V-Revenues &amp; Expenses'!$P$63/'Part V-Revenues &amp; Expenses'!$P$65,'Part V-Revenues &amp; Expenses'!$P$168/'Part V-Revenues &amp; Expenses'!$P$170)</f>
        <v>0.89481735583163358</v>
      </c>
      <c r="Q167" s="3269"/>
      <c r="R167" s="3270" t="s">
        <v>733</v>
      </c>
      <c r="S167" s="3271"/>
      <c r="T167" s="3272"/>
      <c r="U167" s="2512"/>
      <c r="V167" s="635"/>
      <c r="W167" s="3159"/>
      <c r="X167" s="3160"/>
      <c r="Y167" s="2512"/>
      <c r="Z167" s="2512"/>
      <c r="AA167" s="2512"/>
      <c r="AB167" s="2512"/>
      <c r="AC167" s="2512"/>
      <c r="AD167" s="2512"/>
      <c r="AE167" s="2512"/>
      <c r="AF167" s="2512"/>
      <c r="AG167" s="2512"/>
      <c r="AH167" s="2512"/>
      <c r="AI167" s="2512"/>
      <c r="AJ167" s="2512"/>
      <c r="AK167" s="2512"/>
      <c r="AL167" s="2512"/>
      <c r="AM167" s="2512"/>
      <c r="AN167" s="2512"/>
      <c r="AO167" s="2512"/>
      <c r="AP167" s="2512"/>
      <c r="AQ167" s="2512"/>
      <c r="AR167" s="2512"/>
      <c r="AS167" s="2512"/>
      <c r="AT167" s="2512"/>
      <c r="AU167" s="2512"/>
      <c r="AV167" s="2512"/>
      <c r="AW167" s="2512"/>
      <c r="AX167" s="2512"/>
      <c r="AY167" s="2512"/>
      <c r="AZ167" s="1315"/>
      <c r="BA167" s="1279">
        <v>167</v>
      </c>
    </row>
    <row r="168" spans="1:53" s="95" customFormat="1" ht="14.1" customHeight="1">
      <c r="A168" s="2512"/>
      <c r="B168" s="2512" t="s">
        <v>734</v>
      </c>
      <c r="C168" s="2512"/>
      <c r="D168" s="2512"/>
      <c r="E168" s="2512"/>
      <c r="F168" s="2512"/>
      <c r="G168" s="2512"/>
      <c r="H168" s="2512"/>
      <c r="I168" s="2512"/>
      <c r="J168" s="3252">
        <f>J166*J167</f>
        <v>17060542.070600778</v>
      </c>
      <c r="K168" s="3253"/>
      <c r="L168" s="2512"/>
      <c r="M168" s="3252">
        <f>M166*M167</f>
        <v>0</v>
      </c>
      <c r="N168" s="3253"/>
      <c r="O168" s="2512"/>
      <c r="P168" s="3252">
        <f>P166*P167</f>
        <v>0</v>
      </c>
      <c r="Q168" s="3253"/>
      <c r="R168" s="2512"/>
      <c r="S168" s="2512"/>
      <c r="T168" s="2512"/>
      <c r="U168" s="2512"/>
      <c r="V168" s="635"/>
      <c r="W168" s="3159"/>
      <c r="X168" s="3160"/>
      <c r="Y168" s="2512"/>
      <c r="Z168" s="2512"/>
      <c r="AA168" s="2512"/>
      <c r="AB168" s="2512"/>
      <c r="AC168" s="2512"/>
      <c r="AD168" s="2512"/>
      <c r="AE168" s="2512"/>
      <c r="AF168" s="2512"/>
      <c r="AG168" s="2512"/>
      <c r="AH168" s="2512"/>
      <c r="AI168" s="2512"/>
      <c r="AJ168" s="2512"/>
      <c r="AK168" s="2512"/>
      <c r="AL168" s="2512"/>
      <c r="AM168" s="2512"/>
      <c r="AN168" s="2512"/>
      <c r="AO168" s="2512"/>
      <c r="AP168" s="2512"/>
      <c r="AQ168" s="2512"/>
      <c r="AR168" s="2512"/>
      <c r="AS168" s="2512"/>
      <c r="AT168" s="2512"/>
      <c r="AU168" s="2512"/>
      <c r="AV168" s="2512"/>
      <c r="AW168" s="2512"/>
      <c r="AX168" s="2512"/>
      <c r="AY168" s="2512"/>
      <c r="AZ168" s="1315"/>
      <c r="BA168" s="1279">
        <v>168</v>
      </c>
    </row>
    <row r="169" spans="1:53" s="95" customFormat="1" ht="14.1" customHeight="1">
      <c r="A169" s="2512"/>
      <c r="B169" s="2512" t="s">
        <v>735</v>
      </c>
      <c r="C169" s="2512"/>
      <c r="D169" s="2512"/>
      <c r="E169" s="2512"/>
      <c r="F169" s="2512"/>
      <c r="G169" s="2512"/>
      <c r="H169" s="2512"/>
      <c r="I169" s="2512"/>
      <c r="J169" s="3265">
        <v>0.09</v>
      </c>
      <c r="K169" s="3266"/>
      <c r="L169" s="2512"/>
      <c r="M169" s="3265"/>
      <c r="N169" s="3266"/>
      <c r="O169" s="2512"/>
      <c r="P169" s="3265"/>
      <c r="Q169" s="3266"/>
      <c r="R169" s="2512"/>
      <c r="S169" s="2512"/>
      <c r="T169" s="2512"/>
      <c r="U169" s="2512"/>
      <c r="V169" s="635"/>
      <c r="W169" s="3159"/>
      <c r="X169" s="3160"/>
      <c r="Y169" s="2512"/>
      <c r="Z169" s="2512"/>
      <c r="AA169" s="2512"/>
      <c r="AB169" s="2512"/>
      <c r="AC169" s="2512"/>
      <c r="AD169" s="2512"/>
      <c r="AE169" s="2512"/>
      <c r="AF169" s="2512"/>
      <c r="AG169" s="2512"/>
      <c r="AH169" s="2512"/>
      <c r="AI169" s="2512"/>
      <c r="AJ169" s="2512"/>
      <c r="AK169" s="2512"/>
      <c r="AL169" s="2512"/>
      <c r="AM169" s="2512"/>
      <c r="AN169" s="2512"/>
      <c r="AO169" s="2512"/>
      <c r="AP169" s="2512"/>
      <c r="AQ169" s="2512"/>
      <c r="AR169" s="2512"/>
      <c r="AS169" s="2512"/>
      <c r="AT169" s="2512"/>
      <c r="AU169" s="2512"/>
      <c r="AV169" s="2512"/>
      <c r="AW169" s="2512"/>
      <c r="AX169" s="2512"/>
      <c r="AY169" s="2512"/>
      <c r="AZ169" s="1315"/>
      <c r="BA169" s="1279">
        <v>169</v>
      </c>
    </row>
    <row r="170" spans="1:53" s="95" customFormat="1" ht="14.1" customHeight="1" thickBot="1">
      <c r="A170" s="2512"/>
      <c r="B170" s="2512" t="s">
        <v>736</v>
      </c>
      <c r="C170" s="2512"/>
      <c r="D170" s="2512"/>
      <c r="E170" s="2512"/>
      <c r="F170" s="2512"/>
      <c r="G170" s="2512"/>
      <c r="H170" s="2512"/>
      <c r="I170" s="2512"/>
      <c r="J170" s="3273">
        <f>J168*J169</f>
        <v>1535448.7863540701</v>
      </c>
      <c r="K170" s="3274"/>
      <c r="L170" s="2512"/>
      <c r="M170" s="3273">
        <f>M168*M169</f>
        <v>0</v>
      </c>
      <c r="N170" s="3274"/>
      <c r="O170" s="2512"/>
      <c r="P170" s="3273">
        <f>P168*P169</f>
        <v>0</v>
      </c>
      <c r="Q170" s="3274"/>
      <c r="R170" s="2512"/>
      <c r="S170" s="2512"/>
      <c r="T170" s="2512"/>
      <c r="U170" s="2512"/>
      <c r="V170" s="641"/>
      <c r="W170" s="3163"/>
      <c r="X170" s="3164"/>
      <c r="Y170" s="2512"/>
      <c r="Z170" s="2512"/>
      <c r="AA170" s="2512"/>
      <c r="AB170" s="2512"/>
      <c r="AC170" s="2512"/>
      <c r="AD170" s="2512"/>
      <c r="AE170" s="2512"/>
      <c r="AF170" s="2512"/>
      <c r="AG170" s="2512"/>
      <c r="AH170" s="2512"/>
      <c r="AI170" s="2512"/>
      <c r="AJ170" s="2512"/>
      <c r="AK170" s="2512"/>
      <c r="AL170" s="2512"/>
      <c r="AM170" s="2512"/>
      <c r="AN170" s="2512"/>
      <c r="AO170" s="2512"/>
      <c r="AP170" s="2512"/>
      <c r="AQ170" s="2512"/>
      <c r="AR170" s="2512"/>
      <c r="AS170" s="2512"/>
      <c r="AT170" s="2512"/>
      <c r="AU170" s="2512"/>
      <c r="AV170" s="2512"/>
      <c r="AW170" s="2512"/>
      <c r="AX170" s="2512"/>
      <c r="AY170" s="2512"/>
      <c r="AZ170" s="1315"/>
      <c r="BA170" s="1279">
        <v>170</v>
      </c>
    </row>
    <row r="171" spans="1:53" s="95" customFormat="1" ht="14.1" customHeight="1" thickBot="1">
      <c r="A171" s="2512"/>
      <c r="B171" s="151" t="s">
        <v>737</v>
      </c>
      <c r="C171" s="2512"/>
      <c r="D171" s="2512"/>
      <c r="E171" s="2512"/>
      <c r="F171" s="2512"/>
      <c r="G171" s="2512"/>
      <c r="H171" s="2512"/>
      <c r="I171" s="2512"/>
      <c r="J171" s="3128">
        <f>ROUNDDOWN(J170+M170+P170,0)</f>
        <v>1535448</v>
      </c>
      <c r="K171" s="3275"/>
      <c r="L171" s="3275"/>
      <c r="M171" s="3275"/>
      <c r="N171" s="3275"/>
      <c r="O171" s="3275"/>
      <c r="P171" s="3275"/>
      <c r="Q171" s="3129"/>
      <c r="R171" s="2512"/>
      <c r="S171" s="2512"/>
      <c r="T171" s="2512"/>
      <c r="U171" s="2512"/>
      <c r="V171" s="637"/>
      <c r="W171" s="3213"/>
      <c r="X171" s="3214"/>
      <c r="Y171" s="2512"/>
      <c r="Z171" s="2512"/>
      <c r="AA171" s="2512"/>
      <c r="AB171" s="2512"/>
      <c r="AC171" s="2512"/>
      <c r="AD171" s="2512"/>
      <c r="AE171" s="2512"/>
      <c r="AF171" s="2512"/>
      <c r="AG171" s="2512"/>
      <c r="AH171" s="2512"/>
      <c r="AI171" s="2512"/>
      <c r="AJ171" s="2512"/>
      <c r="AK171" s="2512"/>
      <c r="AL171" s="2512"/>
      <c r="AM171" s="2512"/>
      <c r="AN171" s="2512"/>
      <c r="AO171" s="2512"/>
      <c r="AP171" s="2512"/>
      <c r="AQ171" s="2512"/>
      <c r="AR171" s="2512"/>
      <c r="AS171" s="2512"/>
      <c r="AT171" s="2512"/>
      <c r="AU171" s="2512"/>
      <c r="AV171" s="2512"/>
      <c r="AW171" s="2512"/>
      <c r="AX171" s="2512"/>
      <c r="AY171" s="2512"/>
      <c r="AZ171" s="1315"/>
      <c r="BA171" s="1279">
        <v>171</v>
      </c>
    </row>
    <row r="172" spans="1:53" s="95" customFormat="1" ht="6" customHeight="1">
      <c r="A172" s="2512"/>
      <c r="B172" s="199"/>
      <c r="C172" s="2512"/>
      <c r="D172" s="2512"/>
      <c r="E172" s="2512"/>
      <c r="F172" s="2512"/>
      <c r="G172" s="2512"/>
      <c r="H172" s="2512"/>
      <c r="I172" s="2512"/>
      <c r="J172" s="2512"/>
      <c r="K172" s="2512"/>
      <c r="L172" s="200"/>
      <c r="M172" s="200"/>
      <c r="N172" s="200"/>
      <c r="O172" s="200"/>
      <c r="P172" s="2512"/>
      <c r="Q172" s="2512"/>
      <c r="R172" s="2512"/>
      <c r="S172" s="2512"/>
      <c r="T172" s="2512"/>
      <c r="U172" s="2512"/>
      <c r="V172" s="638"/>
      <c r="W172" s="2512"/>
      <c r="X172" s="2512"/>
      <c r="Y172" s="2512"/>
      <c r="Z172" s="2512"/>
      <c r="AA172" s="2512"/>
      <c r="AB172" s="2512"/>
      <c r="AC172" s="2512"/>
      <c r="AD172" s="2512"/>
      <c r="AE172" s="2512"/>
      <c r="AF172" s="2512"/>
      <c r="AG172" s="2512"/>
      <c r="AH172" s="2512"/>
      <c r="AI172" s="2512"/>
      <c r="AJ172" s="2512"/>
      <c r="AK172" s="2512"/>
      <c r="AL172" s="2512"/>
      <c r="AM172" s="2512"/>
      <c r="AN172" s="2512"/>
      <c r="AO172" s="2512"/>
      <c r="AP172" s="2512"/>
      <c r="AQ172" s="2512"/>
      <c r="AR172" s="2512"/>
      <c r="AS172" s="2512"/>
      <c r="AT172" s="2512"/>
      <c r="AU172" s="2512"/>
      <c r="AV172" s="2512"/>
      <c r="AW172" s="2512"/>
      <c r="AX172" s="2512"/>
      <c r="AY172" s="2512"/>
      <c r="AZ172" s="1315"/>
      <c r="BA172" s="1279">
        <v>172</v>
      </c>
    </row>
    <row r="173" spans="1:53" s="95" customFormat="1" ht="14.1" customHeight="1">
      <c r="A173" s="238" t="s">
        <v>32</v>
      </c>
      <c r="B173" s="238" t="s">
        <v>738</v>
      </c>
      <c r="C173" s="2512"/>
      <c r="D173" s="2512"/>
      <c r="E173" s="2512"/>
      <c r="F173" s="2512"/>
      <c r="G173" s="2512"/>
      <c r="H173" s="191"/>
      <c r="I173" s="191"/>
      <c r="J173" s="2512"/>
      <c r="K173" s="2512"/>
      <c r="L173" s="2512"/>
      <c r="M173" s="265"/>
      <c r="N173" s="2512"/>
      <c r="O173" s="2512"/>
      <c r="P173" s="2512"/>
      <c r="Q173" s="2512"/>
      <c r="R173" s="2512"/>
      <c r="S173" s="2512"/>
      <c r="T173" s="2512"/>
      <c r="U173" s="2512"/>
      <c r="V173" s="638"/>
      <c r="W173" s="2512"/>
      <c r="X173" s="2512"/>
      <c r="Y173" s="2512"/>
      <c r="Z173" s="2512"/>
      <c r="AA173" s="2512"/>
      <c r="AB173" s="2512"/>
      <c r="AC173" s="2512"/>
      <c r="AD173" s="2512"/>
      <c r="AE173" s="2512"/>
      <c r="AF173" s="2512"/>
      <c r="AG173" s="2512"/>
      <c r="AH173" s="2512"/>
      <c r="AI173" s="2512"/>
      <c r="AJ173" s="2512"/>
      <c r="AK173" s="2512"/>
      <c r="AL173" s="2512"/>
      <c r="AM173" s="2512"/>
      <c r="AN173" s="2512"/>
      <c r="AO173" s="2512"/>
      <c r="AP173" s="2512"/>
      <c r="AQ173" s="2512"/>
      <c r="AR173" s="2512"/>
      <c r="AS173" s="2512"/>
      <c r="AT173" s="2512"/>
      <c r="AU173" s="2512"/>
      <c r="AV173" s="2512"/>
      <c r="AW173" s="2512"/>
      <c r="AX173" s="2512"/>
      <c r="AY173" s="2512"/>
      <c r="AZ173" s="1315"/>
      <c r="BA173" s="1279">
        <v>173</v>
      </c>
    </row>
    <row r="174" spans="1:53" s="95" customFormat="1" ht="3" customHeight="1">
      <c r="A174" s="2512"/>
      <c r="B174" s="2512"/>
      <c r="C174" s="2512"/>
      <c r="D174" s="2512"/>
      <c r="E174" s="2512"/>
      <c r="F174" s="2512"/>
      <c r="G174" s="2512"/>
      <c r="H174" s="191"/>
      <c r="I174" s="191"/>
      <c r="J174" s="2512"/>
      <c r="K174" s="2512"/>
      <c r="L174" s="2512"/>
      <c r="M174" s="265"/>
      <c r="N174" s="2512"/>
      <c r="O174" s="891"/>
      <c r="P174" s="891"/>
      <c r="Q174" s="891"/>
      <c r="R174" s="891"/>
      <c r="S174" s="891"/>
      <c r="T174" s="891"/>
      <c r="U174" s="891"/>
      <c r="V174" s="891"/>
      <c r="W174" s="2512"/>
      <c r="X174" s="2512"/>
      <c r="Y174" s="2512"/>
      <c r="Z174" s="2512"/>
      <c r="AA174" s="2512"/>
      <c r="AB174" s="2512"/>
      <c r="AC174" s="2512"/>
      <c r="AD174" s="2512"/>
      <c r="AE174" s="2512"/>
      <c r="AF174" s="2512"/>
      <c r="AG174" s="2512"/>
      <c r="AH174" s="2512"/>
      <c r="AI174" s="2512"/>
      <c r="AJ174" s="2512"/>
      <c r="AK174" s="2512"/>
      <c r="AL174" s="2512"/>
      <c r="AM174" s="2512"/>
      <c r="AN174" s="2512"/>
      <c r="AO174" s="2512"/>
      <c r="AP174" s="2512"/>
      <c r="AQ174" s="2512"/>
      <c r="AR174" s="2512"/>
      <c r="AS174" s="2512"/>
      <c r="AT174" s="2512"/>
      <c r="AU174" s="2512"/>
      <c r="AV174" s="2512"/>
      <c r="AW174" s="2512"/>
      <c r="AX174" s="2512"/>
      <c r="AY174" s="2512"/>
      <c r="AZ174" s="1315"/>
      <c r="BA174" s="1279">
        <v>174</v>
      </c>
    </row>
    <row r="175" spans="1:53" s="95" customFormat="1" ht="15" customHeight="1" thickBot="1">
      <c r="A175" s="2512"/>
      <c r="B175" s="151" t="s">
        <v>739</v>
      </c>
      <c r="C175" s="2512"/>
      <c r="D175" s="2512"/>
      <c r="E175" s="2512"/>
      <c r="F175" s="2512"/>
      <c r="G175" s="2512"/>
      <c r="H175" s="2512"/>
      <c r="I175" s="2512"/>
      <c r="J175" s="2512"/>
      <c r="K175" s="2512"/>
      <c r="L175" s="2512"/>
      <c r="M175" s="2512"/>
      <c r="N175" s="2512"/>
      <c r="O175" s="2512"/>
      <c r="P175" s="2512"/>
      <c r="Q175" s="2512"/>
      <c r="R175" s="2512"/>
      <c r="S175" s="2512"/>
      <c r="T175" s="2512"/>
      <c r="U175" s="2512"/>
      <c r="V175" s="638"/>
      <c r="W175" s="238" t="str">
        <f>B173</f>
        <v>TAX CREDIT CALCULATION - GAP METHOD</v>
      </c>
      <c r="X175" s="2512"/>
      <c r="Y175" s="2512"/>
      <c r="Z175" s="2512"/>
      <c r="AA175" s="2512"/>
      <c r="AB175" s="2512"/>
      <c r="AC175" s="2512"/>
      <c r="AD175" s="2512"/>
      <c r="AE175" s="2512"/>
      <c r="AF175" s="2512"/>
      <c r="AG175" s="2512"/>
      <c r="AH175" s="2512"/>
      <c r="AI175" s="2512"/>
      <c r="AJ175" s="2512"/>
      <c r="AK175" s="2512"/>
      <c r="AL175" s="2512"/>
      <c r="AM175" s="2512"/>
      <c r="AN175" s="2512"/>
      <c r="AO175" s="2512"/>
      <c r="AP175" s="2512"/>
      <c r="AQ175" s="2512"/>
      <c r="AR175" s="2512"/>
      <c r="AS175" s="2512"/>
      <c r="AT175" s="2512"/>
      <c r="AU175" s="2512"/>
      <c r="AV175" s="2512"/>
      <c r="AW175" s="2512"/>
      <c r="AX175" s="2512"/>
      <c r="AY175" s="2512"/>
      <c r="AZ175" s="1315"/>
      <c r="BA175" s="1279">
        <v>175</v>
      </c>
    </row>
    <row r="176" spans="1:53" s="95" customFormat="1" ht="15" customHeight="1">
      <c r="A176" s="2512"/>
      <c r="B176" s="2512" t="s">
        <v>740</v>
      </c>
      <c r="C176" s="2512"/>
      <c r="D176" s="2512"/>
      <c r="E176" s="2512"/>
      <c r="F176" s="2512"/>
      <c r="G176" s="2512"/>
      <c r="H176" s="2512"/>
      <c r="I176" s="2512"/>
      <c r="J176" s="3247">
        <f>G146</f>
        <v>22230470</v>
      </c>
      <c r="K176" s="3276"/>
      <c r="L176" s="3248"/>
      <c r="M176" s="2512"/>
      <c r="N176" s="3277" t="s">
        <v>741</v>
      </c>
      <c r="O176" s="3278"/>
      <c r="P176" s="3278"/>
      <c r="Q176" s="3279"/>
      <c r="R176" s="2512"/>
      <c r="S176" s="3285" t="s">
        <v>742</v>
      </c>
      <c r="T176" s="3286"/>
      <c r="U176" s="2512"/>
      <c r="V176" s="635"/>
      <c r="W176" s="3159"/>
      <c r="X176" s="3160"/>
      <c r="Y176" s="2512"/>
      <c r="Z176" s="2512"/>
      <c r="AA176" s="2512"/>
      <c r="AB176" s="2512"/>
      <c r="AC176" s="2512"/>
      <c r="AD176" s="2512"/>
      <c r="AE176" s="2512"/>
      <c r="AF176" s="2512"/>
      <c r="AG176" s="2512"/>
      <c r="AH176" s="2512"/>
      <c r="AI176" s="2512"/>
      <c r="AJ176" s="2512"/>
      <c r="AK176" s="2512"/>
      <c r="AL176" s="2512"/>
      <c r="AM176" s="2512"/>
      <c r="AN176" s="2512"/>
      <c r="AO176" s="2512"/>
      <c r="AP176" s="2512"/>
      <c r="AQ176" s="2512"/>
      <c r="AR176" s="2512"/>
      <c r="AS176" s="2512"/>
      <c r="AT176" s="2512"/>
      <c r="AU176" s="2512"/>
      <c r="AV176" s="2512"/>
      <c r="AW176" s="2512"/>
      <c r="AX176" s="2512"/>
      <c r="AY176" s="2512"/>
      <c r="AZ176" s="1315"/>
      <c r="BA176" s="1279">
        <v>176</v>
      </c>
    </row>
    <row r="177" spans="1:53" s="95" customFormat="1" ht="14.1" customHeight="1">
      <c r="A177" s="2512"/>
      <c r="B177" s="2512" t="s">
        <v>743</v>
      </c>
      <c r="C177" s="2512"/>
      <c r="D177" s="2512"/>
      <c r="E177" s="2512"/>
      <c r="F177" s="2512"/>
      <c r="G177" s="2512"/>
      <c r="H177" s="2512"/>
      <c r="I177" s="2512"/>
      <c r="J177" s="3252">
        <f>'Part II-Sources of Funds'!$I$60-'Part II-Sources of Funds'!$I$44-'Part II-Sources of Funds'!$I$45-'Part II-Sources of Funds'!$I$51-'Part II-Sources of Funds'!$I$52</f>
        <v>5389924</v>
      </c>
      <c r="K177" s="3289"/>
      <c r="L177" s="3253"/>
      <c r="M177" s="1524"/>
      <c r="N177" s="3280"/>
      <c r="O177" s="3251"/>
      <c r="P177" s="3251"/>
      <c r="Q177" s="3281"/>
      <c r="R177" s="2512"/>
      <c r="S177" s="3287"/>
      <c r="T177" s="3288"/>
      <c r="U177" s="2512"/>
      <c r="V177" s="635"/>
      <c r="W177" s="3159"/>
      <c r="X177" s="3160"/>
      <c r="Y177" s="2512"/>
      <c r="Z177" s="2512"/>
      <c r="AA177" s="2512"/>
      <c r="AB177" s="2512"/>
      <c r="AC177" s="2512"/>
      <c r="AD177" s="2512"/>
      <c r="AE177" s="2512"/>
      <c r="AF177" s="2512"/>
      <c r="AG177" s="2512"/>
      <c r="AH177" s="2512"/>
      <c r="AI177" s="2512"/>
      <c r="AJ177" s="2512"/>
      <c r="AK177" s="2512"/>
      <c r="AL177" s="2512"/>
      <c r="AM177" s="2512"/>
      <c r="AN177" s="2512"/>
      <c r="AO177" s="2512"/>
      <c r="AP177" s="2512"/>
      <c r="AQ177" s="2512"/>
      <c r="AR177" s="2512"/>
      <c r="AS177" s="2512"/>
      <c r="AT177" s="2512"/>
      <c r="AU177" s="2512"/>
      <c r="AV177" s="2512"/>
      <c r="AW177" s="2512"/>
      <c r="AX177" s="2512"/>
      <c r="AY177" s="2512"/>
      <c r="AZ177" s="1315"/>
      <c r="BA177" s="1279">
        <v>177</v>
      </c>
    </row>
    <row r="178" spans="1:53" s="95" customFormat="1" ht="14.1" customHeight="1">
      <c r="A178" s="2512"/>
      <c r="B178" s="2512" t="s">
        <v>744</v>
      </c>
      <c r="C178" s="2512"/>
      <c r="D178" s="2512"/>
      <c r="E178" s="2512"/>
      <c r="F178" s="2512"/>
      <c r="G178" s="2512"/>
      <c r="H178" s="2512"/>
      <c r="I178" s="2512"/>
      <c r="J178" s="3290">
        <f>+J176-J177</f>
        <v>16840546</v>
      </c>
      <c r="K178" s="3291"/>
      <c r="L178" s="3292"/>
      <c r="M178" s="1524"/>
      <c r="N178" s="3282"/>
      <c r="O178" s="3283"/>
      <c r="P178" s="3283"/>
      <c r="Q178" s="3284"/>
      <c r="R178" s="2512"/>
      <c r="S178" s="3287"/>
      <c r="T178" s="3288"/>
      <c r="U178" s="2512"/>
      <c r="V178" s="635"/>
      <c r="W178" s="3159"/>
      <c r="X178" s="3160"/>
      <c r="Y178" s="2512"/>
      <c r="Z178" s="2512"/>
      <c r="AA178" s="2512"/>
      <c r="AB178" s="2512"/>
      <c r="AC178" s="2512"/>
      <c r="AD178" s="2512"/>
      <c r="AE178" s="2512"/>
      <c r="AF178" s="2512"/>
      <c r="AG178" s="2512"/>
      <c r="AH178" s="2512"/>
      <c r="AI178" s="2512"/>
      <c r="AJ178" s="2512"/>
      <c r="AK178" s="2512"/>
      <c r="AL178" s="2512"/>
      <c r="AM178" s="2512"/>
      <c r="AN178" s="2512"/>
      <c r="AO178" s="2512"/>
      <c r="AP178" s="2512"/>
      <c r="AQ178" s="2512"/>
      <c r="AR178" s="2512"/>
      <c r="AS178" s="2512"/>
      <c r="AT178" s="2512"/>
      <c r="AU178" s="2512"/>
      <c r="AV178" s="2512"/>
      <c r="AW178" s="2512"/>
      <c r="AX178" s="2512"/>
      <c r="AY178" s="2512"/>
      <c r="AZ178" s="1315"/>
      <c r="BA178" s="1279">
        <v>178</v>
      </c>
    </row>
    <row r="179" spans="1:53" s="95" customFormat="1" ht="14.1" customHeight="1" thickBot="1">
      <c r="A179" s="2512"/>
      <c r="B179" s="2512" t="s">
        <v>745</v>
      </c>
      <c r="C179" s="2512"/>
      <c r="D179" s="2512"/>
      <c r="E179" s="2512"/>
      <c r="F179" s="2512"/>
      <c r="G179" s="2512"/>
      <c r="H179" s="2512"/>
      <c r="I179" s="2512"/>
      <c r="J179" s="3099" t="str">
        <f>"/ 10"</f>
        <v>/ 10</v>
      </c>
      <c r="K179" s="3099"/>
      <c r="L179" s="3099"/>
      <c r="M179" s="135"/>
      <c r="N179" s="3298">
        <f>'Part II-Sources of Funds'!$I$44</f>
        <v>0</v>
      </c>
      <c r="O179" s="3299"/>
      <c r="P179" s="3299"/>
      <c r="Q179" s="3300"/>
      <c r="R179" s="2512"/>
      <c r="S179" s="226" t="s">
        <v>746</v>
      </c>
      <c r="T179" s="2677" t="s">
        <v>56</v>
      </c>
      <c r="U179" s="2512"/>
      <c r="V179" s="635"/>
      <c r="W179" s="3159"/>
      <c r="X179" s="3160"/>
      <c r="Y179" s="2512"/>
      <c r="Z179" s="2512"/>
      <c r="AA179" s="2512"/>
      <c r="AB179" s="2512"/>
      <c r="AC179" s="2512"/>
      <c r="AD179" s="2512"/>
      <c r="AE179" s="2512"/>
      <c r="AF179" s="2512"/>
      <c r="AG179" s="2512"/>
      <c r="AH179" s="2512"/>
      <c r="AI179" s="2512"/>
      <c r="AJ179" s="2512"/>
      <c r="AK179" s="2512"/>
      <c r="AL179" s="2512"/>
      <c r="AM179" s="2512"/>
      <c r="AN179" s="2512"/>
      <c r="AO179" s="2512"/>
      <c r="AP179" s="2512"/>
      <c r="AQ179" s="2512"/>
      <c r="AR179" s="2512"/>
      <c r="AS179" s="2512"/>
      <c r="AT179" s="2512"/>
      <c r="AU179" s="2512"/>
      <c r="AV179" s="2512"/>
      <c r="AW179" s="2512"/>
      <c r="AX179" s="2512"/>
      <c r="AY179" s="2512"/>
      <c r="AZ179" s="1315"/>
      <c r="BA179" s="1279">
        <v>179</v>
      </c>
    </row>
    <row r="180" spans="1:53" s="95" customFormat="1" ht="14.1" customHeight="1">
      <c r="A180" s="2512"/>
      <c r="B180" s="2512" t="s">
        <v>747</v>
      </c>
      <c r="C180" s="2512"/>
      <c r="D180" s="2512"/>
      <c r="E180" s="2512"/>
      <c r="F180" s="2512"/>
      <c r="G180" s="2512"/>
      <c r="H180" s="2512"/>
      <c r="I180" s="2512"/>
      <c r="J180" s="3255">
        <f>J178/10</f>
        <v>1684054.6</v>
      </c>
      <c r="K180" s="3254"/>
      <c r="L180" s="3256"/>
      <c r="M180" s="2512"/>
      <c r="N180" s="263"/>
      <c r="O180" s="263"/>
      <c r="P180" s="263"/>
      <c r="Q180" s="263"/>
      <c r="R180" s="263"/>
      <c r="S180" s="2512"/>
      <c r="T180" s="2512"/>
      <c r="U180" s="2512"/>
      <c r="V180" s="635"/>
      <c r="W180" s="3159"/>
      <c r="X180" s="3160"/>
      <c r="Y180" s="2512"/>
      <c r="Z180" s="2512"/>
      <c r="AA180" s="2512"/>
      <c r="AB180" s="2512"/>
      <c r="AC180" s="2512"/>
      <c r="AD180" s="2512"/>
      <c r="AE180" s="2512"/>
      <c r="AF180" s="2512"/>
      <c r="AG180" s="2512"/>
      <c r="AH180" s="2512"/>
      <c r="AI180" s="2512"/>
      <c r="AJ180" s="2512"/>
      <c r="AK180" s="2512"/>
      <c r="AL180" s="2512"/>
      <c r="AM180" s="2512"/>
      <c r="AN180" s="2512"/>
      <c r="AO180" s="2512"/>
      <c r="AP180" s="2512"/>
      <c r="AQ180" s="2512"/>
      <c r="AR180" s="2512"/>
      <c r="AS180" s="2512"/>
      <c r="AT180" s="2512"/>
      <c r="AU180" s="2512"/>
      <c r="AV180" s="2512"/>
      <c r="AW180" s="2512"/>
      <c r="AX180" s="2512"/>
      <c r="AY180" s="2512"/>
      <c r="AZ180" s="1315"/>
      <c r="BA180" s="1279">
        <v>180</v>
      </c>
    </row>
    <row r="181" spans="1:53" s="95" customFormat="1" ht="14.1" customHeight="1">
      <c r="A181" s="2512"/>
      <c r="B181" s="2512"/>
      <c r="C181" s="2512"/>
      <c r="D181" s="2512"/>
      <c r="E181" s="2512"/>
      <c r="F181" s="2512"/>
      <c r="G181" s="2512"/>
      <c r="H181" s="2512"/>
      <c r="I181" s="2512"/>
      <c r="J181" s="2512"/>
      <c r="K181" s="2512"/>
      <c r="L181" s="2512"/>
      <c r="M181" s="96"/>
      <c r="N181" s="3041" t="s">
        <v>748</v>
      </c>
      <c r="O181" s="3041"/>
      <c r="P181" s="2512"/>
      <c r="Q181" s="3041" t="s">
        <v>204</v>
      </c>
      <c r="R181" s="3041"/>
      <c r="S181" s="2512"/>
      <c r="T181" s="2512"/>
      <c r="U181" s="2512"/>
      <c r="V181" s="635"/>
      <c r="W181" s="3159"/>
      <c r="X181" s="3160"/>
      <c r="Y181" s="2512"/>
      <c r="Z181" s="1380" t="s">
        <v>730</v>
      </c>
      <c r="AA181" s="2512"/>
      <c r="AB181" s="2512"/>
      <c r="AC181" s="2512"/>
      <c r="AD181" s="2512"/>
      <c r="AE181" s="2512"/>
      <c r="AF181" s="2512"/>
      <c r="AG181" s="2512"/>
      <c r="AH181" s="2512"/>
      <c r="AI181" s="2512"/>
      <c r="AJ181" s="2512"/>
      <c r="AK181" s="2512"/>
      <c r="AL181" s="2512"/>
      <c r="AM181" s="2512"/>
      <c r="AN181" s="2512"/>
      <c r="AO181" s="2512"/>
      <c r="AP181" s="2512"/>
      <c r="AQ181" s="2512"/>
      <c r="AR181" s="2512"/>
      <c r="AS181" s="2512"/>
      <c r="AT181" s="2512"/>
      <c r="AU181" s="2512"/>
      <c r="AV181" s="2512"/>
      <c r="AW181" s="2512"/>
      <c r="AX181" s="2512"/>
      <c r="AY181" s="2512"/>
      <c r="AZ181" s="1315"/>
      <c r="BA181" s="1279">
        <v>181</v>
      </c>
    </row>
    <row r="182" spans="1:53" s="95" customFormat="1" ht="14.1" customHeight="1" thickBot="1">
      <c r="A182" s="2512"/>
      <c r="B182" s="2512" t="s">
        <v>749</v>
      </c>
      <c r="C182" s="2512"/>
      <c r="D182" s="2512"/>
      <c r="E182" s="2512"/>
      <c r="F182" s="2512"/>
      <c r="G182" s="2512"/>
      <c r="H182" s="2512"/>
      <c r="I182" s="2512"/>
      <c r="J182" s="3293">
        <f>N182+Q182</f>
        <v>1.3</v>
      </c>
      <c r="K182" s="3294"/>
      <c r="L182" s="3295"/>
      <c r="M182" s="2518" t="s">
        <v>750</v>
      </c>
      <c r="N182" s="3296">
        <v>0.8</v>
      </c>
      <c r="O182" s="3297"/>
      <c r="P182" s="2518" t="s">
        <v>751</v>
      </c>
      <c r="Q182" s="3296">
        <v>0.5</v>
      </c>
      <c r="R182" s="3297"/>
      <c r="S182" s="2512"/>
      <c r="T182" s="2512"/>
      <c r="U182" s="2512"/>
      <c r="V182" s="635"/>
      <c r="W182" s="3159"/>
      <c r="X182" s="3160"/>
      <c r="Y182" s="2512"/>
      <c r="Z182" s="1381">
        <f>'DCA Underwriting Assumptions'!Q134</f>
        <v>0</v>
      </c>
      <c r="AA182" s="2512"/>
      <c r="AB182" s="2512"/>
      <c r="AC182" s="2512"/>
      <c r="AD182" s="2512"/>
      <c r="AE182" s="2512"/>
      <c r="AF182" s="2512"/>
      <c r="AG182" s="2512"/>
      <c r="AH182" s="2512"/>
      <c r="AI182" s="2512"/>
      <c r="AJ182" s="2512"/>
      <c r="AK182" s="2512"/>
      <c r="AL182" s="2512"/>
      <c r="AM182" s="2512"/>
      <c r="AN182" s="2512"/>
      <c r="AO182" s="2512"/>
      <c r="AP182" s="2512"/>
      <c r="AQ182" s="2512"/>
      <c r="AR182" s="2512"/>
      <c r="AS182" s="2512"/>
      <c r="AT182" s="2512"/>
      <c r="AU182" s="2512"/>
      <c r="AV182" s="2512"/>
      <c r="AW182" s="2512"/>
      <c r="AX182" s="2512"/>
      <c r="AY182" s="2512"/>
      <c r="AZ182" s="1315"/>
      <c r="BA182" s="1279">
        <v>182</v>
      </c>
    </row>
    <row r="183" spans="1:53" s="95" customFormat="1" ht="14.1" customHeight="1" thickBot="1">
      <c r="A183" s="2512"/>
      <c r="B183" s="151" t="s">
        <v>752</v>
      </c>
      <c r="C183" s="2512"/>
      <c r="D183" s="2512"/>
      <c r="E183" s="2512"/>
      <c r="F183" s="2512"/>
      <c r="G183" s="2512"/>
      <c r="H183" s="2512"/>
      <c r="I183" s="2512"/>
      <c r="J183" s="3128">
        <f>ROUNDDOWN(IF(J182=0,"",J180/J182),0)</f>
        <v>1295426</v>
      </c>
      <c r="K183" s="3275"/>
      <c r="L183" s="3129"/>
      <c r="M183" s="96"/>
      <c r="N183" s="2512"/>
      <c r="O183" s="2512"/>
      <c r="P183" s="2512"/>
      <c r="Q183" s="2512"/>
      <c r="R183" s="2512"/>
      <c r="S183" s="2512"/>
      <c r="T183" s="2512"/>
      <c r="U183" s="2512"/>
      <c r="V183" s="635"/>
      <c r="W183" s="3159"/>
      <c r="X183" s="3160"/>
      <c r="Y183" s="2512"/>
      <c r="Z183" s="1381">
        <f>'DCA Underwriting Assumptions'!Q135</f>
        <v>0</v>
      </c>
      <c r="AA183" s="2512"/>
      <c r="AB183" s="2512"/>
      <c r="AC183" s="2512"/>
      <c r="AD183" s="2512"/>
      <c r="AE183" s="2512"/>
      <c r="AF183" s="2512"/>
      <c r="AG183" s="2512"/>
      <c r="AH183" s="2512"/>
      <c r="AI183" s="2512"/>
      <c r="AJ183" s="2512"/>
      <c r="AK183" s="2512"/>
      <c r="AL183" s="2512"/>
      <c r="AM183" s="2512"/>
      <c r="AN183" s="2512"/>
      <c r="AO183" s="2512"/>
      <c r="AP183" s="2512"/>
      <c r="AQ183" s="2512"/>
      <c r="AR183" s="2512"/>
      <c r="AS183" s="2512"/>
      <c r="AT183" s="2512"/>
      <c r="AU183" s="2512"/>
      <c r="AV183" s="2512"/>
      <c r="AW183" s="2512"/>
      <c r="AX183" s="2512"/>
      <c r="AY183" s="2512"/>
      <c r="AZ183" s="1315"/>
      <c r="BA183" s="1279">
        <v>183</v>
      </c>
    </row>
    <row r="184" spans="1:53" s="95" customFormat="1" ht="6" customHeight="1">
      <c r="A184" s="2512"/>
      <c r="B184" s="2512"/>
      <c r="C184" s="2512"/>
      <c r="D184" s="2512"/>
      <c r="E184" s="2512"/>
      <c r="F184" s="2512"/>
      <c r="G184" s="2512"/>
      <c r="H184" s="2512"/>
      <c r="I184" s="2512"/>
      <c r="J184" s="201"/>
      <c r="K184" s="201"/>
      <c r="L184" s="201"/>
      <c r="M184" s="96"/>
      <c r="N184" s="2518"/>
      <c r="O184" s="2518"/>
      <c r="P184" s="2512"/>
      <c r="Q184" s="2512"/>
      <c r="R184" s="2512"/>
      <c r="S184" s="2512"/>
      <c r="T184" s="2512"/>
      <c r="U184" s="2512"/>
      <c r="V184" s="638"/>
      <c r="W184" s="1228"/>
      <c r="X184" s="1228"/>
      <c r="Y184" s="2512"/>
      <c r="Z184" s="2512"/>
      <c r="AA184" s="2512"/>
      <c r="AB184" s="2512"/>
      <c r="AC184" s="2512"/>
      <c r="AD184" s="2512"/>
      <c r="AE184" s="2512"/>
      <c r="AF184" s="2512"/>
      <c r="AG184" s="2512"/>
      <c r="AH184" s="2512"/>
      <c r="AI184" s="2512"/>
      <c r="AJ184" s="2512"/>
      <c r="AK184" s="2512"/>
      <c r="AL184" s="2512"/>
      <c r="AM184" s="2512"/>
      <c r="AN184" s="2512"/>
      <c r="AO184" s="2512"/>
      <c r="AP184" s="2512"/>
      <c r="AQ184" s="2512"/>
      <c r="AR184" s="2512"/>
      <c r="AS184" s="2512"/>
      <c r="AT184" s="2512"/>
      <c r="AU184" s="2512"/>
      <c r="AV184" s="2512"/>
      <c r="AW184" s="2512"/>
      <c r="AX184" s="2512"/>
      <c r="AY184" s="2512"/>
      <c r="AZ184" s="1315"/>
      <c r="BA184" s="1279">
        <v>184</v>
      </c>
    </row>
    <row r="185" spans="1:53" s="95" customFormat="1" ht="14.1" customHeight="1">
      <c r="A185" s="238" t="s">
        <v>51</v>
      </c>
      <c r="B185" s="238" t="s">
        <v>753</v>
      </c>
      <c r="C185" s="2512"/>
      <c r="D185" s="2512"/>
      <c r="E185" s="2512"/>
      <c r="F185" s="2512"/>
      <c r="G185" s="2512"/>
      <c r="H185" s="191"/>
      <c r="I185" s="191"/>
      <c r="J185" s="2512"/>
      <c r="K185" s="2512"/>
      <c r="L185" s="2512"/>
      <c r="M185" s="2512"/>
      <c r="N185" s="2512"/>
      <c r="O185" s="2512"/>
      <c r="P185" s="2512"/>
      <c r="Q185" s="2512"/>
      <c r="R185" s="2512"/>
      <c r="S185" s="2512"/>
      <c r="T185" s="2512"/>
      <c r="U185" s="2512"/>
      <c r="V185" s="638"/>
      <c r="W185" s="2512"/>
      <c r="X185" s="2512"/>
      <c r="Y185" s="2512"/>
      <c r="Z185" s="2512"/>
      <c r="AA185" s="2512"/>
      <c r="AB185" s="2512"/>
      <c r="AC185" s="2512"/>
      <c r="AD185" s="2512"/>
      <c r="AE185" s="2512"/>
      <c r="AF185" s="2512"/>
      <c r="AG185" s="2512"/>
      <c r="AH185" s="2512"/>
      <c r="AI185" s="2512"/>
      <c r="AJ185" s="2512"/>
      <c r="AK185" s="2512"/>
      <c r="AL185" s="2512"/>
      <c r="AM185" s="2512"/>
      <c r="AN185" s="2512"/>
      <c r="AO185" s="2512"/>
      <c r="AP185" s="2512"/>
      <c r="AQ185" s="2512"/>
      <c r="AR185" s="2512"/>
      <c r="AS185" s="2512"/>
      <c r="AT185" s="2512"/>
      <c r="AU185" s="2512"/>
      <c r="AV185" s="2512"/>
      <c r="AW185" s="2512"/>
      <c r="AX185" s="2512"/>
      <c r="AY185" s="2512"/>
      <c r="AZ185" s="1315"/>
      <c r="BA185" s="1279">
        <v>185</v>
      </c>
    </row>
    <row r="186" spans="1:53" s="95" customFormat="1" ht="3" customHeight="1">
      <c r="A186" s="2512"/>
      <c r="B186" s="2512"/>
      <c r="C186" s="2512"/>
      <c r="D186" s="2512"/>
      <c r="E186" s="2512"/>
      <c r="F186" s="2512"/>
      <c r="G186" s="2512"/>
      <c r="H186" s="191"/>
      <c r="I186" s="191"/>
      <c r="J186" s="2512"/>
      <c r="K186" s="2512"/>
      <c r="L186" s="2512"/>
      <c r="M186" s="2512"/>
      <c r="N186" s="2512"/>
      <c r="O186" s="2512"/>
      <c r="P186" s="2512"/>
      <c r="Q186" s="313"/>
      <c r="R186" s="313"/>
      <c r="S186" s="651"/>
      <c r="T186" s="651"/>
      <c r="U186" s="285"/>
      <c r="V186" s="285"/>
      <c r="W186" s="2512"/>
      <c r="X186" s="2512"/>
      <c r="Y186" s="2512"/>
      <c r="Z186" s="2512"/>
      <c r="AA186" s="2512"/>
      <c r="AB186" s="2512"/>
      <c r="AC186" s="2512"/>
      <c r="AD186" s="2512"/>
      <c r="AE186" s="2512"/>
      <c r="AF186" s="2512"/>
      <c r="AG186" s="2512"/>
      <c r="AH186" s="2512"/>
      <c r="AI186" s="2512"/>
      <c r="AJ186" s="2512"/>
      <c r="AK186" s="2512"/>
      <c r="AL186" s="2512"/>
      <c r="AM186" s="2512"/>
      <c r="AN186" s="2512"/>
      <c r="AO186" s="2512"/>
      <c r="AP186" s="2512"/>
      <c r="AQ186" s="2512"/>
      <c r="AR186" s="2512"/>
      <c r="AS186" s="2512"/>
      <c r="AT186" s="2512"/>
      <c r="AU186" s="2512"/>
      <c r="AV186" s="2512"/>
      <c r="AW186" s="2512"/>
      <c r="AX186" s="2512"/>
      <c r="AY186" s="2512"/>
      <c r="AZ186" s="1312"/>
      <c r="BA186" s="1279">
        <v>186</v>
      </c>
    </row>
    <row r="187" spans="1:53" s="95" customFormat="1" ht="16.350000000000001" customHeight="1">
      <c r="A187" s="2512"/>
      <c r="B187" s="151" t="s">
        <v>754</v>
      </c>
      <c r="C187" s="2512"/>
      <c r="D187" s="2512"/>
      <c r="E187" s="2512"/>
      <c r="F187" s="2512"/>
      <c r="G187" s="2512"/>
      <c r="H187" s="2512"/>
      <c r="I187" s="2512"/>
      <c r="J187" s="3302">
        <v>1295427</v>
      </c>
      <c r="K187" s="3303"/>
      <c r="L187" s="3304"/>
      <c r="M187" s="2512"/>
      <c r="N187" s="2512"/>
      <c r="O187" s="2512"/>
      <c r="P187" s="2512"/>
      <c r="Q187" s="98" t="s">
        <v>755</v>
      </c>
      <c r="R187" s="98"/>
      <c r="S187" s="3305" t="str">
        <f>'Part VIII Scoring Criteria'!$J$12</f>
        <v>Atlanta Metro</v>
      </c>
      <c r="T187" s="3306"/>
      <c r="U187" s="1202" t="str">
        <f>IF(OR(S187="Atlanta Metro", "Other Metro"), "Metro", IF(S187="Rural","Rural",""))</f>
        <v>Metro</v>
      </c>
      <c r="V187" s="635"/>
      <c r="W187" s="3159"/>
      <c r="X187" s="3160"/>
      <c r="Y187" s="2512"/>
      <c r="Z187" s="2512"/>
      <c r="AA187" s="2512"/>
      <c r="AB187" s="2512"/>
      <c r="AC187" s="2512"/>
      <c r="AD187" s="2512"/>
      <c r="AE187" s="2512"/>
      <c r="AF187" s="2512"/>
      <c r="AG187" s="2512"/>
      <c r="AH187" s="2512"/>
      <c r="AI187" s="2512"/>
      <c r="AJ187" s="2512"/>
      <c r="AK187" s="2512"/>
      <c r="AL187" s="2512"/>
      <c r="AM187" s="2512"/>
      <c r="AN187" s="2512"/>
      <c r="AO187" s="2512"/>
      <c r="AP187" s="2512"/>
      <c r="AQ187" s="2512"/>
      <c r="AR187" s="2512"/>
      <c r="AS187" s="2512"/>
      <c r="AT187" s="2512"/>
      <c r="AU187" s="2512"/>
      <c r="AV187" s="2512"/>
      <c r="AW187" s="2512"/>
      <c r="AX187" s="2512"/>
      <c r="AY187" s="2512"/>
      <c r="AZ187" s="1312"/>
      <c r="BA187" s="1279">
        <v>187</v>
      </c>
    </row>
    <row r="188" spans="1:53" s="95" customFormat="1" ht="3" customHeight="1">
      <c r="A188" s="2512"/>
      <c r="B188" s="2512"/>
      <c r="C188" s="2512"/>
      <c r="D188" s="2512"/>
      <c r="E188" s="2512"/>
      <c r="F188" s="2512"/>
      <c r="G188" s="2512"/>
      <c r="H188" s="2512"/>
      <c r="I188" s="2512"/>
      <c r="J188" s="201"/>
      <c r="K188" s="201"/>
      <c r="L188" s="201"/>
      <c r="M188" s="96"/>
      <c r="N188" s="2518"/>
      <c r="O188" s="2518"/>
      <c r="P188" s="2512"/>
      <c r="Q188" s="98"/>
      <c r="R188" s="98"/>
      <c r="S188" s="150"/>
      <c r="T188" s="150"/>
      <c r="U188" s="2512"/>
      <c r="V188" s="638"/>
      <c r="W188" s="633"/>
      <c r="X188" s="634"/>
      <c r="Y188" s="2512"/>
      <c r="Z188" s="2512"/>
      <c r="AA188" s="2512"/>
      <c r="AB188" s="2512"/>
      <c r="AC188" s="2512"/>
      <c r="AD188" s="2512"/>
      <c r="AE188" s="2512"/>
      <c r="AF188" s="2512"/>
      <c r="AG188" s="2512"/>
      <c r="AH188" s="2512"/>
      <c r="AI188" s="2512"/>
      <c r="AJ188" s="2512"/>
      <c r="AK188" s="2512"/>
      <c r="AL188" s="2512"/>
      <c r="AM188" s="2512"/>
      <c r="AN188" s="2512"/>
      <c r="AO188" s="2512"/>
      <c r="AP188" s="2512"/>
      <c r="AQ188" s="2512"/>
      <c r="AR188" s="2512"/>
      <c r="AS188" s="2512"/>
      <c r="AT188" s="2512"/>
      <c r="AU188" s="2512"/>
      <c r="AV188" s="2512"/>
      <c r="AW188" s="2512"/>
      <c r="AX188" s="2512"/>
      <c r="AY188" s="2512"/>
      <c r="AZ188" s="1312"/>
      <c r="BA188" s="1279">
        <v>188</v>
      </c>
    </row>
    <row r="189" spans="1:53" s="95" customFormat="1" ht="16.350000000000001" customHeight="1">
      <c r="A189" s="2512"/>
      <c r="B189" s="151" t="s">
        <v>756</v>
      </c>
      <c r="C189" s="2512"/>
      <c r="D189" s="2512"/>
      <c r="E189" s="2512"/>
      <c r="F189" s="2512"/>
      <c r="G189" s="2512"/>
      <c r="H189" s="2512"/>
      <c r="I189" s="2512"/>
      <c r="J189" s="3302">
        <v>1295000</v>
      </c>
      <c r="K189" s="3303"/>
      <c r="L189" s="3304"/>
      <c r="M189" s="3307" t="str">
        <f>IF(J187=0,"",IF(J189&gt;J187,"Request can't exceed Maximum - REVISE (Try Round Down)!",""))</f>
        <v/>
      </c>
      <c r="N189" s="3307"/>
      <c r="O189" s="3307"/>
      <c r="P189" s="3307"/>
      <c r="Q189" s="150" t="s">
        <v>757</v>
      </c>
      <c r="R189" s="98"/>
      <c r="S189" s="3305" t="str">
        <f>'Part VIII Scoring Criteria'!$F$12</f>
        <v>New Affordability</v>
      </c>
      <c r="T189" s="3306"/>
      <c r="U189" s="2512"/>
      <c r="V189" s="635"/>
      <c r="W189" s="3159"/>
      <c r="X189" s="3160"/>
      <c r="Y189" s="2512"/>
      <c r="Z189" s="2512"/>
      <c r="AA189" s="2512"/>
      <c r="AB189" s="2512"/>
      <c r="AC189" s="2512"/>
      <c r="AD189" s="2512"/>
      <c r="AE189" s="2512"/>
      <c r="AF189" s="2512"/>
      <c r="AG189" s="2512"/>
      <c r="AH189" s="2512"/>
      <c r="AI189" s="2512"/>
      <c r="AJ189" s="2512"/>
      <c r="AK189" s="2512"/>
      <c r="AL189" s="2512"/>
      <c r="AM189" s="2512"/>
      <c r="AN189" s="2512"/>
      <c r="AO189" s="2512"/>
      <c r="AP189" s="2512"/>
      <c r="AQ189" s="2512"/>
      <c r="AR189" s="2512"/>
      <c r="AS189" s="2512"/>
      <c r="AT189" s="2512"/>
      <c r="AU189" s="2512"/>
      <c r="AV189" s="2512"/>
      <c r="AW189" s="2512"/>
      <c r="AX189" s="2512"/>
      <c r="AY189" s="2512"/>
      <c r="AZ189" s="1312"/>
      <c r="BA189" s="1279">
        <v>189</v>
      </c>
    </row>
    <row r="190" spans="1:53" s="95" customFormat="1" ht="3" customHeight="1">
      <c r="A190" s="2512"/>
      <c r="B190" s="2512"/>
      <c r="C190" s="2512"/>
      <c r="D190" s="2512"/>
      <c r="E190" s="2512"/>
      <c r="F190" s="2512"/>
      <c r="G190" s="2512"/>
      <c r="H190" s="2512"/>
      <c r="I190" s="2512"/>
      <c r="J190" s="201"/>
      <c r="K190" s="201"/>
      <c r="L190" s="201"/>
      <c r="M190" s="3307"/>
      <c r="N190" s="3307"/>
      <c r="O190" s="3307"/>
      <c r="P190" s="3307"/>
      <c r="Q190" s="98"/>
      <c r="R190" s="98"/>
      <c r="S190" s="150"/>
      <c r="T190" s="150"/>
      <c r="U190" s="2512"/>
      <c r="V190" s="638"/>
      <c r="W190" s="633"/>
      <c r="X190" s="634"/>
      <c r="Y190" s="2512"/>
      <c r="Z190" s="2512"/>
      <c r="AA190" s="2512"/>
      <c r="AB190" s="2512"/>
      <c r="AC190" s="2512"/>
      <c r="AD190" s="2512"/>
      <c r="AE190" s="2512"/>
      <c r="AF190" s="2512"/>
      <c r="AG190" s="2512"/>
      <c r="AH190" s="2512"/>
      <c r="AI190" s="2512"/>
      <c r="AJ190" s="2512"/>
      <c r="AK190" s="2512"/>
      <c r="AL190" s="2512"/>
      <c r="AM190" s="2512"/>
      <c r="AN190" s="2512"/>
      <c r="AO190" s="2512"/>
      <c r="AP190" s="2512"/>
      <c r="AQ190" s="2512"/>
      <c r="AR190" s="2512"/>
      <c r="AS190" s="2512"/>
      <c r="AT190" s="2512"/>
      <c r="AU190" s="2512"/>
      <c r="AV190" s="2512"/>
      <c r="AW190" s="2512"/>
      <c r="AX190" s="2512"/>
      <c r="AY190" s="2512"/>
      <c r="AZ190" s="1312"/>
      <c r="BA190" s="1279">
        <v>190</v>
      </c>
    </row>
    <row r="191" spans="1:53" s="95" customFormat="1" ht="16.350000000000001" customHeight="1">
      <c r="A191" s="238"/>
      <c r="B191" s="238" t="s">
        <v>758</v>
      </c>
      <c r="C191" s="2512"/>
      <c r="D191" s="96"/>
      <c r="E191" s="96"/>
      <c r="F191" s="2519"/>
      <c r="G191" s="2512"/>
      <c r="H191" s="2512"/>
      <c r="I191" s="2512"/>
      <c r="J191" s="3308">
        <f>IF(J189="",0,+MIN(J187,J189))</f>
        <v>1295000</v>
      </c>
      <c r="K191" s="3309"/>
      <c r="L191" s="3310"/>
      <c r="M191" s="3307"/>
      <c r="N191" s="3307"/>
      <c r="O191" s="3307"/>
      <c r="P191" s="3307"/>
      <c r="Q191" s="146" t="s">
        <v>646</v>
      </c>
      <c r="R191" s="146"/>
      <c r="S191" s="12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61"/>
      <c r="U191" s="2512"/>
      <c r="V191" s="635"/>
      <c r="W191" s="3159"/>
      <c r="X191" s="3160"/>
      <c r="Y191" s="2512"/>
      <c r="Z191" s="2512"/>
      <c r="AA191" s="2512"/>
      <c r="AB191" s="2512"/>
      <c r="AC191" s="2512"/>
      <c r="AD191" s="2512"/>
      <c r="AE191" s="2512"/>
      <c r="AF191" s="2512"/>
      <c r="AG191" s="2512"/>
      <c r="AH191" s="2512"/>
      <c r="AI191" s="2512"/>
      <c r="AJ191" s="2512"/>
      <c r="AK191" s="2512"/>
      <c r="AL191" s="2512"/>
      <c r="AM191" s="2512"/>
      <c r="AN191" s="2512"/>
      <c r="AO191" s="2512"/>
      <c r="AP191" s="2512"/>
      <c r="AQ191" s="2512"/>
      <c r="AR191" s="2512"/>
      <c r="AS191" s="2512"/>
      <c r="AT191" s="2512"/>
      <c r="AU191" s="2512"/>
      <c r="AV191" s="2512"/>
      <c r="AW191" s="2512"/>
      <c r="AX191" s="2512"/>
      <c r="AY191" s="2512"/>
      <c r="AZ191" s="1312"/>
      <c r="BA191" s="1279">
        <v>191</v>
      </c>
    </row>
    <row r="192" spans="1:53" ht="3" customHeight="1">
      <c r="BA192" s="1279">
        <v>192</v>
      </c>
    </row>
    <row r="193" spans="1:53" ht="6" customHeight="1">
      <c r="BA193" s="1279">
        <v>193</v>
      </c>
    </row>
    <row r="194" spans="1:53" ht="12" customHeight="1">
      <c r="A194" s="151" t="s">
        <v>68</v>
      </c>
      <c r="B194" s="159" t="s">
        <v>78</v>
      </c>
      <c r="N194" s="151" t="s">
        <v>77</v>
      </c>
      <c r="O194" s="151" t="s">
        <v>80</v>
      </c>
      <c r="AZ194" s="1315"/>
      <c r="BA194" s="1279">
        <v>194</v>
      </c>
    </row>
    <row r="195" spans="1:53" ht="287.25" customHeight="1">
      <c r="A195" s="3120" t="s">
        <v>759</v>
      </c>
      <c r="B195" s="3120"/>
      <c r="C195" s="3120"/>
      <c r="D195" s="3120"/>
      <c r="E195" s="3120"/>
      <c r="F195" s="3120"/>
      <c r="G195" s="3120"/>
      <c r="H195" s="3120"/>
      <c r="I195" s="3120"/>
      <c r="J195" s="3120"/>
      <c r="K195" s="3120"/>
      <c r="L195" s="3120"/>
      <c r="M195" s="3120"/>
      <c r="N195" s="3301"/>
      <c r="O195" s="3301"/>
      <c r="P195" s="3301"/>
      <c r="Q195" s="3301"/>
      <c r="R195" s="3301"/>
      <c r="S195" s="3301"/>
      <c r="T195" s="3301"/>
      <c r="V195" s="569"/>
      <c r="W195" s="3122" t="s">
        <v>300</v>
      </c>
      <c r="X195" s="3122"/>
      <c r="AZ195" s="1315"/>
      <c r="BA195" s="1279">
        <v>195</v>
      </c>
    </row>
    <row r="196" spans="1:53" ht="11.25" customHeight="1">
      <c r="AZ196" s="1315"/>
      <c r="BA196" s="1279">
        <v>196</v>
      </c>
    </row>
    <row r="197" spans="1:53" ht="12" customHeight="1">
      <c r="BA197" s="1315"/>
    </row>
    <row r="198" spans="1:53" ht="12" customHeight="1">
      <c r="AZ198" s="1315"/>
    </row>
    <row r="199" spans="1:53" ht="14.65" customHeight="1">
      <c r="BA199" s="1315"/>
    </row>
    <row r="200" spans="1:53" s="95" customFormat="1" ht="14.65" customHeight="1">
      <c r="A200" s="2512"/>
      <c r="B200" s="2512"/>
      <c r="C200" s="2512"/>
      <c r="D200" s="2512"/>
      <c r="E200" s="2512"/>
      <c r="F200" s="2512"/>
      <c r="G200" s="2512"/>
      <c r="H200" s="2512"/>
      <c r="I200" s="2512"/>
      <c r="J200" s="2512"/>
      <c r="K200" s="2512"/>
      <c r="L200" s="2512"/>
      <c r="M200" s="2512"/>
      <c r="N200" s="2512"/>
      <c r="O200" s="2512"/>
      <c r="P200" s="2512"/>
      <c r="Q200" s="2512"/>
      <c r="R200" s="2512"/>
      <c r="S200" s="2512"/>
      <c r="T200" s="2512"/>
      <c r="U200" s="2512"/>
      <c r="V200" s="2512"/>
      <c r="W200" s="2512"/>
      <c r="X200" s="2512"/>
      <c r="Y200" s="2512"/>
      <c r="Z200" s="2512"/>
      <c r="AA200" s="2512"/>
      <c r="AB200" s="2512"/>
      <c r="AC200" s="2512"/>
      <c r="AD200" s="2512"/>
      <c r="AE200" s="2512"/>
      <c r="AF200" s="2512"/>
      <c r="AG200" s="2512"/>
      <c r="AH200" s="2512"/>
      <c r="AI200" s="2512"/>
      <c r="AJ200" s="2512"/>
      <c r="AK200" s="2512"/>
      <c r="AL200" s="2512"/>
      <c r="AM200" s="2512"/>
      <c r="AN200" s="2512"/>
      <c r="AO200" s="2512"/>
      <c r="AP200" s="2512"/>
      <c r="AQ200" s="2512"/>
      <c r="AR200" s="2512"/>
      <c r="AS200" s="2512"/>
      <c r="AT200" s="2512"/>
      <c r="AU200" s="2512"/>
      <c r="AV200" s="2512"/>
      <c r="AW200" s="2512"/>
      <c r="AX200" s="2512"/>
      <c r="AY200" s="2512"/>
      <c r="AZ200" s="1315"/>
      <c r="BA200" s="1312"/>
    </row>
    <row r="201" spans="1:53" s="95" customFormat="1" ht="14.65" customHeight="1">
      <c r="A201" s="2512"/>
      <c r="B201" s="2512"/>
      <c r="C201" s="2512"/>
      <c r="D201" s="2512"/>
      <c r="E201" s="2512"/>
      <c r="F201" s="2512"/>
      <c r="G201" s="2512"/>
      <c r="H201" s="2512"/>
      <c r="I201" s="2512"/>
      <c r="J201" s="2512"/>
      <c r="K201" s="2512"/>
      <c r="L201" s="2512"/>
      <c r="M201" s="2512"/>
      <c r="N201" s="2512"/>
      <c r="O201" s="2512"/>
      <c r="P201" s="2512"/>
      <c r="Q201" s="2512"/>
      <c r="R201" s="2512"/>
      <c r="S201" s="2512"/>
      <c r="T201" s="2512"/>
      <c r="U201" s="2512"/>
      <c r="V201" s="2512"/>
      <c r="W201" s="2512"/>
      <c r="X201" s="2512"/>
      <c r="Y201" s="2512"/>
      <c r="Z201" s="2512"/>
      <c r="AA201" s="2512"/>
      <c r="AB201" s="2512"/>
      <c r="AC201" s="2512"/>
      <c r="AD201" s="2512"/>
      <c r="AE201" s="2512"/>
      <c r="AF201" s="2512"/>
      <c r="AG201" s="2512"/>
      <c r="AH201" s="2512"/>
      <c r="AI201" s="2512"/>
      <c r="AJ201" s="2512"/>
      <c r="AK201" s="2512"/>
      <c r="AL201" s="2512"/>
      <c r="AM201" s="2512"/>
      <c r="AN201" s="2512"/>
      <c r="AO201" s="2512"/>
      <c r="AP201" s="2512"/>
      <c r="AQ201" s="2512"/>
      <c r="AR201" s="2512"/>
      <c r="AS201" s="2512"/>
      <c r="AT201" s="2512"/>
      <c r="AU201" s="2512"/>
      <c r="AV201" s="2512"/>
      <c r="AW201" s="2512"/>
      <c r="AX201" s="2512"/>
      <c r="AY201" s="2512"/>
      <c r="AZ201" s="1315"/>
      <c r="BA201" s="1315"/>
    </row>
    <row r="202" spans="1:53" s="95" customFormat="1" ht="14.65" customHeight="1">
      <c r="A202" s="2512"/>
      <c r="B202" s="2512"/>
      <c r="C202" s="2512"/>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2512"/>
      <c r="AG202" s="2512"/>
      <c r="AH202" s="2512"/>
      <c r="AI202" s="2512"/>
      <c r="AJ202" s="2512"/>
      <c r="AK202" s="2512"/>
      <c r="AL202" s="2512"/>
      <c r="AM202" s="2512"/>
      <c r="AN202" s="2512"/>
      <c r="AO202" s="2512"/>
      <c r="AP202" s="2512"/>
      <c r="AQ202" s="2512"/>
      <c r="AR202" s="2512"/>
      <c r="AS202" s="2512"/>
      <c r="AT202" s="2512"/>
      <c r="AU202" s="2512"/>
      <c r="AV202" s="2512"/>
      <c r="AW202" s="2512"/>
      <c r="AX202" s="2512"/>
      <c r="AY202" s="2512"/>
      <c r="AZ202" s="1315"/>
      <c r="BA202" s="1315"/>
    </row>
    <row r="203" spans="1:53" ht="14.65" customHeight="1">
      <c r="AZ203" s="1315"/>
      <c r="BA203" s="1315"/>
    </row>
    <row r="204" spans="1:53" s="95" customFormat="1" ht="14.65" customHeight="1">
      <c r="A204" s="134"/>
      <c r="B204" s="2512"/>
      <c r="C204" s="2512"/>
      <c r="D204" s="2512"/>
      <c r="E204" s="2512"/>
      <c r="F204" s="2512"/>
      <c r="G204" s="2512"/>
      <c r="H204" s="2512"/>
      <c r="I204" s="2512"/>
      <c r="J204" s="2512"/>
      <c r="K204" s="2512"/>
      <c r="L204" s="2512"/>
      <c r="M204" s="2512"/>
      <c r="N204" s="2512"/>
      <c r="O204" s="2512"/>
      <c r="P204" s="2512"/>
      <c r="Q204" s="2512"/>
      <c r="R204" s="2512"/>
      <c r="S204" s="2512"/>
      <c r="T204" s="2512"/>
      <c r="U204" s="2512"/>
      <c r="V204" s="2512"/>
      <c r="W204" s="2512"/>
      <c r="X204" s="2512"/>
      <c r="Y204" s="2512"/>
      <c r="Z204" s="2512"/>
      <c r="AA204" s="2512"/>
      <c r="AB204" s="2512"/>
      <c r="AC204" s="2512"/>
      <c r="AD204" s="2512"/>
      <c r="AE204" s="2512"/>
      <c r="AF204" s="2512"/>
      <c r="AG204" s="2512"/>
      <c r="AH204" s="2512"/>
      <c r="AI204" s="2512"/>
      <c r="AJ204" s="2512"/>
      <c r="AK204" s="2512"/>
      <c r="AL204" s="2512"/>
      <c r="AM204" s="2512"/>
      <c r="AN204" s="2512"/>
      <c r="AO204" s="2512"/>
      <c r="AP204" s="2512"/>
      <c r="AQ204" s="2512"/>
      <c r="AR204" s="2512"/>
      <c r="AS204" s="2512"/>
      <c r="AT204" s="2512"/>
      <c r="AU204" s="2512"/>
      <c r="AV204" s="2512"/>
      <c r="AW204" s="2512"/>
      <c r="AX204" s="2512"/>
      <c r="AY204" s="2512"/>
      <c r="AZ204" s="1315"/>
      <c r="BA204" s="1315"/>
    </row>
    <row r="205" spans="1:53" ht="14.65" customHeight="1">
      <c r="AZ205" s="1315"/>
      <c r="BA205" s="1315"/>
    </row>
    <row r="206" spans="1:53" s="95" customFormat="1" ht="14.65" customHeight="1">
      <c r="A206" s="2512"/>
      <c r="B206" s="2512"/>
      <c r="C206" s="2512"/>
      <c r="D206" s="2512"/>
      <c r="E206" s="2512"/>
      <c r="F206" s="2512"/>
      <c r="G206" s="2512"/>
      <c r="H206" s="2512"/>
      <c r="I206" s="2512"/>
      <c r="J206" s="2512"/>
      <c r="K206" s="2512"/>
      <c r="L206" s="2512"/>
      <c r="M206" s="2512"/>
      <c r="N206" s="2512"/>
      <c r="O206" s="2512"/>
      <c r="P206" s="2512"/>
      <c r="Q206" s="2512"/>
      <c r="R206" s="2512"/>
      <c r="S206" s="2512"/>
      <c r="T206" s="2512"/>
      <c r="U206" s="2512"/>
      <c r="V206" s="2512"/>
      <c r="W206" s="2512"/>
      <c r="X206" s="2512"/>
      <c r="Y206" s="2512"/>
      <c r="Z206" s="2512"/>
      <c r="AA206" s="2512"/>
      <c r="AB206" s="2512"/>
      <c r="AC206" s="2512"/>
      <c r="AD206" s="2512"/>
      <c r="AE206" s="2512"/>
      <c r="AF206" s="2512"/>
      <c r="AG206" s="2512"/>
      <c r="AH206" s="2512"/>
      <c r="AI206" s="2512"/>
      <c r="AJ206" s="2512"/>
      <c r="AK206" s="2512"/>
      <c r="AL206" s="2512"/>
      <c r="AM206" s="2512"/>
      <c r="AN206" s="2512"/>
      <c r="AO206" s="2512"/>
      <c r="AP206" s="2512"/>
      <c r="AQ206" s="2512"/>
      <c r="AR206" s="2512"/>
      <c r="AS206" s="2512"/>
      <c r="AT206" s="2512"/>
      <c r="AU206" s="2512"/>
      <c r="AV206" s="2512"/>
      <c r="AW206" s="2512"/>
      <c r="AX206" s="2512"/>
      <c r="AY206" s="2512"/>
      <c r="AZ206" s="1315"/>
      <c r="BA206" s="1315"/>
    </row>
    <row r="207" spans="1:53" s="95" customFormat="1" ht="14.65" customHeight="1">
      <c r="A207" s="134"/>
      <c r="B207" s="2512"/>
      <c r="C207" s="2512"/>
      <c r="D207" s="2512"/>
      <c r="E207" s="2512"/>
      <c r="F207" s="2512"/>
      <c r="G207" s="2512"/>
      <c r="H207" s="2512"/>
      <c r="I207" s="2512"/>
      <c r="J207" s="2512"/>
      <c r="K207" s="2512"/>
      <c r="L207" s="2512"/>
      <c r="M207" s="2512"/>
      <c r="N207" s="2512"/>
      <c r="O207" s="2512"/>
      <c r="P207" s="2512"/>
      <c r="Q207" s="2512"/>
      <c r="R207" s="2512"/>
      <c r="S207" s="2512"/>
      <c r="T207" s="2512"/>
      <c r="U207" s="2512"/>
      <c r="V207" s="2512"/>
      <c r="W207" s="2512"/>
      <c r="X207" s="2512"/>
      <c r="Y207" s="2512"/>
      <c r="Z207" s="2512"/>
      <c r="AA207" s="2512"/>
      <c r="AB207" s="2512"/>
      <c r="AC207" s="2512"/>
      <c r="AD207" s="2512"/>
      <c r="AE207" s="2512"/>
      <c r="AF207" s="2512"/>
      <c r="AG207" s="2512"/>
      <c r="AH207" s="2512"/>
      <c r="AI207" s="2512"/>
      <c r="AJ207" s="2512"/>
      <c r="AK207" s="2512"/>
      <c r="AL207" s="2512"/>
      <c r="AM207" s="2512"/>
      <c r="AN207" s="2512"/>
      <c r="AO207" s="2512"/>
      <c r="AP207" s="2512"/>
      <c r="AQ207" s="2512"/>
      <c r="AR207" s="2512"/>
      <c r="AS207" s="2512"/>
      <c r="AT207" s="2512"/>
      <c r="AU207" s="2512"/>
      <c r="AV207" s="2512"/>
      <c r="AW207" s="2512"/>
      <c r="AX207" s="2512"/>
      <c r="AY207" s="2512"/>
      <c r="AZ207" s="1315"/>
      <c r="BA207" s="1315"/>
    </row>
    <row r="208" spans="1:53" s="95" customFormat="1" ht="14.65" customHeight="1">
      <c r="A208" s="269"/>
      <c r="B208" s="2512"/>
      <c r="C208" s="2512"/>
      <c r="D208" s="2512"/>
      <c r="E208" s="2512"/>
      <c r="F208" s="2512"/>
      <c r="G208" s="2512"/>
      <c r="H208" s="2512"/>
      <c r="I208" s="2512"/>
      <c r="J208" s="2512"/>
      <c r="K208" s="2512"/>
      <c r="L208" s="2512"/>
      <c r="M208" s="2512"/>
      <c r="N208" s="2512"/>
      <c r="O208" s="2512"/>
      <c r="P208" s="2512"/>
      <c r="Q208" s="2512"/>
      <c r="R208" s="2512"/>
      <c r="S208" s="2512"/>
      <c r="T208" s="2512"/>
      <c r="U208" s="2512"/>
      <c r="V208" s="2512"/>
      <c r="W208" s="2512"/>
      <c r="X208" s="2512"/>
      <c r="Y208" s="2512"/>
      <c r="Z208" s="2512"/>
      <c r="AA208" s="2512"/>
      <c r="AB208" s="2512"/>
      <c r="AC208" s="2512"/>
      <c r="AD208" s="2512"/>
      <c r="AE208" s="2512"/>
      <c r="AF208" s="2512"/>
      <c r="AG208" s="2512"/>
      <c r="AH208" s="2512"/>
      <c r="AI208" s="2512"/>
      <c r="AJ208" s="2512"/>
      <c r="AK208" s="2512"/>
      <c r="AL208" s="2512"/>
      <c r="AM208" s="2512"/>
      <c r="AN208" s="2512"/>
      <c r="AO208" s="2512"/>
      <c r="AP208" s="2512"/>
      <c r="AQ208" s="2512"/>
      <c r="AR208" s="2512"/>
      <c r="AS208" s="2512"/>
      <c r="AT208" s="2512"/>
      <c r="AU208" s="2512"/>
      <c r="AV208" s="2512"/>
      <c r="AW208" s="2512"/>
      <c r="AX208" s="2512"/>
      <c r="AY208" s="2512"/>
      <c r="AZ208" s="1315"/>
      <c r="BA208" s="1315"/>
    </row>
    <row r="209" spans="1:53" s="95" customFormat="1" ht="14.65" customHeight="1">
      <c r="A209" s="2512"/>
      <c r="B209" s="2512"/>
      <c r="C209" s="2512"/>
      <c r="D209" s="2512"/>
      <c r="E209" s="2512"/>
      <c r="F209" s="2512"/>
      <c r="G209" s="2512"/>
      <c r="H209" s="2512"/>
      <c r="I209" s="2512"/>
      <c r="J209" s="2512"/>
      <c r="K209" s="2512"/>
      <c r="L209" s="2512"/>
      <c r="M209" s="2512"/>
      <c r="N209" s="2512"/>
      <c r="O209" s="2512"/>
      <c r="P209" s="2512"/>
      <c r="Q209" s="2512"/>
      <c r="R209" s="2512"/>
      <c r="S209" s="2512"/>
      <c r="T209" s="2512"/>
      <c r="U209" s="2512"/>
      <c r="V209" s="2512"/>
      <c r="W209" s="2512"/>
      <c r="X209" s="2512"/>
      <c r="Y209" s="2512"/>
      <c r="Z209" s="2512"/>
      <c r="AA209" s="2512"/>
      <c r="AB209" s="2512"/>
      <c r="AC209" s="2512"/>
      <c r="AD209" s="2512"/>
      <c r="AE209" s="2512"/>
      <c r="AF209" s="2512"/>
      <c r="AG209" s="2512"/>
      <c r="AH209" s="2512"/>
      <c r="AI209" s="2512"/>
      <c r="AJ209" s="2512"/>
      <c r="AK209" s="2512"/>
      <c r="AL209" s="2512"/>
      <c r="AM209" s="2512"/>
      <c r="AN209" s="2512"/>
      <c r="AO209" s="2512"/>
      <c r="AP209" s="2512"/>
      <c r="AQ209" s="2512"/>
      <c r="AR209" s="2512"/>
      <c r="AS209" s="2512"/>
      <c r="AT209" s="2512"/>
      <c r="AU209" s="2512"/>
      <c r="AV209" s="2512"/>
      <c r="AW209" s="2512"/>
      <c r="AX209" s="2512"/>
      <c r="AY209" s="2512"/>
      <c r="AZ209" s="1312"/>
      <c r="BA209" s="1315"/>
    </row>
    <row r="210" spans="1:53" s="95" customFormat="1" ht="14.65" customHeight="1">
      <c r="A210" s="165"/>
      <c r="B210" s="2512"/>
      <c r="C210" s="2512"/>
      <c r="D210" s="2512"/>
      <c r="E210" s="2512"/>
      <c r="F210" s="2512"/>
      <c r="G210" s="2512"/>
      <c r="H210" s="2512"/>
      <c r="I210" s="2512"/>
      <c r="J210" s="2512"/>
      <c r="K210" s="2512"/>
      <c r="L210" s="2512"/>
      <c r="M210" s="2512"/>
      <c r="N210" s="2512"/>
      <c r="O210" s="2512"/>
      <c r="P210" s="2512"/>
      <c r="Q210" s="2512"/>
      <c r="R210" s="2512"/>
      <c r="S210" s="2512"/>
      <c r="T210" s="2512"/>
      <c r="U210" s="2512"/>
      <c r="V210" s="2512"/>
      <c r="W210" s="2512"/>
      <c r="X210" s="2512"/>
      <c r="Y210" s="2512"/>
      <c r="Z210" s="2512"/>
      <c r="AA210" s="2512"/>
      <c r="AB210" s="2512"/>
      <c r="AC210" s="2512"/>
      <c r="AD210" s="2512"/>
      <c r="AE210" s="2512"/>
      <c r="AF210" s="2512"/>
      <c r="AG210" s="2512"/>
      <c r="AH210" s="2512"/>
      <c r="AI210" s="2512"/>
      <c r="AJ210" s="2512"/>
      <c r="AK210" s="2512"/>
      <c r="AL210" s="2512"/>
      <c r="AM210" s="2512"/>
      <c r="AN210" s="2512"/>
      <c r="AO210" s="2512"/>
      <c r="AP210" s="2512"/>
      <c r="AQ210" s="2512"/>
      <c r="AR210" s="2512"/>
      <c r="AS210" s="2512"/>
      <c r="AT210" s="2512"/>
      <c r="AU210" s="2512"/>
      <c r="AV210" s="2512"/>
      <c r="AW210" s="2512"/>
      <c r="AX210" s="2512"/>
      <c r="AY210" s="2512"/>
      <c r="AZ210" s="1312"/>
      <c r="BA210" s="1312"/>
    </row>
    <row r="211" spans="1:53" s="95" customFormat="1" ht="14.65" customHeight="1">
      <c r="A211" s="165"/>
      <c r="B211" s="2512"/>
      <c r="C211" s="2512"/>
      <c r="D211" s="2512"/>
      <c r="E211" s="2512"/>
      <c r="F211" s="2512"/>
      <c r="G211" s="2512"/>
      <c r="H211" s="2512"/>
      <c r="I211" s="2512"/>
      <c r="J211" s="2512"/>
      <c r="K211" s="2512"/>
      <c r="L211" s="2512"/>
      <c r="M211" s="2512"/>
      <c r="N211" s="2512"/>
      <c r="O211" s="2512"/>
      <c r="P211" s="2512"/>
      <c r="Q211" s="2512"/>
      <c r="R211" s="2512"/>
      <c r="S211" s="2512"/>
      <c r="T211" s="2512"/>
      <c r="U211" s="2512"/>
      <c r="V211" s="2512"/>
      <c r="W211" s="2512"/>
      <c r="X211" s="2512"/>
      <c r="Y211" s="2512"/>
      <c r="Z211" s="2512"/>
      <c r="AA211" s="2512"/>
      <c r="AB211" s="2512"/>
      <c r="AC211" s="2512"/>
      <c r="AD211" s="2512"/>
      <c r="AE211" s="2512"/>
      <c r="AF211" s="2512"/>
      <c r="AG211" s="2512"/>
      <c r="AH211" s="2512"/>
      <c r="AI211" s="2512"/>
      <c r="AJ211" s="2512"/>
      <c r="AK211" s="2512"/>
      <c r="AL211" s="2512"/>
      <c r="AM211" s="2512"/>
      <c r="AN211" s="2512"/>
      <c r="AO211" s="2512"/>
      <c r="AP211" s="2512"/>
      <c r="AQ211" s="2512"/>
      <c r="AR211" s="2512"/>
      <c r="AS211" s="2512"/>
      <c r="AT211" s="2512"/>
      <c r="AU211" s="2512"/>
      <c r="AV211" s="2512"/>
      <c r="AW211" s="2512"/>
      <c r="AX211" s="2512"/>
      <c r="AY211" s="2512"/>
      <c r="AZ211" s="1312"/>
      <c r="BA211" s="1312"/>
    </row>
    <row r="212" spans="1:53" s="95" customFormat="1" ht="14.65" customHeight="1">
      <c r="A212" s="165"/>
      <c r="B212" s="2512"/>
      <c r="C212" s="2512"/>
      <c r="D212" s="2512"/>
      <c r="E212" s="2512"/>
      <c r="F212" s="2512"/>
      <c r="G212" s="2512"/>
      <c r="H212" s="2512"/>
      <c r="I212" s="2512"/>
      <c r="J212" s="2512"/>
      <c r="K212" s="2512"/>
      <c r="L212" s="2512"/>
      <c r="M212" s="2512"/>
      <c r="N212" s="2512"/>
      <c r="O212" s="2512"/>
      <c r="P212" s="2512"/>
      <c r="Q212" s="2512"/>
      <c r="R212" s="2512"/>
      <c r="S212" s="2512"/>
      <c r="T212" s="2512"/>
      <c r="U212" s="2512"/>
      <c r="V212" s="2512"/>
      <c r="W212" s="2512"/>
      <c r="X212" s="2512"/>
      <c r="Y212" s="2512"/>
      <c r="Z212" s="2512"/>
      <c r="AA212" s="2512"/>
      <c r="AB212" s="2512"/>
      <c r="AC212" s="2512"/>
      <c r="AD212" s="2512"/>
      <c r="AE212" s="2512"/>
      <c r="AF212" s="2512"/>
      <c r="AG212" s="2512"/>
      <c r="AH212" s="2512"/>
      <c r="AI212" s="2512"/>
      <c r="AJ212" s="2512"/>
      <c r="AK212" s="2512"/>
      <c r="AL212" s="2512"/>
      <c r="AM212" s="2512"/>
      <c r="AN212" s="2512"/>
      <c r="AO212" s="2512"/>
      <c r="AP212" s="2512"/>
      <c r="AQ212" s="2512"/>
      <c r="AR212" s="2512"/>
      <c r="AS212" s="2512"/>
      <c r="AT212" s="2512"/>
      <c r="AU212" s="2512"/>
      <c r="AV212" s="2512"/>
      <c r="AW212" s="2512"/>
      <c r="AX212" s="2512"/>
      <c r="AY212" s="2512"/>
      <c r="AZ212" s="1312"/>
      <c r="BA212" s="1312"/>
    </row>
    <row r="213" spans="1:53" s="95" customFormat="1" ht="14.65" customHeight="1">
      <c r="A213" s="2512"/>
      <c r="B213" s="2512"/>
      <c r="C213" s="2512"/>
      <c r="D213" s="2512"/>
      <c r="E213" s="2512"/>
      <c r="F213" s="2512"/>
      <c r="G213" s="2512"/>
      <c r="H213" s="2512"/>
      <c r="I213" s="2512"/>
      <c r="J213" s="2512"/>
      <c r="K213" s="2512"/>
      <c r="L213" s="2512"/>
      <c r="M213" s="2512"/>
      <c r="N213" s="2512"/>
      <c r="O213" s="2512"/>
      <c r="P213" s="2512"/>
      <c r="Q213" s="2512"/>
      <c r="R213" s="2512"/>
      <c r="S213" s="2512"/>
      <c r="T213" s="2512"/>
      <c r="U213" s="2512"/>
      <c r="V213" s="2512"/>
      <c r="W213" s="2512"/>
      <c r="X213" s="2512"/>
      <c r="Y213" s="2512"/>
      <c r="Z213" s="2512"/>
      <c r="AA213" s="2512"/>
      <c r="AB213" s="2512"/>
      <c r="AC213" s="2512"/>
      <c r="AD213" s="2512"/>
      <c r="AE213" s="2512"/>
      <c r="AF213" s="2512"/>
      <c r="AG213" s="2512"/>
      <c r="AH213" s="2512"/>
      <c r="AI213" s="2512"/>
      <c r="AJ213" s="2512"/>
      <c r="AK213" s="2512"/>
      <c r="AL213" s="2512"/>
      <c r="AM213" s="2512"/>
      <c r="AN213" s="2512"/>
      <c r="AO213" s="2512"/>
      <c r="AP213" s="2512"/>
      <c r="AQ213" s="2512"/>
      <c r="AR213" s="2512"/>
      <c r="AS213" s="2512"/>
      <c r="AT213" s="2512"/>
      <c r="AU213" s="2512"/>
      <c r="AV213" s="2512"/>
      <c r="AW213" s="2512"/>
      <c r="AX213" s="2512"/>
      <c r="AY213" s="2512"/>
      <c r="AZ213" s="1312"/>
      <c r="BA213" s="1312"/>
    </row>
    <row r="214" spans="1:53" s="95" customFormat="1" ht="14.65" customHeight="1">
      <c r="A214" s="2512"/>
      <c r="B214" s="2512"/>
      <c r="C214" s="2512"/>
      <c r="D214" s="2512"/>
      <c r="E214" s="2512"/>
      <c r="F214" s="2512"/>
      <c r="G214" s="2512"/>
      <c r="H214" s="2512"/>
      <c r="I214" s="2512"/>
      <c r="J214" s="2512"/>
      <c r="K214" s="2512"/>
      <c r="L214" s="2512"/>
      <c r="M214" s="2512"/>
      <c r="N214" s="2512"/>
      <c r="O214" s="2512"/>
      <c r="P214" s="2512"/>
      <c r="Q214" s="2512"/>
      <c r="R214" s="2512"/>
      <c r="S214" s="2512"/>
      <c r="T214" s="2512"/>
      <c r="U214" s="2512"/>
      <c r="V214" s="2512"/>
      <c r="W214" s="2512"/>
      <c r="X214" s="2512"/>
      <c r="Y214" s="2512"/>
      <c r="Z214" s="2512"/>
      <c r="AA214" s="2512"/>
      <c r="AB214" s="2512"/>
      <c r="AC214" s="2512"/>
      <c r="AD214" s="2512"/>
      <c r="AE214" s="2512"/>
      <c r="AF214" s="2512"/>
      <c r="AG214" s="2512"/>
      <c r="AH214" s="2512"/>
      <c r="AI214" s="2512"/>
      <c r="AJ214" s="2512"/>
      <c r="AK214" s="2512"/>
      <c r="AL214" s="2512"/>
      <c r="AM214" s="2512"/>
      <c r="AN214" s="2512"/>
      <c r="AO214" s="2512"/>
      <c r="AP214" s="2512"/>
      <c r="AQ214" s="2512"/>
      <c r="AR214" s="2512"/>
      <c r="AS214" s="2512"/>
      <c r="AT214" s="2512"/>
      <c r="AU214" s="2512"/>
      <c r="AV214" s="2512"/>
      <c r="AW214" s="2512"/>
      <c r="AX214" s="2512"/>
      <c r="AY214" s="2512"/>
      <c r="AZ214" s="1312"/>
      <c r="BA214" s="1312"/>
    </row>
    <row r="215" spans="1:53" ht="14.65" customHeight="1"/>
    <row r="216" spans="1:53" ht="14.65" customHeight="1"/>
    <row r="217" spans="1:53" ht="14.65" customHeight="1">
      <c r="AZ217" s="1315"/>
    </row>
    <row r="218" spans="1:53" ht="14.65" customHeight="1">
      <c r="BA218" s="1315"/>
    </row>
    <row r="219" spans="1:53" ht="14.65" customHeight="1"/>
    <row r="220" spans="1:53" ht="14.65" customHeight="1"/>
    <row r="221" spans="1:53" ht="14.65" customHeight="1"/>
    <row r="222" spans="1:53" ht="14.65" customHeight="1"/>
    <row r="223" spans="1:53" s="95" customFormat="1" ht="14.65" customHeight="1">
      <c r="A223" s="2512"/>
      <c r="B223" s="2512"/>
      <c r="C223" s="2512"/>
      <c r="D223" s="2512"/>
      <c r="E223" s="2512"/>
      <c r="F223" s="2512"/>
      <c r="G223" s="2512"/>
      <c r="H223" s="2512"/>
      <c r="I223" s="2512"/>
      <c r="J223" s="2512"/>
      <c r="K223" s="2512"/>
      <c r="L223" s="2512"/>
      <c r="M223" s="2512"/>
      <c r="N223" s="2512"/>
      <c r="O223" s="2512"/>
      <c r="P223" s="2512"/>
      <c r="Q223" s="2512"/>
      <c r="R223" s="2512"/>
      <c r="S223" s="2512"/>
      <c r="T223" s="2512"/>
      <c r="U223" s="2512"/>
      <c r="V223" s="2512"/>
      <c r="W223" s="2512"/>
      <c r="X223" s="2512"/>
      <c r="Y223" s="2512"/>
      <c r="Z223" s="2512"/>
      <c r="AA223" s="2512"/>
      <c r="AB223" s="2512"/>
      <c r="AC223" s="2512"/>
      <c r="AD223" s="2512"/>
      <c r="AE223" s="2512"/>
      <c r="AF223" s="2512"/>
      <c r="AG223" s="2512"/>
      <c r="AH223" s="2512"/>
      <c r="AI223" s="2512"/>
      <c r="AJ223" s="2512"/>
      <c r="AK223" s="2512"/>
      <c r="AL223" s="2512"/>
      <c r="AM223" s="2512"/>
      <c r="AN223" s="2512"/>
      <c r="AO223" s="2512"/>
      <c r="AP223" s="2512"/>
      <c r="AQ223" s="2512"/>
      <c r="AR223" s="2512"/>
      <c r="AS223" s="2512"/>
      <c r="AT223" s="2512"/>
      <c r="AU223" s="2512"/>
      <c r="AV223" s="2512"/>
      <c r="AW223" s="2512"/>
      <c r="AX223" s="2512"/>
      <c r="AY223" s="2512"/>
      <c r="AZ223" s="1312"/>
      <c r="BA223" s="1312"/>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254"/>
      <c r="L237" s="2512"/>
    </row>
    <row r="238" spans="11:12" ht="14.65" customHeight="1">
      <c r="K238" s="1254"/>
      <c r="L238" s="2512"/>
    </row>
    <row r="239" spans="11:12" ht="12.75" customHeight="1">
      <c r="K239" s="1254"/>
      <c r="L239" s="2512"/>
    </row>
    <row r="240" spans="11:12">
      <c r="K240" s="1254"/>
      <c r="L240" s="2512"/>
    </row>
    <row r="241" spans="11:12">
      <c r="K241" s="1254"/>
      <c r="L241" s="2512"/>
    </row>
    <row r="242" spans="11:12">
      <c r="K242" s="1254"/>
      <c r="L242" s="2512"/>
    </row>
    <row r="243" spans="11:12">
      <c r="K243" s="1254"/>
      <c r="L243" s="2512"/>
    </row>
    <row r="244" spans="11:12">
      <c r="K244" s="1254"/>
      <c r="L244" s="2512"/>
    </row>
    <row r="245" spans="11:12" ht="12.75" customHeight="1">
      <c r="K245" s="1254"/>
      <c r="L245" s="2512"/>
    </row>
    <row r="246" spans="11:12">
      <c r="K246" s="1254"/>
      <c r="L246" s="2512"/>
    </row>
  </sheetData>
  <sheetProtection algorithmName="SHA-512" hashValue="xCTp9ocfm1lqbTrVbxkCKEemKuTIiHUDqyzCDR7P9HnUGCtChxi0PSb5uv9jwdglO83h60B6qrVhxROQ/3UPsA==" saltValue="RfXATNDfoR0peWqnu5quHw==" spinCount="100000" sheet="1" objects="1" scenarios="1"/>
  <mergeCells count="716">
    <mergeCell ref="A195:M195"/>
    <mergeCell ref="N195:T195"/>
    <mergeCell ref="W195:X195"/>
    <mergeCell ref="J187:L187"/>
    <mergeCell ref="S187:T187"/>
    <mergeCell ref="W187:X187"/>
    <mergeCell ref="J189:L189"/>
    <mergeCell ref="M189:P191"/>
    <mergeCell ref="S189:T189"/>
    <mergeCell ref="W189:X189"/>
    <mergeCell ref="J191:L191"/>
    <mergeCell ref="W191:X191"/>
    <mergeCell ref="J183:L183"/>
    <mergeCell ref="W183:X183"/>
    <mergeCell ref="J179:L179"/>
    <mergeCell ref="N179:Q179"/>
    <mergeCell ref="W179:X179"/>
    <mergeCell ref="J180:L180"/>
    <mergeCell ref="W180:X180"/>
    <mergeCell ref="N181:O181"/>
    <mergeCell ref="Q181:R181"/>
    <mergeCell ref="W181:X181"/>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71:Q171"/>
    <mergeCell ref="W171:X171"/>
    <mergeCell ref="J168:K168"/>
    <mergeCell ref="M168:N168"/>
    <mergeCell ref="P168:Q168"/>
    <mergeCell ref="W168:X168"/>
    <mergeCell ref="J169:K169"/>
    <mergeCell ref="M169:N169"/>
    <mergeCell ref="P169:Q169"/>
    <mergeCell ref="W169:X169"/>
    <mergeCell ref="J167:K167"/>
    <mergeCell ref="M167:N167"/>
    <mergeCell ref="P167:Q167"/>
    <mergeCell ref="R167:T167"/>
    <mergeCell ref="W167:X167"/>
    <mergeCell ref="J170:K170"/>
    <mergeCell ref="M170:N170"/>
    <mergeCell ref="P170:Q170"/>
    <mergeCell ref="W170:X170"/>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2:K162"/>
    <mergeCell ref="M162:N162"/>
    <mergeCell ref="P162:Q162"/>
    <mergeCell ref="R162:T163"/>
    <mergeCell ref="W162:X162"/>
    <mergeCell ref="J163:K163"/>
    <mergeCell ref="M163:N163"/>
    <mergeCell ref="P163:Q163"/>
    <mergeCell ref="W163:X16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G132:H132"/>
    <mergeCell ref="S132:T132"/>
    <mergeCell ref="W132:X132"/>
    <mergeCell ref="G133:H133"/>
    <mergeCell ref="J133:K133"/>
    <mergeCell ref="M133:N133"/>
    <mergeCell ref="P133:Q133"/>
    <mergeCell ref="S133:T133"/>
    <mergeCell ref="W133:X133"/>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262" priority="7" stopIfTrue="1" operator="greaterThan">
      <formula>$E38</formula>
    </cfRule>
  </conditionalFormatting>
  <conditionalFormatting sqref="G39">
    <cfRule type="cellIs" dxfId="261" priority="8" stopIfTrue="1" operator="greaterThan">
      <formula>$E$39</formula>
    </cfRule>
  </conditionalFormatting>
  <conditionalFormatting sqref="G40">
    <cfRule type="cellIs" dxfId="260" priority="9" stopIfTrue="1" operator="greaterThan">
      <formula>$E$40</formula>
    </cfRule>
  </conditionalFormatting>
  <conditionalFormatting sqref="G55:H55">
    <cfRule type="cellIs" dxfId="259" priority="1" operator="greaterThan">
      <formula>$E$55</formula>
    </cfRule>
  </conditionalFormatting>
  <conditionalFormatting sqref="J38:K38 M38:N38 P38:Q38">
    <cfRule type="cellIs" dxfId="258" priority="4" operator="greaterThan">
      <formula>$G$38</formula>
    </cfRule>
  </conditionalFormatting>
  <conditionalFormatting sqref="J39:K40 M39:N40 P39:Q40">
    <cfRule type="cellIs" dxfId="257" priority="3" operator="greaterThan">
      <formula>$G$40</formula>
    </cfRule>
  </conditionalFormatting>
  <conditionalFormatting sqref="J191:L191">
    <cfRule type="cellIs" dxfId="256" priority="5" stopIfTrue="1" operator="greaterThan">
      <formula>$J$187</formula>
    </cfRule>
  </conditionalFormatting>
  <conditionalFormatting sqref="O174:V174">
    <cfRule type="cellIs" dxfId="25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25" workbookViewId="0">
      <selection activeCell="H5" sqref="H5"/>
    </sheetView>
  </sheetViews>
  <sheetFormatPr defaultColWidth="9.28515625" defaultRowHeight="15"/>
  <cols>
    <col min="1" max="1" width="7.28515625" style="314" customWidth="1"/>
    <col min="2" max="2" width="12.7109375" style="314" customWidth="1"/>
    <col min="3" max="3" width="7.7109375" style="314" customWidth="1"/>
    <col min="4" max="4" width="12.7109375" style="314" customWidth="1"/>
    <col min="5" max="5" width="0.7109375" style="314" customWidth="1"/>
    <col min="6" max="6" width="46.7109375" style="314" customWidth="1"/>
    <col min="7" max="7" width="0.7109375" style="314" customWidth="1"/>
    <col min="8" max="8" width="46.7109375" style="314" customWidth="1"/>
    <col min="9" max="17" width="9.28515625" style="314"/>
    <col min="18" max="18" width="9.28515625" style="367"/>
    <col min="19" max="16384" width="9.28515625" style="314"/>
  </cols>
  <sheetData>
    <row r="1" spans="1:18" ht="15.75">
      <c r="A1" s="3311" t="str">
        <f>CONCATENATE("PART THREE (B) -  OTHER COSTS","  -  ",'Part I-Project Identification'!$O$7," - ",'Part I-Project Identification'!$F$26,"  -  ",'Part I-Project Identification'!$F$27,"  -  ",'Part I-Project Identification'!$J$27,",  ","County")</f>
        <v>PART THREE (B) -  OTHER COSTS  -  2024-0 - Finley Place  -  Austell  -  Cobb,  County</v>
      </c>
      <c r="B1" s="3312"/>
      <c r="C1" s="3312"/>
      <c r="D1" s="3312"/>
      <c r="E1" s="3312"/>
      <c r="F1" s="3312"/>
      <c r="G1" s="3312"/>
      <c r="H1" s="3312"/>
      <c r="I1" s="543"/>
      <c r="J1" s="543"/>
      <c r="K1" s="543"/>
      <c r="L1" s="543"/>
      <c r="M1" s="543"/>
      <c r="N1" s="543"/>
      <c r="R1" s="2078">
        <v>1</v>
      </c>
    </row>
    <row r="2" spans="1:18" ht="9" customHeight="1">
      <c r="R2" s="2078">
        <v>2</v>
      </c>
    </row>
    <row r="3" spans="1:18" ht="57" customHeight="1">
      <c r="A3" s="3313" t="s">
        <v>760</v>
      </c>
      <c r="B3" s="3314"/>
      <c r="C3" s="3314"/>
      <c r="D3" s="3314"/>
      <c r="E3" s="3314"/>
      <c r="F3" s="3314"/>
      <c r="G3" s="3314"/>
      <c r="H3" s="3315"/>
      <c r="R3" s="2078">
        <v>3</v>
      </c>
    </row>
    <row r="4" spans="1:18" ht="6" customHeight="1">
      <c r="R4" s="2078">
        <v>4</v>
      </c>
    </row>
    <row r="5" spans="1:18" ht="38.25" customHeight="1">
      <c r="A5" s="3316" t="s">
        <v>761</v>
      </c>
      <c r="B5" s="3316"/>
      <c r="C5" s="3316"/>
      <c r="D5" s="3316"/>
      <c r="F5" s="544" t="s">
        <v>762</v>
      </c>
      <c r="G5" s="321"/>
      <c r="H5" s="544" t="s">
        <v>763</v>
      </c>
      <c r="R5" s="2078">
        <v>5</v>
      </c>
    </row>
    <row r="6" spans="1:18" ht="6.75" customHeight="1">
      <c r="A6" s="321"/>
      <c r="B6" s="321"/>
      <c r="C6" s="321"/>
      <c r="D6" s="321"/>
      <c r="R6" s="2078">
        <v>6</v>
      </c>
    </row>
    <row r="7" spans="1:18" s="546" customFormat="1" ht="4.5" customHeight="1">
      <c r="A7" s="545"/>
      <c r="B7" s="545"/>
      <c r="C7" s="545"/>
      <c r="D7" s="545"/>
      <c r="E7" s="545"/>
      <c r="F7" s="545"/>
      <c r="G7" s="545"/>
      <c r="R7" s="2079">
        <v>7</v>
      </c>
    </row>
    <row r="8" spans="1:18" s="546" customFormat="1" ht="15.75">
      <c r="A8" s="557" t="s">
        <v>533</v>
      </c>
      <c r="B8" s="547"/>
      <c r="C8" s="547"/>
      <c r="D8" s="547"/>
      <c r="E8" s="547"/>
      <c r="F8" s="547"/>
      <c r="G8" s="547"/>
      <c r="H8" s="547"/>
      <c r="R8" s="2079">
        <v>8</v>
      </c>
    </row>
    <row r="9" spans="1:18" s="546" customFormat="1" ht="41.25" customHeight="1">
      <c r="A9" s="3317" t="str">
        <f>'Part III-A-Uses of Funds'!$C$15</f>
        <v>Noise Study</v>
      </c>
      <c r="B9" s="3318"/>
      <c r="C9" s="3318"/>
      <c r="D9" s="3319"/>
      <c r="F9" s="3323" t="s">
        <v>764</v>
      </c>
      <c r="G9" s="547"/>
      <c r="H9" s="3323" t="s">
        <v>765</v>
      </c>
      <c r="R9" s="2079">
        <v>9</v>
      </c>
    </row>
    <row r="10" spans="1:18" s="546" customFormat="1" ht="41.25" customHeight="1">
      <c r="A10" s="3320"/>
      <c r="B10" s="3321"/>
      <c r="C10" s="3321"/>
      <c r="D10" s="3322"/>
      <c r="F10" s="3324"/>
      <c r="G10" s="547"/>
      <c r="H10" s="3324"/>
      <c r="R10" s="2078">
        <v>10</v>
      </c>
    </row>
    <row r="11" spans="1:18" s="546" customFormat="1" ht="4.5" customHeight="1">
      <c r="F11" s="3324"/>
      <c r="G11" s="547"/>
      <c r="H11" s="3324"/>
      <c r="R11" s="2078">
        <v>11</v>
      </c>
    </row>
    <row r="12" spans="1:18" s="546" customFormat="1" ht="15" customHeight="1">
      <c r="A12" s="556" t="s">
        <v>766</v>
      </c>
      <c r="B12" s="555">
        <f>'Part III-A-Uses of Funds'!$G$15</f>
        <v>6000</v>
      </c>
      <c r="C12" s="556" t="s">
        <v>723</v>
      </c>
      <c r="D12" s="555">
        <f>'Part III-A-Uses of Funds'!$J$15+'Part III-A-Uses of Funds'!$M$15+'Part III-A-Uses of Funds'!$P$15</f>
        <v>6000</v>
      </c>
      <c r="F12" s="3324"/>
      <c r="G12" s="547"/>
      <c r="H12" s="3324"/>
      <c r="R12" s="2078">
        <v>12</v>
      </c>
    </row>
    <row r="13" spans="1:18" s="546" customFormat="1" ht="6" customHeight="1">
      <c r="A13" s="547"/>
      <c r="B13" s="548"/>
      <c r="C13" s="547"/>
      <c r="D13" s="547"/>
      <c r="F13" s="3324"/>
      <c r="G13" s="549"/>
      <c r="H13" s="3324"/>
      <c r="R13" s="2078">
        <v>13</v>
      </c>
    </row>
    <row r="14" spans="1:18" s="546" customFormat="1" ht="41.25" customHeight="1">
      <c r="A14" s="3317" t="str">
        <f>'Part III-A-Uses of Funds'!$C$16</f>
        <v>&lt;&lt; Enter description here; provide detail &amp; justification in tab Part III-b &gt;&gt;</v>
      </c>
      <c r="B14" s="3318"/>
      <c r="C14" s="3318"/>
      <c r="D14" s="3319"/>
      <c r="F14" s="3324"/>
      <c r="G14" s="547"/>
      <c r="H14" s="3324"/>
      <c r="R14" s="2078">
        <v>14</v>
      </c>
    </row>
    <row r="15" spans="1:18" s="546" customFormat="1" ht="41.25" customHeight="1">
      <c r="A15" s="3320"/>
      <c r="B15" s="3321"/>
      <c r="C15" s="3321"/>
      <c r="D15" s="3322"/>
      <c r="F15" s="3324"/>
      <c r="G15" s="547"/>
      <c r="H15" s="3324"/>
      <c r="R15" s="2078">
        <v>15</v>
      </c>
    </row>
    <row r="16" spans="1:18" s="546" customFormat="1" ht="4.5" customHeight="1">
      <c r="F16" s="3324"/>
      <c r="G16" s="547"/>
      <c r="H16" s="3324"/>
      <c r="R16" s="2079">
        <v>16</v>
      </c>
    </row>
    <row r="17" spans="1:18" s="546" customFormat="1" ht="15" customHeight="1">
      <c r="A17" s="556" t="s">
        <v>766</v>
      </c>
      <c r="B17" s="555">
        <f>'Part III-A-Uses of Funds'!$G$16</f>
        <v>0</v>
      </c>
      <c r="C17" s="556" t="s">
        <v>723</v>
      </c>
      <c r="D17" s="555">
        <f>'Part III-A-Uses of Funds'!$J$16+'Part III-A-Uses of Funds'!$M$16+'Part III-A-Uses of Funds'!$P$16</f>
        <v>0</v>
      </c>
      <c r="F17" s="3324"/>
      <c r="G17" s="547"/>
      <c r="H17" s="3324"/>
      <c r="R17" s="2079">
        <v>17</v>
      </c>
    </row>
    <row r="18" spans="1:18" s="546" customFormat="1" ht="6" customHeight="1">
      <c r="A18" s="547"/>
      <c r="B18" s="548"/>
      <c r="C18" s="547"/>
      <c r="D18" s="547"/>
      <c r="F18" s="3324"/>
      <c r="G18" s="549"/>
      <c r="H18" s="3324"/>
      <c r="R18" s="2079">
        <v>18</v>
      </c>
    </row>
    <row r="19" spans="1:18" s="546" customFormat="1" ht="41.25" customHeight="1">
      <c r="A19" s="3317" t="str">
        <f>'Part III-A-Uses of Funds'!$C$17</f>
        <v>&lt;&lt; Enter description here; provide detail &amp; justification in tab Part III-b &gt;&gt;</v>
      </c>
      <c r="B19" s="3318"/>
      <c r="C19" s="3318"/>
      <c r="D19" s="3319"/>
      <c r="F19" s="3324"/>
      <c r="G19" s="547"/>
      <c r="H19" s="3324"/>
      <c r="R19" s="2078">
        <v>19</v>
      </c>
    </row>
    <row r="20" spans="1:18" s="546" customFormat="1" ht="41.25" customHeight="1">
      <c r="A20" s="3320"/>
      <c r="B20" s="3321"/>
      <c r="C20" s="3321"/>
      <c r="D20" s="3322"/>
      <c r="F20" s="3324"/>
      <c r="G20" s="547"/>
      <c r="H20" s="3324"/>
      <c r="R20" s="2078">
        <v>20</v>
      </c>
    </row>
    <row r="21" spans="1:18" s="546" customFormat="1" ht="4.5" customHeight="1">
      <c r="F21" s="3324"/>
      <c r="G21" s="547"/>
      <c r="H21" s="3324"/>
      <c r="R21" s="2078">
        <v>21</v>
      </c>
    </row>
    <row r="22" spans="1:18" s="546" customFormat="1" ht="15" customHeight="1">
      <c r="A22" s="556" t="s">
        <v>766</v>
      </c>
      <c r="B22" s="555">
        <f>'Part III-A-Uses of Funds'!$G$17</f>
        <v>0</v>
      </c>
      <c r="C22" s="556" t="s">
        <v>723</v>
      </c>
      <c r="D22" s="555">
        <f>'Part III-A-Uses of Funds'!$J$17+'Part III-A-Uses of Funds'!$M$17+'Part III-A-Uses of Funds'!$P$17</f>
        <v>0</v>
      </c>
      <c r="F22" s="3324"/>
      <c r="G22" s="547"/>
      <c r="H22" s="3324"/>
      <c r="R22" s="2078">
        <v>22</v>
      </c>
    </row>
    <row r="23" spans="1:18" s="546" customFormat="1" ht="6" customHeight="1">
      <c r="A23" s="547"/>
      <c r="B23" s="548"/>
      <c r="C23" s="547"/>
      <c r="D23" s="547"/>
      <c r="F23" s="3325"/>
      <c r="G23" s="549"/>
      <c r="H23" s="3325"/>
      <c r="R23" s="2078">
        <v>23</v>
      </c>
    </row>
    <row r="24" spans="1:18" s="546" customFormat="1" ht="15.75">
      <c r="A24" s="557" t="s">
        <v>767</v>
      </c>
      <c r="B24" s="547"/>
      <c r="C24" s="547"/>
      <c r="D24" s="547"/>
      <c r="E24" s="547"/>
      <c r="F24" s="547"/>
      <c r="G24" s="547"/>
      <c r="R24" s="2078">
        <v>24</v>
      </c>
    </row>
    <row r="25" spans="1:18" s="546" customFormat="1" ht="41.25" customHeight="1">
      <c r="A25" s="3317">
        <f>'Part III-A-Uses of Funds'!$C$46</f>
        <v>0</v>
      </c>
      <c r="B25" s="3318"/>
      <c r="C25" s="3318"/>
      <c r="D25" s="3319"/>
      <c r="E25" s="547"/>
      <c r="F25" s="3326"/>
      <c r="G25" s="547"/>
      <c r="H25" s="3326"/>
      <c r="R25" s="2079">
        <v>25</v>
      </c>
    </row>
    <row r="26" spans="1:18" s="546" customFormat="1" ht="41.25" customHeight="1">
      <c r="A26" s="3320"/>
      <c r="B26" s="3321"/>
      <c r="C26" s="3321"/>
      <c r="D26" s="3322"/>
      <c r="E26" s="547"/>
      <c r="F26" s="3327"/>
      <c r="G26" s="547"/>
      <c r="H26" s="3327"/>
      <c r="R26" s="2079">
        <v>26</v>
      </c>
    </row>
    <row r="27" spans="1:18" s="546" customFormat="1" ht="4.5" customHeight="1">
      <c r="A27" s="547"/>
      <c r="B27" s="547"/>
      <c r="C27" s="547"/>
      <c r="D27" s="547"/>
      <c r="E27" s="547"/>
      <c r="F27" s="3327"/>
      <c r="G27" s="547"/>
      <c r="H27" s="3327"/>
      <c r="R27" s="2079">
        <v>27</v>
      </c>
    </row>
    <row r="28" spans="1:18" s="546" customFormat="1" ht="25.5">
      <c r="A28" s="556" t="s">
        <v>766</v>
      </c>
      <c r="B28" s="555">
        <f>'Part III-A-Uses of Funds'!$G$46</f>
        <v>0</v>
      </c>
      <c r="C28" s="556" t="s">
        <v>723</v>
      </c>
      <c r="D28" s="555">
        <f>'Part III-A-Uses of Funds'!$J$46+'Part III-A-Uses of Funds'!$M$46+'Part III-A-Uses of Funds'!$P$46</f>
        <v>0</v>
      </c>
      <c r="E28" s="547"/>
      <c r="F28" s="3327"/>
      <c r="G28" s="547"/>
      <c r="H28" s="3327"/>
      <c r="R28" s="2078">
        <v>28</v>
      </c>
    </row>
    <row r="29" spans="1:18" s="546" customFormat="1" ht="6" customHeight="1">
      <c r="A29" s="547"/>
      <c r="B29" s="548"/>
      <c r="C29" s="547"/>
      <c r="D29" s="547"/>
      <c r="E29" s="547"/>
      <c r="F29" s="3328"/>
      <c r="G29" s="549"/>
      <c r="H29" s="3328"/>
      <c r="R29" s="2078">
        <v>29</v>
      </c>
    </row>
    <row r="30" spans="1:18" s="546" customFormat="1" ht="15.75">
      <c r="A30" s="557" t="s">
        <v>596</v>
      </c>
      <c r="B30" s="547"/>
      <c r="C30" s="547"/>
      <c r="D30" s="547"/>
      <c r="E30" s="547"/>
      <c r="F30" s="547"/>
      <c r="G30" s="547"/>
      <c r="R30" s="2078">
        <v>30</v>
      </c>
    </row>
    <row r="31" spans="1:18" s="546" customFormat="1" ht="41.25" customHeight="1">
      <c r="A31" s="3329" t="str">
        <f>'Part III-A-Uses of Funds'!$C$71</f>
        <v>Construction Loan Due Diligence</v>
      </c>
      <c r="B31" s="3330"/>
      <c r="C31" s="3330"/>
      <c r="D31" s="3331"/>
      <c r="E31" s="547"/>
      <c r="F31" s="3323" t="s">
        <v>768</v>
      </c>
      <c r="G31" s="547"/>
      <c r="H31" s="3323" t="s">
        <v>769</v>
      </c>
      <c r="R31" s="2078">
        <v>31</v>
      </c>
    </row>
    <row r="32" spans="1:18" s="546" customFormat="1" ht="41.25" customHeight="1">
      <c r="A32" s="3320"/>
      <c r="B32" s="3321"/>
      <c r="C32" s="3321"/>
      <c r="D32" s="3322"/>
      <c r="E32" s="547"/>
      <c r="F32" s="3324"/>
      <c r="G32" s="547"/>
      <c r="H32" s="3324"/>
      <c r="R32" s="2078">
        <v>32</v>
      </c>
    </row>
    <row r="33" spans="1:18" s="546" customFormat="1" ht="4.5" customHeight="1">
      <c r="A33" s="547"/>
      <c r="B33" s="547"/>
      <c r="C33" s="547"/>
      <c r="D33" s="547"/>
      <c r="E33" s="547"/>
      <c r="F33" s="3324"/>
      <c r="G33" s="547"/>
      <c r="H33" s="3324"/>
      <c r="R33" s="2078">
        <v>33</v>
      </c>
    </row>
    <row r="34" spans="1:18" s="546" customFormat="1" ht="14.25" customHeight="1">
      <c r="A34" s="556" t="s">
        <v>766</v>
      </c>
      <c r="B34" s="555">
        <f>'Part III-A-Uses of Funds'!$G$71</f>
        <v>25000</v>
      </c>
      <c r="C34" s="556" t="s">
        <v>723</v>
      </c>
      <c r="D34" s="555">
        <f>'Part III-A-Uses of Funds'!$J$71+'Part III-A-Uses of Funds'!$M$71+'Part III-A-Uses of Funds'!$P$71</f>
        <v>25000</v>
      </c>
      <c r="E34" s="547"/>
      <c r="F34" s="3324"/>
      <c r="G34" s="547"/>
      <c r="H34" s="3324"/>
      <c r="R34" s="2079">
        <v>34</v>
      </c>
    </row>
    <row r="35" spans="1:18" s="546" customFormat="1" ht="6" customHeight="1">
      <c r="D35" s="547"/>
      <c r="E35" s="547"/>
      <c r="F35" s="3324"/>
      <c r="G35" s="549"/>
      <c r="H35" s="3324"/>
      <c r="R35" s="2079">
        <v>35</v>
      </c>
    </row>
    <row r="36" spans="1:18" s="546" customFormat="1" ht="41.25" customHeight="1">
      <c r="A36" s="3329" t="str">
        <f>'Part III-A-Uses of Funds'!$C$72</f>
        <v>&lt;&lt; Enter description here; provide detail &amp; justification in tab Part III-b &gt;&gt;</v>
      </c>
      <c r="B36" s="3330"/>
      <c r="C36" s="3330"/>
      <c r="D36" s="3331"/>
      <c r="E36" s="547"/>
      <c r="F36" s="3324"/>
      <c r="G36" s="547"/>
      <c r="H36" s="3324"/>
      <c r="R36" s="2079">
        <v>36</v>
      </c>
    </row>
    <row r="37" spans="1:18" s="546" customFormat="1" ht="41.25" customHeight="1">
      <c r="A37" s="3320"/>
      <c r="B37" s="3321"/>
      <c r="C37" s="3321"/>
      <c r="D37" s="3322"/>
      <c r="E37" s="547"/>
      <c r="F37" s="3324"/>
      <c r="G37" s="547"/>
      <c r="H37" s="3324"/>
      <c r="R37" s="2078">
        <v>37</v>
      </c>
    </row>
    <row r="38" spans="1:18" s="546" customFormat="1" ht="4.5" customHeight="1">
      <c r="A38" s="547"/>
      <c r="B38" s="547"/>
      <c r="C38" s="547"/>
      <c r="D38" s="547"/>
      <c r="E38" s="547"/>
      <c r="F38" s="3324"/>
      <c r="G38" s="547"/>
      <c r="H38" s="3324"/>
      <c r="R38" s="2078">
        <v>38</v>
      </c>
    </row>
    <row r="39" spans="1:18" s="546" customFormat="1" ht="14.25" customHeight="1">
      <c r="A39" s="556" t="s">
        <v>766</v>
      </c>
      <c r="B39" s="555">
        <f>'Part III-A-Uses of Funds'!$G$72</f>
        <v>0</v>
      </c>
      <c r="C39" s="556" t="s">
        <v>723</v>
      </c>
      <c r="D39" s="555">
        <f>'Part III-A-Uses of Funds'!$J$72+'Part III-A-Uses of Funds'!$M$72+'Part III-A-Uses of Funds'!$P$72</f>
        <v>0</v>
      </c>
      <c r="E39" s="547"/>
      <c r="F39" s="3324"/>
      <c r="G39" s="547"/>
      <c r="H39" s="3324"/>
      <c r="R39" s="2078">
        <v>39</v>
      </c>
    </row>
    <row r="40" spans="1:18" s="546" customFormat="1" ht="6" customHeight="1">
      <c r="D40" s="547"/>
      <c r="E40" s="547"/>
      <c r="F40" s="3325"/>
      <c r="G40" s="549"/>
      <c r="H40" s="3325"/>
      <c r="R40" s="2078">
        <v>40</v>
      </c>
    </row>
    <row r="41" spans="1:18" s="546" customFormat="1" ht="15.75">
      <c r="A41" s="557" t="s">
        <v>613</v>
      </c>
      <c r="B41" s="547"/>
      <c r="C41" s="547"/>
      <c r="D41" s="547"/>
      <c r="E41" s="551"/>
      <c r="F41" s="551"/>
      <c r="G41" s="547"/>
      <c r="R41" s="2078">
        <v>41</v>
      </c>
    </row>
    <row r="42" spans="1:18" s="546" customFormat="1" ht="41.25" customHeight="1">
      <c r="A42" s="3329" t="str">
        <f>'Part III-A-Uses of Funds'!$C$85</f>
        <v>Radon Testing</v>
      </c>
      <c r="B42" s="3330"/>
      <c r="C42" s="3330"/>
      <c r="D42" s="3331"/>
      <c r="F42" s="3326" t="s">
        <v>770</v>
      </c>
      <c r="G42" s="547"/>
      <c r="H42" s="3326" t="s">
        <v>771</v>
      </c>
      <c r="R42" s="2078">
        <v>42</v>
      </c>
    </row>
    <row r="43" spans="1:18" s="546" customFormat="1" ht="41.25" customHeight="1">
      <c r="A43" s="3320"/>
      <c r="B43" s="3321"/>
      <c r="C43" s="3321"/>
      <c r="D43" s="3322"/>
      <c r="E43" s="547"/>
      <c r="F43" s="3327"/>
      <c r="G43" s="547"/>
      <c r="H43" s="3327"/>
      <c r="R43" s="2079">
        <v>43</v>
      </c>
    </row>
    <row r="44" spans="1:18" s="546" customFormat="1" ht="4.5" customHeight="1">
      <c r="A44" s="547"/>
      <c r="B44" s="547"/>
      <c r="C44" s="547"/>
      <c r="D44" s="547"/>
      <c r="E44" s="547"/>
      <c r="F44" s="3327"/>
      <c r="G44" s="547"/>
      <c r="H44" s="3327"/>
      <c r="R44" s="2079">
        <v>44</v>
      </c>
    </row>
    <row r="45" spans="1:18" s="546" customFormat="1" ht="13.5" customHeight="1">
      <c r="A45" s="556" t="s">
        <v>766</v>
      </c>
      <c r="B45" s="555">
        <f>'Part III-A-Uses of Funds'!$G$85</f>
        <v>6500</v>
      </c>
      <c r="C45" s="556" t="s">
        <v>723</v>
      </c>
      <c r="D45" s="555">
        <f>'Part III-A-Uses of Funds'!$J$85+'Part III-A-Uses of Funds'!$M$85+'Part III-A-Uses of Funds'!$P$85</f>
        <v>6500</v>
      </c>
      <c r="E45" s="547"/>
      <c r="F45" s="3327"/>
      <c r="G45" s="547"/>
      <c r="H45" s="3327"/>
      <c r="R45" s="2079">
        <v>45</v>
      </c>
    </row>
    <row r="46" spans="1:18" s="546" customFormat="1" ht="6" customHeight="1">
      <c r="A46" s="547"/>
      <c r="B46" s="548"/>
      <c r="C46" s="547"/>
      <c r="D46" s="547"/>
      <c r="E46" s="547"/>
      <c r="F46" s="3328"/>
      <c r="G46" s="549"/>
      <c r="H46" s="3328"/>
      <c r="R46" s="2078">
        <v>46</v>
      </c>
    </row>
    <row r="47" spans="1:18" s="546" customFormat="1" ht="15.75">
      <c r="A47" s="557" t="s">
        <v>637</v>
      </c>
      <c r="B47" s="547"/>
      <c r="C47" s="547"/>
      <c r="D47" s="547"/>
      <c r="E47" s="547"/>
      <c r="F47" s="547"/>
      <c r="G47" s="547"/>
      <c r="R47" s="2078">
        <v>47</v>
      </c>
    </row>
    <row r="48" spans="1:18" s="546" customFormat="1" ht="41.25" customHeight="1">
      <c r="A48" s="3329" t="str">
        <f>'Part III-A-Uses of Funds'!$C$102</f>
        <v>&lt;&lt; Enter description here; provide detail &amp; justification in tab Part III-b &gt;&gt;</v>
      </c>
      <c r="B48" s="3330"/>
      <c r="C48" s="3330"/>
      <c r="D48" s="3331"/>
      <c r="F48" s="3326"/>
      <c r="G48" s="547"/>
      <c r="R48" s="2078">
        <v>48</v>
      </c>
    </row>
    <row r="49" spans="1:18" s="546" customFormat="1" ht="41.25" customHeight="1">
      <c r="A49" s="3320"/>
      <c r="B49" s="3321"/>
      <c r="C49" s="3321"/>
      <c r="D49" s="3322"/>
      <c r="E49" s="547"/>
      <c r="F49" s="3327"/>
      <c r="G49" s="547"/>
      <c r="R49" s="2078">
        <v>49</v>
      </c>
    </row>
    <row r="50" spans="1:18" s="546" customFormat="1" ht="3" customHeight="1">
      <c r="A50" s="547"/>
      <c r="B50" s="547"/>
      <c r="C50" s="547"/>
      <c r="D50" s="547"/>
      <c r="E50" s="547"/>
      <c r="F50" s="3327"/>
      <c r="G50" s="547"/>
      <c r="R50" s="2078">
        <v>50</v>
      </c>
    </row>
    <row r="51" spans="1:18" s="546" customFormat="1" ht="13.5" customHeight="1">
      <c r="A51" s="556" t="s">
        <v>766</v>
      </c>
      <c r="B51" s="555">
        <f>'Part III-A-Uses of Funds'!$G$102</f>
        <v>0</v>
      </c>
      <c r="C51" s="550"/>
      <c r="D51" s="550"/>
      <c r="E51" s="547"/>
      <c r="F51" s="3327"/>
      <c r="G51" s="547"/>
      <c r="R51" s="2078">
        <v>51</v>
      </c>
    </row>
    <row r="52" spans="1:18" s="546" customFormat="1" ht="3.75" customHeight="1">
      <c r="A52" s="547"/>
      <c r="B52" s="547"/>
      <c r="C52" s="547"/>
      <c r="D52" s="547"/>
      <c r="E52" s="547"/>
      <c r="F52" s="3328"/>
      <c r="G52" s="549"/>
      <c r="R52" s="2079">
        <v>52</v>
      </c>
    </row>
    <row r="53" spans="1:18" s="546" customFormat="1" ht="15.75">
      <c r="A53" s="557" t="s">
        <v>772</v>
      </c>
      <c r="B53" s="547"/>
      <c r="C53" s="547"/>
      <c r="D53" s="547"/>
      <c r="E53" s="547"/>
      <c r="F53" s="547"/>
      <c r="G53" s="547"/>
      <c r="R53" s="2079">
        <v>53</v>
      </c>
    </row>
    <row r="54" spans="1:18" s="546" customFormat="1" ht="41.25" customHeight="1">
      <c r="A54" s="3329" t="str">
        <f>'Part III-A-Uses of Funds'!$C$112</f>
        <v>&lt;&lt; Enter description here; provide detail &amp; justification in tab Part III-b &gt;&gt;</v>
      </c>
      <c r="B54" s="3330"/>
      <c r="C54" s="3330"/>
      <c r="D54" s="3331"/>
      <c r="F54" s="3323"/>
      <c r="G54" s="547"/>
      <c r="R54" s="2079">
        <v>54</v>
      </c>
    </row>
    <row r="55" spans="1:18" s="546" customFormat="1" ht="41.25" customHeight="1">
      <c r="A55" s="3320"/>
      <c r="B55" s="3321"/>
      <c r="C55" s="3321"/>
      <c r="D55" s="3322"/>
      <c r="E55" s="547"/>
      <c r="F55" s="3324"/>
      <c r="G55" s="547"/>
      <c r="R55" s="2078">
        <v>55</v>
      </c>
    </row>
    <row r="56" spans="1:18" s="546" customFormat="1" ht="3" customHeight="1">
      <c r="A56" s="547"/>
      <c r="B56" s="547"/>
      <c r="C56" s="547"/>
      <c r="D56" s="547"/>
      <c r="E56" s="547"/>
      <c r="F56" s="3324"/>
      <c r="G56" s="547"/>
      <c r="R56" s="2078">
        <v>56</v>
      </c>
    </row>
    <row r="57" spans="1:18" s="546" customFormat="1" ht="25.5">
      <c r="A57" s="556" t="s">
        <v>766</v>
      </c>
      <c r="B57" s="555">
        <f>'Part III-A-Uses of Funds'!$G$112</f>
        <v>0</v>
      </c>
      <c r="C57" s="550"/>
      <c r="D57" s="550"/>
      <c r="E57" s="547"/>
      <c r="F57" s="3324"/>
      <c r="G57" s="547"/>
      <c r="R57" s="2078">
        <v>57</v>
      </c>
    </row>
    <row r="58" spans="1:18" s="546" customFormat="1" ht="3.75" customHeight="1">
      <c r="A58" s="545"/>
      <c r="B58" s="545"/>
      <c r="C58" s="545"/>
      <c r="D58" s="545"/>
      <c r="E58" s="545"/>
      <c r="F58" s="3324"/>
      <c r="G58" s="549"/>
      <c r="R58" s="2078">
        <v>58</v>
      </c>
    </row>
    <row r="59" spans="1:18" s="546" customFormat="1" ht="41.25" customHeight="1">
      <c r="A59" s="3329" t="str">
        <f>'Part III-A-Uses of Funds'!$C$113</f>
        <v>&lt;&lt; Enter description here; provide detail &amp; justification in tab Part III-b &gt;&gt;</v>
      </c>
      <c r="B59" s="3330"/>
      <c r="C59" s="3330"/>
      <c r="D59" s="3331"/>
      <c r="F59" s="3324"/>
      <c r="G59" s="547"/>
      <c r="R59" s="2078">
        <v>59</v>
      </c>
    </row>
    <row r="60" spans="1:18" s="546" customFormat="1" ht="41.25" customHeight="1">
      <c r="A60" s="3320"/>
      <c r="B60" s="3321"/>
      <c r="C60" s="3321"/>
      <c r="D60" s="3322"/>
      <c r="E60" s="547"/>
      <c r="F60" s="3324"/>
      <c r="G60" s="547"/>
      <c r="R60" s="2078">
        <v>60</v>
      </c>
    </row>
    <row r="61" spans="1:18" s="546" customFormat="1" ht="3" customHeight="1">
      <c r="A61" s="547"/>
      <c r="B61" s="547"/>
      <c r="C61" s="547"/>
      <c r="D61" s="547"/>
      <c r="E61" s="547"/>
      <c r="F61" s="3324"/>
      <c r="G61" s="547"/>
      <c r="R61" s="2079">
        <v>61</v>
      </c>
    </row>
    <row r="62" spans="1:18" s="546" customFormat="1" ht="25.5">
      <c r="A62" s="556" t="s">
        <v>766</v>
      </c>
      <c r="B62" s="555">
        <f>'Part III-A-Uses of Funds'!$G$113</f>
        <v>0</v>
      </c>
      <c r="C62" s="550"/>
      <c r="D62" s="550"/>
      <c r="E62" s="547"/>
      <c r="F62" s="3324"/>
      <c r="G62" s="547"/>
      <c r="R62" s="2079">
        <v>62</v>
      </c>
    </row>
    <row r="63" spans="1:18" s="546" customFormat="1" ht="3.75" customHeight="1">
      <c r="A63" s="545"/>
      <c r="B63" s="545"/>
      <c r="C63" s="545"/>
      <c r="D63" s="545"/>
      <c r="E63" s="545"/>
      <c r="F63" s="3325"/>
      <c r="G63" s="549"/>
      <c r="R63" s="2079">
        <v>63</v>
      </c>
    </row>
    <row r="64" spans="1:18" s="546" customFormat="1" ht="15.75">
      <c r="A64" s="557" t="s">
        <v>773</v>
      </c>
      <c r="B64" s="547"/>
      <c r="C64" s="547"/>
      <c r="D64" s="547"/>
      <c r="E64" s="547"/>
      <c r="F64" s="547"/>
      <c r="G64" s="547"/>
      <c r="R64" s="2078">
        <v>64</v>
      </c>
    </row>
    <row r="65" spans="1:18" s="546" customFormat="1" ht="41.25" customHeight="1">
      <c r="A65" s="3329" t="str">
        <f>'Part III-A-Uses of Funds'!$C$119</f>
        <v>&lt;&lt; Enter description here; provide detail &amp; justification in tab Part III-b &gt;&gt;</v>
      </c>
      <c r="B65" s="3330"/>
      <c r="C65" s="3330"/>
      <c r="D65" s="3331"/>
      <c r="F65" s="3326"/>
      <c r="G65" s="547"/>
      <c r="R65" s="2078">
        <v>65</v>
      </c>
    </row>
    <row r="66" spans="1:18" s="546" customFormat="1" ht="41.25" customHeight="1">
      <c r="A66" s="3320"/>
      <c r="B66" s="3321"/>
      <c r="C66" s="3321"/>
      <c r="D66" s="3322"/>
      <c r="E66" s="547"/>
      <c r="F66" s="3327"/>
      <c r="G66" s="547"/>
      <c r="R66" s="2078">
        <v>66</v>
      </c>
    </row>
    <row r="67" spans="1:18" s="546" customFormat="1" ht="3" customHeight="1">
      <c r="A67" s="547"/>
      <c r="B67" s="547"/>
      <c r="C67" s="547"/>
      <c r="D67" s="547"/>
      <c r="E67" s="547"/>
      <c r="F67" s="3327"/>
      <c r="G67" s="547"/>
      <c r="R67" s="2078">
        <v>67</v>
      </c>
    </row>
    <row r="68" spans="1:18" s="546" customFormat="1" ht="25.5">
      <c r="A68" s="556" t="s">
        <v>766</v>
      </c>
      <c r="B68" s="555">
        <f>'Part III-A-Uses of Funds'!$G$119</f>
        <v>0</v>
      </c>
      <c r="C68" s="550"/>
      <c r="D68" s="550"/>
      <c r="E68" s="547"/>
      <c r="F68" s="3327"/>
      <c r="G68" s="547"/>
      <c r="R68" s="2078">
        <v>68</v>
      </c>
    </row>
    <row r="69" spans="1:18" s="546" customFormat="1" ht="3.75" customHeight="1">
      <c r="A69" s="547"/>
      <c r="B69" s="548"/>
      <c r="C69" s="547"/>
      <c r="D69" s="547"/>
      <c r="E69" s="547"/>
      <c r="F69" s="3328"/>
      <c r="G69" s="549"/>
      <c r="R69" s="2078">
        <v>69</v>
      </c>
    </row>
    <row r="70" spans="1:18" s="546" customFormat="1" ht="15.75">
      <c r="A70" s="557" t="s">
        <v>693</v>
      </c>
      <c r="B70" s="547"/>
      <c r="C70" s="547"/>
      <c r="D70" s="547"/>
      <c r="E70" s="547"/>
      <c r="F70" s="547"/>
      <c r="G70" s="547"/>
      <c r="R70" s="2079">
        <v>70</v>
      </c>
    </row>
    <row r="71" spans="1:18" s="546" customFormat="1" ht="41.25" customHeight="1">
      <c r="A71" s="3329" t="str">
        <f>'Part III-A-Uses of Funds'!$C$134</f>
        <v>Signage and Security</v>
      </c>
      <c r="B71" s="3330"/>
      <c r="C71" s="3330"/>
      <c r="D71" s="3331"/>
      <c r="F71" s="3326" t="s">
        <v>774</v>
      </c>
      <c r="G71" s="547"/>
      <c r="H71" s="3326" t="s">
        <v>765</v>
      </c>
      <c r="R71" s="2079">
        <v>71</v>
      </c>
    </row>
    <row r="72" spans="1:18" s="546" customFormat="1" ht="41.25" customHeight="1">
      <c r="A72" s="3320"/>
      <c r="B72" s="3321"/>
      <c r="C72" s="3321"/>
      <c r="D72" s="3322"/>
      <c r="E72" s="547"/>
      <c r="F72" s="3327"/>
      <c r="G72" s="547"/>
      <c r="H72" s="3327"/>
      <c r="R72" s="2079">
        <v>72</v>
      </c>
    </row>
    <row r="73" spans="1:18" s="546" customFormat="1" ht="4.5" customHeight="1">
      <c r="A73" s="547"/>
      <c r="B73" s="547"/>
      <c r="C73" s="547"/>
      <c r="D73" s="547"/>
      <c r="E73" s="547"/>
      <c r="F73" s="3327"/>
      <c r="G73" s="547"/>
      <c r="H73" s="3327"/>
      <c r="R73" s="2078">
        <v>73</v>
      </c>
    </row>
    <row r="74" spans="1:18" s="546" customFormat="1" ht="12.75" customHeight="1">
      <c r="A74" s="556" t="s">
        <v>766</v>
      </c>
      <c r="B74" s="555">
        <f>'Part III-A-Uses of Funds'!$G$134</f>
        <v>250000</v>
      </c>
      <c r="C74" s="556" t="s">
        <v>723</v>
      </c>
      <c r="D74" s="555">
        <f>'Part III-A-Uses of Funds'!$J$134+'Part III-A-Uses of Funds'!$M$134+'Part III-A-Uses of Funds'!$P$134</f>
        <v>0</v>
      </c>
      <c r="E74" s="547"/>
      <c r="F74" s="3327"/>
      <c r="G74" s="547"/>
      <c r="H74" s="3327"/>
      <c r="R74" s="2078">
        <v>74</v>
      </c>
    </row>
    <row r="75" spans="1:18" s="546" customFormat="1" ht="6" customHeight="1">
      <c r="A75" s="547"/>
      <c r="B75" s="548"/>
      <c r="C75" s="547"/>
      <c r="D75" s="547"/>
      <c r="E75" s="547"/>
      <c r="F75" s="3328"/>
      <c r="G75" s="549"/>
      <c r="H75" s="3328"/>
      <c r="R75" s="2078">
        <v>75</v>
      </c>
    </row>
    <row r="76" spans="1:18" s="546" customFormat="1" ht="15.75">
      <c r="A76" s="557" t="s">
        <v>775</v>
      </c>
      <c r="B76" s="548"/>
      <c r="C76" s="547"/>
      <c r="D76" s="547"/>
      <c r="E76" s="547"/>
      <c r="F76" s="547"/>
      <c r="G76" s="549"/>
      <c r="R76" s="2078">
        <v>76</v>
      </c>
    </row>
    <row r="77" spans="1:18" s="546" customFormat="1" ht="41.25" customHeight="1">
      <c r="A77" s="3329" t="str">
        <f>'Part III-A-Uses of Funds'!$C$143</f>
        <v>Site Lighting</v>
      </c>
      <c r="B77" s="3330"/>
      <c r="C77" s="3330"/>
      <c r="D77" s="3331"/>
      <c r="F77" s="3326" t="s">
        <v>776</v>
      </c>
      <c r="G77" s="547"/>
      <c r="H77" s="3326" t="s">
        <v>765</v>
      </c>
      <c r="R77" s="2078">
        <v>77</v>
      </c>
    </row>
    <row r="78" spans="1:18" s="546" customFormat="1" ht="41.25" customHeight="1">
      <c r="A78" s="3320"/>
      <c r="B78" s="3321"/>
      <c r="C78" s="3321"/>
      <c r="D78" s="3322"/>
      <c r="E78" s="547"/>
      <c r="F78" s="3327"/>
      <c r="G78" s="547"/>
      <c r="H78" s="3327"/>
      <c r="R78" s="2078">
        <v>78</v>
      </c>
    </row>
    <row r="79" spans="1:18" s="546" customFormat="1" ht="4.5" customHeight="1">
      <c r="A79" s="547"/>
      <c r="B79" s="547"/>
      <c r="C79" s="547"/>
      <c r="D79" s="547"/>
      <c r="E79" s="547"/>
      <c r="F79" s="3327"/>
      <c r="G79" s="547"/>
      <c r="H79" s="3327"/>
      <c r="R79" s="2079">
        <v>79</v>
      </c>
    </row>
    <row r="80" spans="1:18" s="546" customFormat="1" ht="12.75" customHeight="1">
      <c r="A80" s="556" t="s">
        <v>766</v>
      </c>
      <c r="B80" s="555">
        <f>'Part III-A-Uses of Funds'!$G$143</f>
        <v>50000</v>
      </c>
      <c r="C80" s="556" t="s">
        <v>723</v>
      </c>
      <c r="D80" s="555">
        <f>'Part III-A-Uses of Funds'!$J$143+'Part III-A-Uses of Funds'!$M$143+'Part III-A-Uses of Funds'!$P$143</f>
        <v>50000</v>
      </c>
      <c r="E80" s="552"/>
      <c r="F80" s="3327"/>
      <c r="G80" s="547"/>
      <c r="H80" s="3327"/>
      <c r="R80" s="2079">
        <v>80</v>
      </c>
    </row>
    <row r="81" spans="4:18" s="546" customFormat="1" ht="6" customHeight="1">
      <c r="D81" s="553"/>
      <c r="E81" s="554"/>
      <c r="F81" s="3328"/>
      <c r="G81" s="549"/>
      <c r="H81" s="3328"/>
      <c r="R81" s="2079">
        <v>81</v>
      </c>
    </row>
    <row r="82" spans="4:18" s="546" customFormat="1" ht="15.75">
      <c r="R82" s="2078">
        <v>82</v>
      </c>
    </row>
    <row r="83" spans="4:18" s="546" customFormat="1" ht="15.75">
      <c r="R83" s="2078">
        <v>83</v>
      </c>
    </row>
    <row r="84" spans="4:18" s="546" customFormat="1" ht="15.75">
      <c r="R84" s="614"/>
    </row>
    <row r="85" spans="4:18" s="546" customFormat="1" ht="15.75">
      <c r="R85" s="614"/>
    </row>
    <row r="86" spans="4:18" s="546" customFormat="1" ht="15.75">
      <c r="R86" s="614"/>
    </row>
    <row r="87" spans="4:18" s="546" customFormat="1" ht="15.75">
      <c r="R87" s="614"/>
    </row>
    <row r="88" spans="4:18" s="546" customFormat="1" ht="15.75">
      <c r="R88" s="614"/>
    </row>
    <row r="89" spans="4:18" s="546" customFormat="1" ht="15.75">
      <c r="R89" s="614"/>
    </row>
    <row r="90" spans="4:18" s="546" customFormat="1" ht="15.75">
      <c r="R90" s="614"/>
    </row>
    <row r="91" spans="4:18" s="546" customFormat="1" ht="15.75">
      <c r="R91" s="614"/>
    </row>
    <row r="92" spans="4:18" s="546" customFormat="1" ht="15.75">
      <c r="R92" s="614"/>
    </row>
  </sheetData>
  <sheetProtection algorithmName="SHA-512" hashValue="D0qK8cd1zFFsA0SaxqUTH32MMDtvjhMFu0xQk07A+tRInCMvBuA5YhBumI+MN5eXl8jRZ5VTGymMHSrT1FrRXA==" saltValue="XOqivcRoogI9opM0F6LJPw==" spinCount="100000" sheet="1" objects="1" scenario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workbookViewId="0">
      <selection activeCell="P24" sqref="P24"/>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27" max="27" width="8.7109375" style="2081"/>
  </cols>
  <sheetData>
    <row r="1" spans="1:27" s="4" customFormat="1" ht="14.1" customHeight="1">
      <c r="A1" s="3338" t="str">
        <f>CONCATENATE("PART FOUR - UTILITY ALLOWANCES","  -  ",'Part I-Project Identification'!$O$7," ",'Part I-Project Identification'!$F$26,", ",'Part I-Project Identification'!F27,", ",'Part I-Project Identification'!J27," County")</f>
        <v>PART FOUR - UTILITY ALLOWANCES  -  2024-0 Finley Place, Austell, Cobb County</v>
      </c>
      <c r="B1" s="3339"/>
      <c r="C1" s="3339"/>
      <c r="D1" s="3339"/>
      <c r="E1" s="3339"/>
      <c r="F1" s="3339"/>
      <c r="G1" s="3339"/>
      <c r="H1" s="3339"/>
      <c r="I1" s="3339"/>
      <c r="J1" s="3339"/>
      <c r="K1" s="3339"/>
      <c r="L1" s="3339"/>
      <c r="M1" s="3339"/>
      <c r="N1" s="3"/>
      <c r="O1" s="3"/>
      <c r="P1" s="3"/>
      <c r="Q1" s="3"/>
      <c r="R1" s="77"/>
      <c r="S1" s="77"/>
      <c r="T1" s="77"/>
      <c r="U1" s="77"/>
      <c r="V1" s="77"/>
      <c r="W1" s="77"/>
      <c r="X1" s="77"/>
      <c r="Y1" s="77"/>
      <c r="Z1" s="77"/>
      <c r="AA1" s="2080">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2080">
        <v>2</v>
      </c>
    </row>
    <row r="3" spans="1:27" s="4" customFormat="1" ht="12.75" customHeight="1">
      <c r="A3" s="77"/>
      <c r="B3" s="3340" t="str">
        <f>'Part I-Project Identification'!$A$6</f>
        <v>2024 May 7</v>
      </c>
      <c r="C3" s="3340"/>
      <c r="D3" s="3340"/>
      <c r="E3" s="3340"/>
      <c r="F3" s="3" t="s">
        <v>777</v>
      </c>
      <c r="G3" s="77"/>
      <c r="H3" s="77"/>
      <c r="I3" s="3341" t="s">
        <v>778</v>
      </c>
      <c r="J3" s="3342"/>
      <c r="K3" s="77"/>
      <c r="L3" s="77"/>
      <c r="M3" s="77"/>
      <c r="N3" s="77"/>
      <c r="O3" s="77"/>
      <c r="P3" s="77"/>
      <c r="Q3" s="77"/>
      <c r="R3" s="77"/>
      <c r="S3" s="77"/>
      <c r="T3" s="77"/>
      <c r="U3" s="77"/>
      <c r="V3" s="77"/>
      <c r="W3" s="77"/>
      <c r="X3" s="77"/>
      <c r="Y3" s="77"/>
      <c r="Z3" s="77"/>
      <c r="AA3" s="2080">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2080">
        <v>4</v>
      </c>
    </row>
    <row r="5" spans="1:27">
      <c r="A5" s="129" t="s">
        <v>779</v>
      </c>
      <c r="O5" s="625"/>
      <c r="P5" s="625"/>
      <c r="Q5" s="625"/>
      <c r="R5" s="625"/>
      <c r="S5" s="625"/>
      <c r="T5" s="625"/>
      <c r="U5" s="625"/>
      <c r="V5" s="285"/>
      <c r="W5" s="285"/>
      <c r="X5" s="285"/>
      <c r="Y5" s="285"/>
      <c r="AA5" s="2080">
        <v>5</v>
      </c>
    </row>
    <row r="6" spans="1:27" ht="6" customHeight="1">
      <c r="A6" s="77"/>
      <c r="O6" s="625"/>
      <c r="P6" s="625"/>
      <c r="Q6" s="625"/>
      <c r="R6" s="625"/>
      <c r="S6" s="625"/>
      <c r="T6" s="625"/>
      <c r="U6" s="625"/>
      <c r="V6" s="285"/>
      <c r="W6" s="285"/>
      <c r="X6" s="285"/>
      <c r="Y6" s="285"/>
      <c r="AA6" s="2080">
        <v>6</v>
      </c>
    </row>
    <row r="7" spans="1:27" s="4" customFormat="1" ht="13.5" customHeight="1">
      <c r="A7" s="6" t="s">
        <v>21</v>
      </c>
      <c r="B7" s="6" t="s">
        <v>780</v>
      </c>
      <c r="C7" s="77"/>
      <c r="D7" s="77"/>
      <c r="E7" s="77"/>
      <c r="F7" s="43" t="s">
        <v>781</v>
      </c>
      <c r="G7" s="43"/>
      <c r="H7" s="43"/>
      <c r="I7" s="3343" t="s">
        <v>782</v>
      </c>
      <c r="J7" s="3344"/>
      <c r="K7" s="3344"/>
      <c r="L7" s="3344"/>
      <c r="M7" s="3345"/>
      <c r="N7" s="77"/>
      <c r="O7" s="625"/>
      <c r="P7" s="625"/>
      <c r="Q7" s="625"/>
      <c r="R7" s="625"/>
      <c r="S7" s="625"/>
      <c r="T7" s="625"/>
      <c r="U7" s="625"/>
      <c r="V7" s="285"/>
      <c r="W7" s="285"/>
      <c r="X7" s="285"/>
      <c r="Y7" s="285"/>
      <c r="Z7" s="77"/>
      <c r="AA7" s="2080">
        <v>7</v>
      </c>
    </row>
    <row r="8" spans="1:27" s="4" customFormat="1" ht="13.35" customHeight="1">
      <c r="A8" s="6"/>
      <c r="B8" s="77"/>
      <c r="C8" s="77"/>
      <c r="D8" s="77"/>
      <c r="E8" s="77"/>
      <c r="F8" s="43" t="s">
        <v>783</v>
      </c>
      <c r="G8" s="43"/>
      <c r="H8" s="11"/>
      <c r="I8" s="3346">
        <v>45387</v>
      </c>
      <c r="J8" s="3347"/>
      <c r="K8" s="32" t="s">
        <v>784</v>
      </c>
      <c r="L8" s="3348" t="s">
        <v>785</v>
      </c>
      <c r="M8" s="3349"/>
      <c r="N8" s="77"/>
      <c r="O8" s="625"/>
      <c r="P8" s="625"/>
      <c r="Q8" s="625"/>
      <c r="R8" s="625"/>
      <c r="S8" s="625"/>
      <c r="T8" s="625"/>
      <c r="U8" s="625"/>
      <c r="V8" s="285"/>
      <c r="W8" s="285"/>
      <c r="X8" s="285"/>
      <c r="Y8" s="285"/>
      <c r="Z8" s="77"/>
      <c r="AA8" s="2080">
        <v>8</v>
      </c>
    </row>
    <row r="9" spans="1:27" s="4" customFormat="1" ht="4.5" customHeight="1">
      <c r="A9" s="6"/>
      <c r="B9" s="77"/>
      <c r="C9" s="77"/>
      <c r="D9" s="77"/>
      <c r="E9" s="77"/>
      <c r="F9" s="77"/>
      <c r="G9" s="77"/>
      <c r="H9" s="77"/>
      <c r="I9" s="77"/>
      <c r="J9" s="77"/>
      <c r="K9" s="77"/>
      <c r="L9" s="77"/>
      <c r="M9" s="77"/>
      <c r="N9" s="77"/>
      <c r="O9" s="625"/>
      <c r="P9" s="625"/>
      <c r="Q9" s="625"/>
      <c r="R9" s="625"/>
      <c r="S9" s="625"/>
      <c r="T9" s="625"/>
      <c r="U9" s="625"/>
      <c r="V9" s="285"/>
      <c r="W9" s="285"/>
      <c r="X9" s="285"/>
      <c r="Y9" s="285"/>
      <c r="Z9" s="77"/>
      <c r="AA9" s="2080">
        <v>9</v>
      </c>
    </row>
    <row r="10" spans="1:27" s="6" customFormat="1" ht="13.5" customHeight="1">
      <c r="F10" s="3352" t="s">
        <v>786</v>
      </c>
      <c r="G10" s="3352"/>
      <c r="I10" s="3352" t="s">
        <v>787</v>
      </c>
      <c r="J10" s="3352"/>
      <c r="K10" s="3352"/>
      <c r="L10" s="3352"/>
      <c r="M10" s="3352"/>
      <c r="O10" s="625"/>
      <c r="P10" s="625"/>
      <c r="Q10" s="625"/>
      <c r="R10" s="625"/>
      <c r="S10" s="625"/>
      <c r="T10" s="625"/>
      <c r="U10" s="625"/>
      <c r="AA10" s="2080">
        <v>10</v>
      </c>
    </row>
    <row r="11" spans="1:27" s="6" customFormat="1" ht="13.5" customHeight="1">
      <c r="B11" s="6" t="s">
        <v>788</v>
      </c>
      <c r="D11" s="6" t="s">
        <v>789</v>
      </c>
      <c r="F11" s="2535" t="s">
        <v>790</v>
      </c>
      <c r="G11" s="2535" t="s">
        <v>791</v>
      </c>
      <c r="I11" s="127" t="s">
        <v>792</v>
      </c>
      <c r="J11" s="127">
        <v>1</v>
      </c>
      <c r="K11" s="127">
        <v>2</v>
      </c>
      <c r="L11" s="127">
        <v>3</v>
      </c>
      <c r="M11" s="127">
        <v>4</v>
      </c>
      <c r="O11" s="625"/>
      <c r="P11" s="625"/>
      <c r="Q11" s="625"/>
      <c r="R11" s="625"/>
      <c r="S11" s="625"/>
      <c r="T11" s="625"/>
      <c r="U11" s="625"/>
      <c r="AA11" s="2080">
        <v>11</v>
      </c>
    </row>
    <row r="12" spans="1:27" s="4" customFormat="1" ht="12" customHeight="1">
      <c r="A12" s="77"/>
      <c r="B12" s="926" t="s">
        <v>793</v>
      </c>
      <c r="C12" s="4713"/>
      <c r="D12" s="3350" t="s">
        <v>794</v>
      </c>
      <c r="E12" s="3351"/>
      <c r="F12" s="2678" t="s">
        <v>795</v>
      </c>
      <c r="G12" s="2678"/>
      <c r="H12" s="2679"/>
      <c r="I12" s="2680"/>
      <c r="J12" s="2680">
        <v>16</v>
      </c>
      <c r="K12" s="2680">
        <v>19</v>
      </c>
      <c r="L12" s="2680"/>
      <c r="M12" s="2680"/>
      <c r="N12" s="77"/>
      <c r="O12" s="625"/>
      <c r="P12" s="625"/>
      <c r="Q12" s="625"/>
      <c r="R12" s="625"/>
      <c r="S12" s="625"/>
      <c r="T12" s="625"/>
      <c r="U12" s="625"/>
      <c r="V12" s="77"/>
      <c r="W12" s="77"/>
      <c r="X12" s="77"/>
      <c r="Y12" s="77"/>
      <c r="Z12" s="77"/>
      <c r="AA12" s="2080">
        <v>12</v>
      </c>
    </row>
    <row r="13" spans="1:27" s="4" customFormat="1" ht="12" customHeight="1">
      <c r="A13" s="77"/>
      <c r="B13" s="927" t="s">
        <v>796</v>
      </c>
      <c r="C13" s="2681"/>
      <c r="D13" s="3333" t="s">
        <v>797</v>
      </c>
      <c r="E13" s="3334"/>
      <c r="F13" s="130" t="s">
        <v>795</v>
      </c>
      <c r="G13" s="130"/>
      <c r="H13" s="2682"/>
      <c r="I13" s="924"/>
      <c r="J13" s="924">
        <v>7</v>
      </c>
      <c r="K13" s="924">
        <v>10</v>
      </c>
      <c r="L13" s="2683"/>
      <c r="M13" s="2683"/>
      <c r="N13" s="77"/>
      <c r="O13" s="3332" t="s">
        <v>798</v>
      </c>
      <c r="P13" s="3332"/>
      <c r="Q13" s="3332"/>
      <c r="R13" s="77"/>
      <c r="S13" s="77"/>
      <c r="T13" s="77"/>
      <c r="U13" s="77"/>
      <c r="V13" s="77"/>
      <c r="W13" s="77"/>
      <c r="X13" s="77"/>
      <c r="Y13" s="77"/>
      <c r="Z13" s="77"/>
      <c r="AA13" s="2080">
        <v>13</v>
      </c>
    </row>
    <row r="14" spans="1:27" s="4" customFormat="1" ht="12" customHeight="1">
      <c r="A14" s="77"/>
      <c r="B14" s="928" t="s">
        <v>799</v>
      </c>
      <c r="C14" s="2684"/>
      <c r="D14" s="3333" t="s">
        <v>797</v>
      </c>
      <c r="E14" s="3334"/>
      <c r="F14" s="130" t="s">
        <v>795</v>
      </c>
      <c r="G14" s="130"/>
      <c r="H14" s="2685"/>
      <c r="I14" s="924"/>
      <c r="J14" s="924">
        <v>16</v>
      </c>
      <c r="K14" s="924">
        <v>21</v>
      </c>
      <c r="L14" s="2683"/>
      <c r="M14" s="2683"/>
      <c r="N14" s="77"/>
      <c r="O14" s="3332"/>
      <c r="P14" s="3332"/>
      <c r="Q14" s="3332"/>
      <c r="R14" s="77"/>
      <c r="S14" s="77"/>
      <c r="T14" s="77"/>
      <c r="U14" s="77"/>
      <c r="V14" s="77"/>
      <c r="W14" s="77"/>
      <c r="X14" s="77"/>
      <c r="Y14" s="77"/>
      <c r="Z14" s="77"/>
      <c r="AA14" s="2080">
        <v>14</v>
      </c>
    </row>
    <row r="15" spans="1:27" s="4" customFormat="1" ht="12" customHeight="1">
      <c r="A15" s="77"/>
      <c r="B15" s="929" t="s">
        <v>800</v>
      </c>
      <c r="C15" s="2686"/>
      <c r="D15" s="929" t="s">
        <v>797</v>
      </c>
      <c r="E15" s="2687"/>
      <c r="F15" s="130" t="s">
        <v>795</v>
      </c>
      <c r="G15" s="130"/>
      <c r="H15" s="2688"/>
      <c r="I15" s="924"/>
      <c r="J15" s="924">
        <v>9</v>
      </c>
      <c r="K15" s="924">
        <v>13</v>
      </c>
      <c r="L15" s="2683"/>
      <c r="M15" s="2683"/>
      <c r="N15" s="77"/>
      <c r="O15" s="3332"/>
      <c r="P15" s="3332"/>
      <c r="Q15" s="3332"/>
      <c r="R15" s="77"/>
      <c r="S15" s="77"/>
      <c r="T15" s="77"/>
      <c r="U15" s="77"/>
      <c r="V15" s="77"/>
      <c r="W15" s="77"/>
      <c r="X15" s="77"/>
      <c r="Y15" s="77"/>
      <c r="Z15" s="77"/>
      <c r="AA15" s="2080">
        <v>15</v>
      </c>
    </row>
    <row r="16" spans="1:27" s="4" customFormat="1" ht="12" customHeight="1">
      <c r="A16" s="77"/>
      <c r="B16" s="930" t="s">
        <v>801</v>
      </c>
      <c r="C16" s="2681"/>
      <c r="D16" s="927" t="s">
        <v>797</v>
      </c>
      <c r="E16" s="2689"/>
      <c r="F16" s="130"/>
      <c r="G16" s="130"/>
      <c r="H16" s="2682"/>
      <c r="I16" s="924"/>
      <c r="J16" s="924"/>
      <c r="K16" s="924"/>
      <c r="L16" s="2683"/>
      <c r="M16" s="2683"/>
      <c r="N16" s="77"/>
      <c r="O16" s="3332"/>
      <c r="P16" s="3332"/>
      <c r="Q16" s="3332"/>
      <c r="R16" s="77"/>
      <c r="S16" s="77"/>
      <c r="T16" s="77"/>
      <c r="U16" s="77"/>
      <c r="V16" s="77"/>
      <c r="W16" s="77"/>
      <c r="X16" s="77"/>
      <c r="Y16" s="77"/>
      <c r="Z16" s="77"/>
      <c r="AA16" s="2080">
        <v>16</v>
      </c>
    </row>
    <row r="17" spans="1:27" s="4" customFormat="1" ht="12" customHeight="1">
      <c r="A17" s="77"/>
      <c r="B17" s="930" t="s">
        <v>802</v>
      </c>
      <c r="C17" s="2681"/>
      <c r="D17" s="927" t="s">
        <v>797</v>
      </c>
      <c r="E17" s="2689"/>
      <c r="F17" s="130"/>
      <c r="G17" s="130"/>
      <c r="H17" s="2682"/>
      <c r="I17" s="924"/>
      <c r="J17" s="924"/>
      <c r="K17" s="924"/>
      <c r="L17" s="2683"/>
      <c r="M17" s="2683"/>
      <c r="N17" s="77"/>
      <c r="O17" s="3332"/>
      <c r="P17" s="3332"/>
      <c r="Q17" s="3332"/>
      <c r="R17" s="77"/>
      <c r="S17" s="77"/>
      <c r="T17" s="77"/>
      <c r="U17" s="77"/>
      <c r="V17" s="77"/>
      <c r="W17" s="77"/>
      <c r="X17" s="77"/>
      <c r="Y17" s="77"/>
      <c r="Z17" s="77"/>
      <c r="AA17" s="2080">
        <v>17</v>
      </c>
    </row>
    <row r="18" spans="1:27" s="4" customFormat="1" ht="12" customHeight="1">
      <c r="A18" s="77"/>
      <c r="B18" s="931" t="s">
        <v>803</v>
      </c>
      <c r="C18" s="2684"/>
      <c r="D18" s="928" t="s">
        <v>797</v>
      </c>
      <c r="E18" s="2689"/>
      <c r="F18" s="130" t="s">
        <v>795</v>
      </c>
      <c r="G18" s="130"/>
      <c r="H18" s="2685"/>
      <c r="I18" s="924"/>
      <c r="J18" s="924">
        <v>26</v>
      </c>
      <c r="K18" s="924">
        <v>36</v>
      </c>
      <c r="L18" s="2683"/>
      <c r="M18" s="2683"/>
      <c r="N18" s="77"/>
      <c r="O18" s="3332"/>
      <c r="P18" s="3332"/>
      <c r="Q18" s="3332"/>
      <c r="R18" s="77"/>
      <c r="S18" s="77"/>
      <c r="T18" s="77"/>
      <c r="U18" s="77"/>
      <c r="V18" s="77"/>
      <c r="W18" s="77"/>
      <c r="X18" s="77"/>
      <c r="Y18" s="77"/>
      <c r="Z18" s="77"/>
      <c r="AA18" s="2080">
        <v>18</v>
      </c>
    </row>
    <row r="19" spans="1:27" s="4" customFormat="1" ht="12" customHeight="1">
      <c r="A19" s="77"/>
      <c r="B19" s="929" t="s">
        <v>804</v>
      </c>
      <c r="C19" s="2686"/>
      <c r="D19" s="933" t="s">
        <v>805</v>
      </c>
      <c r="E19" s="889" t="s">
        <v>56</v>
      </c>
      <c r="F19" s="130"/>
      <c r="G19" s="130" t="s">
        <v>795</v>
      </c>
      <c r="H19" s="2688"/>
      <c r="I19" s="924"/>
      <c r="J19" s="924"/>
      <c r="K19" s="924"/>
      <c r="L19" s="2683"/>
      <c r="M19" s="2683"/>
      <c r="N19" s="77"/>
      <c r="O19" s="3332"/>
      <c r="P19" s="3332"/>
      <c r="Q19" s="3332"/>
      <c r="R19" s="77"/>
      <c r="S19" s="77"/>
      <c r="T19" s="77"/>
      <c r="U19" s="77"/>
      <c r="V19" s="77"/>
      <c r="W19" s="77"/>
      <c r="X19" s="77"/>
      <c r="Y19" s="77"/>
      <c r="Z19" s="77"/>
      <c r="AA19" s="2080">
        <v>19</v>
      </c>
    </row>
    <row r="20" spans="1:27" s="4" customFormat="1" ht="12" customHeight="1">
      <c r="A20" s="77"/>
      <c r="B20" s="932" t="s">
        <v>806</v>
      </c>
      <c r="C20" s="2690"/>
      <c r="D20" s="128"/>
      <c r="E20" s="2691"/>
      <c r="F20" s="130"/>
      <c r="G20" s="130" t="s">
        <v>795</v>
      </c>
      <c r="H20" s="2682"/>
      <c r="I20" s="924"/>
      <c r="J20" s="924"/>
      <c r="K20" s="924"/>
      <c r="L20" s="2683"/>
      <c r="M20" s="2683"/>
      <c r="N20" s="77"/>
      <c r="O20" s="3332"/>
      <c r="P20" s="3332"/>
      <c r="Q20" s="3332"/>
      <c r="R20" s="77"/>
      <c r="S20" s="77"/>
      <c r="T20" s="77"/>
      <c r="U20" s="77"/>
      <c r="V20" s="77"/>
      <c r="W20" s="77"/>
      <c r="X20" s="77"/>
      <c r="Y20" s="77"/>
      <c r="Z20" s="77"/>
      <c r="AA20" s="2080">
        <v>20</v>
      </c>
    </row>
    <row r="21" spans="1:27" s="4" customFormat="1" ht="12" customHeight="1">
      <c r="A21" s="77"/>
      <c r="B21" s="932" t="s">
        <v>450</v>
      </c>
      <c r="C21" s="3335" t="s">
        <v>807</v>
      </c>
      <c r="D21" s="3336"/>
      <c r="E21" s="3337"/>
      <c r="F21" s="131" t="s">
        <v>795</v>
      </c>
      <c r="G21" s="131"/>
      <c r="H21" s="2692"/>
      <c r="I21" s="925"/>
      <c r="J21" s="925">
        <v>14</v>
      </c>
      <c r="K21" s="925">
        <v>14</v>
      </c>
      <c r="L21" s="2693"/>
      <c r="M21" s="2693"/>
      <c r="N21" s="77"/>
      <c r="O21" s="3332"/>
      <c r="P21" s="3332"/>
      <c r="Q21" s="3332"/>
      <c r="R21" s="77"/>
      <c r="S21" s="77"/>
      <c r="T21" s="77"/>
      <c r="U21" s="77"/>
      <c r="V21" s="77"/>
      <c r="W21" s="77"/>
      <c r="X21" s="77"/>
      <c r="Y21" s="77"/>
      <c r="Z21" s="77"/>
      <c r="AA21" s="2080">
        <v>21</v>
      </c>
    </row>
    <row r="22" spans="1:27" s="4" customFormat="1">
      <c r="A22" s="77"/>
      <c r="B22" s="6" t="s">
        <v>808</v>
      </c>
      <c r="C22" s="77"/>
      <c r="D22"/>
      <c r="E22"/>
      <c r="F22" s="34"/>
      <c r="G22" s="34"/>
      <c r="H22" s="77"/>
      <c r="I22" s="2541">
        <f>IF(SUM(I12:I21)=0,0,IF(OR($D12="&lt;&lt;Select Fuel &gt;&gt;",$D13="&lt;&lt;Select Fuel &gt;&gt;",$D14="&lt;&lt;Select Fuel &gt;&gt;"),"Select Fuel",IF($E19="&lt;Select&gt;","Submeter?",SUM(I12:I21))))</f>
        <v>0</v>
      </c>
      <c r="J22" s="2541">
        <f>IF(SUM(J12:J21)=0,0,IF(OR($D12="&lt;&lt;Select Fuel &gt;&gt;",$D13="&lt;&lt;Select Fuel &gt;&gt;",$D14="&lt;&lt;Select Fuel &gt;&gt;"),"Select Fuel",IF($E19="&lt;Select&gt;","Submeter?",SUM(J12:J21))))</f>
        <v>88</v>
      </c>
      <c r="K22" s="2541">
        <f>IF(SUM(K12:K21)=0,0,IF(OR($D12="&lt;&lt;Select Fuel &gt;&gt;",$D13="&lt;&lt;Select Fuel &gt;&gt;",$D14="&lt;&lt;Select Fuel &gt;&gt;"),"Select Fuel",IF($E19="&lt;Select&gt;","Submeter?",SUM(K12:K21))))</f>
        <v>113</v>
      </c>
      <c r="L22" s="2541">
        <f>IF(SUM(L12:L21)=0,0,IF(OR($D12="&lt;&lt;Select Fuel &gt;&gt;",$D13="&lt;&lt;Select Fuel &gt;&gt;",$D14="&lt;&lt;Select Fuel &gt;&gt;"),"Select Fuel",IF($E19="&lt;Select&gt;","Submeter?",SUM(L12:L21))))</f>
        <v>0</v>
      </c>
      <c r="M22" s="2541">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2080">
        <v>22</v>
      </c>
    </row>
    <row r="23" spans="1:27" s="4" customFormat="1" ht="7.5" customHeight="1">
      <c r="A23" s="77"/>
      <c r="B23" s="77"/>
      <c r="C23" s="77"/>
      <c r="D23" s="77"/>
      <c r="E23" s="77"/>
      <c r="F23" s="77"/>
      <c r="G23" s="77"/>
      <c r="H23" s="77"/>
      <c r="I23" s="77"/>
      <c r="J23" s="77"/>
      <c r="K23" s="77"/>
      <c r="L23" s="77"/>
      <c r="M23"/>
      <c r="N23"/>
      <c r="O23" s="625"/>
      <c r="P23" s="625"/>
      <c r="Q23" s="625"/>
      <c r="R23" s="625"/>
      <c r="S23" s="625"/>
      <c r="T23" s="625"/>
      <c r="U23" s="625"/>
      <c r="V23" s="285"/>
      <c r="W23" s="285"/>
      <c r="X23" s="285"/>
      <c r="Y23" s="285"/>
      <c r="Z23" s="77"/>
      <c r="AA23" s="2080">
        <v>23</v>
      </c>
    </row>
    <row r="24" spans="1:27" s="4" customFormat="1" ht="12.75" customHeight="1">
      <c r="A24" s="6" t="s">
        <v>25</v>
      </c>
      <c r="B24" s="6" t="s">
        <v>809</v>
      </c>
      <c r="C24" s="77"/>
      <c r="D24" s="77"/>
      <c r="E24" s="77"/>
      <c r="F24" s="43" t="s">
        <v>781</v>
      </c>
      <c r="G24" s="43"/>
      <c r="H24" s="43"/>
      <c r="I24" s="3343" t="s">
        <v>810</v>
      </c>
      <c r="J24" s="3344"/>
      <c r="K24" s="3344"/>
      <c r="L24" s="3344"/>
      <c r="M24" s="3345"/>
      <c r="N24" s="77"/>
      <c r="O24" s="625"/>
      <c r="P24" s="625"/>
      <c r="Q24" s="625"/>
      <c r="R24" s="625"/>
      <c r="S24" s="625"/>
      <c r="T24" s="625"/>
      <c r="U24" s="625"/>
      <c r="V24" s="285"/>
      <c r="W24" s="285"/>
      <c r="X24" s="285"/>
      <c r="Y24" s="285"/>
      <c r="Z24" s="77"/>
      <c r="AA24" s="2080">
        <v>24</v>
      </c>
    </row>
    <row r="25" spans="1:27" s="4" customFormat="1" ht="13.35" customHeight="1">
      <c r="A25" s="6"/>
      <c r="B25" s="6"/>
      <c r="C25" s="77"/>
      <c r="D25" s="77"/>
      <c r="E25" s="77"/>
      <c r="F25" s="43" t="s">
        <v>783</v>
      </c>
      <c r="G25" s="43"/>
      <c r="H25" s="11"/>
      <c r="I25" s="3346">
        <v>44859</v>
      </c>
      <c r="J25" s="3347"/>
      <c r="K25" s="32" t="s">
        <v>784</v>
      </c>
      <c r="L25" s="3348" t="s">
        <v>785</v>
      </c>
      <c r="M25" s="3349"/>
      <c r="N25" s="77"/>
      <c r="O25" s="625"/>
      <c r="P25" s="625"/>
      <c r="Q25" s="625"/>
      <c r="R25" s="625"/>
      <c r="S25" s="625"/>
      <c r="T25" s="625"/>
      <c r="U25" s="625"/>
      <c r="V25" s="285"/>
      <c r="W25" s="285"/>
      <c r="X25" s="285"/>
      <c r="Y25" s="285"/>
      <c r="Z25" s="77"/>
      <c r="AA25" s="2080">
        <v>25</v>
      </c>
    </row>
    <row r="26" spans="1:27" s="4" customFormat="1" ht="4.5" customHeight="1">
      <c r="A26" s="6"/>
      <c r="B26" s="77"/>
      <c r="C26" s="77"/>
      <c r="D26" s="77"/>
      <c r="E26" s="77"/>
      <c r="F26" s="77"/>
      <c r="G26" s="77"/>
      <c r="H26" s="77"/>
      <c r="I26" s="77"/>
      <c r="J26" s="77"/>
      <c r="K26" s="77"/>
      <c r="L26" s="77"/>
      <c r="M26" s="77"/>
      <c r="N26" s="77"/>
      <c r="O26" s="625"/>
      <c r="P26" s="625"/>
      <c r="Q26" s="625"/>
      <c r="R26" s="625"/>
      <c r="S26" s="625"/>
      <c r="T26" s="625"/>
      <c r="U26" s="625"/>
      <c r="V26" s="285"/>
      <c r="W26" s="285"/>
      <c r="X26" s="285"/>
      <c r="Y26" s="285"/>
      <c r="Z26" s="77"/>
      <c r="AA26" s="2080">
        <v>26</v>
      </c>
    </row>
    <row r="27" spans="1:27" s="6" customFormat="1">
      <c r="F27" s="3352" t="s">
        <v>786</v>
      </c>
      <c r="G27" s="3352"/>
      <c r="I27" s="3352" t="s">
        <v>787</v>
      </c>
      <c r="J27" s="3352"/>
      <c r="K27" s="3352"/>
      <c r="L27" s="3352"/>
      <c r="M27" s="3352"/>
      <c r="O27" s="625"/>
      <c r="P27" s="625"/>
      <c r="Q27" s="625"/>
      <c r="R27" s="625"/>
      <c r="S27" s="625"/>
      <c r="T27" s="625"/>
      <c r="U27" s="625"/>
      <c r="V27" s="285"/>
      <c r="W27" s="285"/>
      <c r="X27" s="285"/>
      <c r="Y27" s="285"/>
      <c r="AA27" s="2080">
        <v>27</v>
      </c>
    </row>
    <row r="28" spans="1:27" s="6" customFormat="1">
      <c r="B28" s="6" t="s">
        <v>788</v>
      </c>
      <c r="D28" s="6" t="s">
        <v>789</v>
      </c>
      <c r="F28" s="2535" t="s">
        <v>790</v>
      </c>
      <c r="G28" s="2535" t="s">
        <v>791</v>
      </c>
      <c r="I28" s="127" t="s">
        <v>792</v>
      </c>
      <c r="J28" s="127">
        <v>1</v>
      </c>
      <c r="K28" s="127">
        <v>2</v>
      </c>
      <c r="L28" s="127">
        <v>3</v>
      </c>
      <c r="M28" s="127">
        <v>4</v>
      </c>
      <c r="O28" s="625"/>
      <c r="P28" s="625"/>
      <c r="Q28" s="625"/>
      <c r="R28" s="625"/>
      <c r="S28" s="625"/>
      <c r="T28" s="625"/>
      <c r="U28" s="625"/>
      <c r="AA28" s="2080">
        <v>28</v>
      </c>
    </row>
    <row r="29" spans="1:27" s="4" customFormat="1" ht="12" customHeight="1">
      <c r="A29" s="77"/>
      <c r="B29" s="926" t="s">
        <v>793</v>
      </c>
      <c r="C29" s="4713"/>
      <c r="D29" s="3350" t="s">
        <v>794</v>
      </c>
      <c r="E29" s="3351"/>
      <c r="F29" s="2678" t="s">
        <v>795</v>
      </c>
      <c r="G29" s="2678"/>
      <c r="H29" s="2679"/>
      <c r="I29" s="2680"/>
      <c r="J29" s="2680">
        <v>10</v>
      </c>
      <c r="K29" s="2680">
        <v>13</v>
      </c>
      <c r="L29" s="2680"/>
      <c r="M29" s="2680"/>
      <c r="N29" s="77"/>
      <c r="O29" s="625"/>
      <c r="P29" s="625"/>
      <c r="Q29" s="625"/>
      <c r="R29" s="625"/>
      <c r="S29" s="625"/>
      <c r="T29" s="625"/>
      <c r="U29" s="625"/>
      <c r="V29" s="6"/>
      <c r="W29" s="6"/>
      <c r="X29" s="6"/>
      <c r="Y29" s="6"/>
      <c r="Z29" s="77"/>
      <c r="AA29" s="2080">
        <v>29</v>
      </c>
    </row>
    <row r="30" spans="1:27" s="4" customFormat="1" ht="12" customHeight="1">
      <c r="A30" s="77"/>
      <c r="B30" s="927" t="s">
        <v>796</v>
      </c>
      <c r="C30" s="2681"/>
      <c r="D30" s="3333" t="s">
        <v>797</v>
      </c>
      <c r="E30" s="3334"/>
      <c r="F30" s="130" t="s">
        <v>795</v>
      </c>
      <c r="G30" s="130"/>
      <c r="H30" s="2682"/>
      <c r="I30" s="924"/>
      <c r="J30" s="924">
        <v>9</v>
      </c>
      <c r="K30" s="924">
        <v>11</v>
      </c>
      <c r="L30" s="2683"/>
      <c r="M30" s="2683"/>
      <c r="N30" s="77"/>
      <c r="O30" s="625"/>
      <c r="P30" s="625"/>
      <c r="Q30" s="625"/>
      <c r="R30" s="625"/>
      <c r="S30" s="625"/>
      <c r="T30" s="625"/>
      <c r="U30" s="625"/>
      <c r="V30" s="77"/>
      <c r="W30" s="77"/>
      <c r="X30" s="77"/>
      <c r="Y30" s="77"/>
      <c r="Z30" s="77"/>
      <c r="AA30" s="2080">
        <v>30</v>
      </c>
    </row>
    <row r="31" spans="1:27" s="4" customFormat="1" ht="12" customHeight="1">
      <c r="A31" s="77"/>
      <c r="B31" s="928" t="s">
        <v>799</v>
      </c>
      <c r="C31" s="2684"/>
      <c r="D31" s="3333" t="s">
        <v>797</v>
      </c>
      <c r="E31" s="3334"/>
      <c r="F31" s="130" t="s">
        <v>795</v>
      </c>
      <c r="G31" s="130"/>
      <c r="H31" s="2685"/>
      <c r="I31" s="924"/>
      <c r="J31" s="924">
        <v>16</v>
      </c>
      <c r="K31" s="924">
        <v>22</v>
      </c>
      <c r="L31" s="2683"/>
      <c r="M31" s="2683"/>
      <c r="N31" s="77"/>
      <c r="O31" s="3332" t="s">
        <v>798</v>
      </c>
      <c r="P31" s="3332"/>
      <c r="Q31" s="3332"/>
      <c r="R31" s="77"/>
      <c r="S31" s="77"/>
      <c r="T31" s="77"/>
      <c r="U31" s="77"/>
      <c r="V31" s="77"/>
      <c r="W31" s="77"/>
      <c r="X31" s="77"/>
      <c r="Y31" s="77"/>
      <c r="Z31" s="77"/>
      <c r="AA31" s="2080">
        <v>31</v>
      </c>
    </row>
    <row r="32" spans="1:27" s="4" customFormat="1" ht="12" customHeight="1">
      <c r="A32" s="77"/>
      <c r="B32" s="929" t="s">
        <v>800</v>
      </c>
      <c r="C32" s="2686"/>
      <c r="D32" s="929" t="s">
        <v>797</v>
      </c>
      <c r="E32" s="2687"/>
      <c r="F32" s="130" t="s">
        <v>795</v>
      </c>
      <c r="G32" s="130"/>
      <c r="H32" s="2688"/>
      <c r="I32" s="924"/>
      <c r="J32" s="924">
        <v>7</v>
      </c>
      <c r="K32" s="924">
        <v>11</v>
      </c>
      <c r="L32" s="2683"/>
      <c r="M32" s="2683"/>
      <c r="N32" s="77"/>
      <c r="O32" s="3332"/>
      <c r="P32" s="3332"/>
      <c r="Q32" s="3332"/>
      <c r="R32" s="77"/>
      <c r="S32" s="77"/>
      <c r="T32" s="77"/>
      <c r="U32" s="77"/>
      <c r="V32" s="77"/>
      <c r="W32" s="77"/>
      <c r="X32" s="77"/>
      <c r="Y32" s="77"/>
      <c r="Z32" s="77"/>
      <c r="AA32" s="2080">
        <v>32</v>
      </c>
    </row>
    <row r="33" spans="1:27" s="4" customFormat="1" ht="12" customHeight="1">
      <c r="A33" s="77"/>
      <c r="B33" s="930" t="s">
        <v>801</v>
      </c>
      <c r="C33" s="2681"/>
      <c r="D33" s="927" t="s">
        <v>797</v>
      </c>
      <c r="E33" s="2689"/>
      <c r="F33" s="130"/>
      <c r="G33" s="130"/>
      <c r="H33" s="2682"/>
      <c r="I33" s="924"/>
      <c r="J33" s="924"/>
      <c r="K33" s="924"/>
      <c r="L33" s="2683"/>
      <c r="M33" s="2683"/>
      <c r="N33" s="77"/>
      <c r="O33" s="3332"/>
      <c r="P33" s="3332"/>
      <c r="Q33" s="3332"/>
      <c r="R33" s="77"/>
      <c r="S33" s="77"/>
      <c r="T33" s="77"/>
      <c r="U33" s="77"/>
      <c r="V33" s="77"/>
      <c r="W33" s="77"/>
      <c r="X33" s="77"/>
      <c r="Y33" s="77"/>
      <c r="Z33" s="77"/>
      <c r="AA33" s="2080">
        <v>33</v>
      </c>
    </row>
    <row r="34" spans="1:27" s="4" customFormat="1" ht="12" customHeight="1">
      <c r="A34" s="77"/>
      <c r="B34" s="930" t="s">
        <v>802</v>
      </c>
      <c r="C34" s="2681"/>
      <c r="D34" s="927" t="s">
        <v>797</v>
      </c>
      <c r="E34" s="2689"/>
      <c r="F34" s="130"/>
      <c r="G34" s="130"/>
      <c r="H34" s="2682"/>
      <c r="I34" s="924"/>
      <c r="J34" s="924"/>
      <c r="K34" s="924"/>
      <c r="L34" s="2683"/>
      <c r="M34" s="2683"/>
      <c r="N34" s="77"/>
      <c r="O34" s="3332"/>
      <c r="P34" s="3332"/>
      <c r="Q34" s="3332"/>
      <c r="R34" s="77"/>
      <c r="S34" s="77"/>
      <c r="T34" s="77"/>
      <c r="U34" s="77"/>
      <c r="V34" s="77"/>
      <c r="W34" s="77"/>
      <c r="X34" s="77"/>
      <c r="Y34" s="77"/>
      <c r="Z34" s="77"/>
      <c r="AA34" s="2080">
        <v>34</v>
      </c>
    </row>
    <row r="35" spans="1:27" s="4" customFormat="1" ht="12" customHeight="1">
      <c r="A35" s="77"/>
      <c r="B35" s="931" t="s">
        <v>803</v>
      </c>
      <c r="C35" s="2684"/>
      <c r="D35" s="928" t="s">
        <v>797</v>
      </c>
      <c r="E35" s="2689"/>
      <c r="F35" s="130" t="s">
        <v>795</v>
      </c>
      <c r="G35" s="130"/>
      <c r="H35" s="2685"/>
      <c r="I35" s="924"/>
      <c r="J35" s="924">
        <v>25</v>
      </c>
      <c r="K35" s="924">
        <v>32</v>
      </c>
      <c r="L35" s="2683"/>
      <c r="M35" s="2683"/>
      <c r="N35" s="77"/>
      <c r="O35" s="3332"/>
      <c r="P35" s="3332"/>
      <c r="Q35" s="3332"/>
      <c r="R35" s="77"/>
      <c r="S35" s="77"/>
      <c r="T35" s="77"/>
      <c r="U35" s="77"/>
      <c r="V35" s="77"/>
      <c r="W35" s="77"/>
      <c r="X35" s="77"/>
      <c r="Y35" s="77"/>
      <c r="Z35" s="77"/>
      <c r="AA35" s="2080">
        <v>35</v>
      </c>
    </row>
    <row r="36" spans="1:27" s="4" customFormat="1" ht="12" customHeight="1">
      <c r="A36" s="77"/>
      <c r="B36" s="929" t="s">
        <v>804</v>
      </c>
      <c r="C36" s="2686"/>
      <c r="D36" s="933" t="s">
        <v>805</v>
      </c>
      <c r="E36" s="889" t="s">
        <v>56</v>
      </c>
      <c r="F36" s="130"/>
      <c r="G36" s="130" t="s">
        <v>795</v>
      </c>
      <c r="H36" s="2688"/>
      <c r="I36" s="924"/>
      <c r="J36" s="924"/>
      <c r="K36" s="924"/>
      <c r="L36" s="2683"/>
      <c r="M36" s="2683"/>
      <c r="N36" s="77"/>
      <c r="O36" s="3332"/>
      <c r="P36" s="3332"/>
      <c r="Q36" s="3332"/>
      <c r="R36" s="77"/>
      <c r="S36" s="77"/>
      <c r="T36" s="77"/>
      <c r="U36" s="77"/>
      <c r="V36" s="77"/>
      <c r="W36" s="77"/>
      <c r="X36" s="77"/>
      <c r="Y36" s="77"/>
      <c r="Z36" s="77"/>
      <c r="AA36" s="2080">
        <v>36</v>
      </c>
    </row>
    <row r="37" spans="1:27" s="4" customFormat="1" ht="12" customHeight="1">
      <c r="A37" s="77"/>
      <c r="B37" s="932" t="s">
        <v>806</v>
      </c>
      <c r="C37" s="2690"/>
      <c r="D37" s="128"/>
      <c r="E37" s="2691"/>
      <c r="F37" s="130"/>
      <c r="G37" s="130" t="s">
        <v>795</v>
      </c>
      <c r="H37" s="2682"/>
      <c r="I37" s="924"/>
      <c r="J37" s="924"/>
      <c r="K37" s="924"/>
      <c r="L37" s="2683"/>
      <c r="M37" s="2683"/>
      <c r="N37" s="77"/>
      <c r="O37" s="3332"/>
      <c r="P37" s="3332"/>
      <c r="Q37" s="3332"/>
      <c r="R37" s="77"/>
      <c r="S37" s="77"/>
      <c r="T37" s="77"/>
      <c r="U37" s="77"/>
      <c r="V37" s="77"/>
      <c r="W37" s="77"/>
      <c r="X37" s="77"/>
      <c r="Y37" s="77"/>
      <c r="Z37" s="77"/>
      <c r="AA37" s="2080">
        <v>37</v>
      </c>
    </row>
    <row r="38" spans="1:27" s="4" customFormat="1" ht="12" customHeight="1">
      <c r="A38" s="77"/>
      <c r="B38" s="932" t="s">
        <v>450</v>
      </c>
      <c r="C38" s="3335" t="s">
        <v>811</v>
      </c>
      <c r="D38" s="3336"/>
      <c r="E38" s="3337"/>
      <c r="F38" s="131"/>
      <c r="G38" s="131"/>
      <c r="H38" s="2692"/>
      <c r="I38" s="925"/>
      <c r="J38" s="925">
        <v>23</v>
      </c>
      <c r="K38" s="925">
        <v>23</v>
      </c>
      <c r="L38" s="2693"/>
      <c r="M38" s="2693"/>
      <c r="N38" s="77"/>
      <c r="O38" s="3332"/>
      <c r="P38" s="3332"/>
      <c r="Q38" s="3332"/>
      <c r="R38" s="77"/>
      <c r="S38" s="77"/>
      <c r="T38" s="77"/>
      <c r="U38" s="77"/>
      <c r="V38" s="77"/>
      <c r="W38" s="77"/>
      <c r="X38" s="77"/>
      <c r="Y38" s="77"/>
      <c r="Z38" s="77"/>
      <c r="AA38" s="2080">
        <v>38</v>
      </c>
    </row>
    <row r="39" spans="1:27" s="4" customFormat="1">
      <c r="A39" s="77"/>
      <c r="B39" s="6" t="s">
        <v>808</v>
      </c>
      <c r="C39" s="77"/>
      <c r="D39"/>
      <c r="E39"/>
      <c r="F39" s="34"/>
      <c r="G39" s="34"/>
      <c r="H39" s="77"/>
      <c r="I39" s="2541">
        <f>IF(SUM(I29:I38)=0,0,IF(OR($D29="&lt;&lt;Select Fuel &gt;&gt;",$D31="&lt;&lt;Select Fuel &gt;&gt;",$D32="&lt;&lt;Select Fuel &gt;&gt;"),"Select Fuel",IF($E36="&lt;Select&gt;","Submeter?",SUM(I29:I38))))</f>
        <v>0</v>
      </c>
      <c r="J39" s="2541">
        <f>IF(SUM(J29:J38)=0,0,IF(OR($D29="&lt;&lt;Select Fuel &gt;&gt;",$D31="&lt;&lt;Select Fuel &gt;&gt;",$D32="&lt;&lt;Select Fuel &gt;&gt;"),"Select Fuel",IF($E36="&lt;Select&gt;","Submeter?",SUM(J29:J38))))</f>
        <v>90</v>
      </c>
      <c r="K39" s="2541">
        <f>IF(SUM(K29:K38)=0,0,IF(OR($D29="&lt;&lt;Select Fuel &gt;&gt;",$D31="&lt;&lt;Select Fuel &gt;&gt;",$D32="&lt;&lt;Select Fuel &gt;&gt;"),"Select Fuel",IF($E36="&lt;Select&gt;","Submeter?",SUM(K29:K38))))</f>
        <v>112</v>
      </c>
      <c r="L39" s="2541">
        <f>IF(SUM(L29:L38)=0,0,IF(OR($D29="&lt;&lt;Select Fuel &gt;&gt;",$D31="&lt;&lt;Select Fuel &gt;&gt;",$D32="&lt;&lt;Select Fuel &gt;&gt;"),"Select Fuel",IF($E36="&lt;Select&gt;","Submeter?",SUM(L29:L38))))</f>
        <v>0</v>
      </c>
      <c r="M39" s="2541">
        <f>IF(SUM(M29:M38)=0,0,IF(OR($D29="&lt;&lt;Select Fuel &gt;&gt;",$D31="&lt;&lt;Select Fuel &gt;&gt;",$D32="&lt;&lt;Select Fuel &gt;&gt;"),"Select Fuel",IF($E36="&lt;Select&gt;","Submeter?",SUM(M29:M38))))</f>
        <v>0</v>
      </c>
      <c r="N39" s="77"/>
      <c r="O39" s="3332"/>
      <c r="P39" s="3332"/>
      <c r="Q39" s="3332"/>
      <c r="R39" s="77"/>
      <c r="S39" s="77"/>
      <c r="T39" s="77"/>
      <c r="U39" s="77"/>
      <c r="V39" s="77"/>
      <c r="W39" s="77"/>
      <c r="X39" s="77"/>
      <c r="Y39" s="77"/>
      <c r="Z39" s="77"/>
      <c r="AA39" s="2080">
        <v>39</v>
      </c>
    </row>
    <row r="40" spans="1:27" ht="6" customHeight="1">
      <c r="A40" s="77"/>
      <c r="AA40" s="2080">
        <v>40</v>
      </c>
    </row>
    <row r="41" spans="1:27" s="4" customFormat="1">
      <c r="A41" s="77"/>
      <c r="B41" s="25" t="s">
        <v>812</v>
      </c>
      <c r="C41" s="77"/>
      <c r="D41"/>
      <c r="E41"/>
      <c r="F41" s="34"/>
      <c r="G41" s="34"/>
      <c r="H41" s="77"/>
      <c r="I41" s="2535"/>
      <c r="J41" s="2535"/>
      <c r="K41" s="2535"/>
      <c r="L41" s="2535"/>
      <c r="M41" s="2535"/>
      <c r="N41" s="77"/>
      <c r="O41" s="77"/>
      <c r="P41" s="77"/>
      <c r="Q41" s="77"/>
      <c r="R41" s="77"/>
      <c r="S41" s="77"/>
      <c r="T41" s="77"/>
      <c r="U41" s="77"/>
      <c r="V41" s="77"/>
      <c r="W41" s="77"/>
      <c r="X41" s="77"/>
      <c r="Y41" s="77"/>
      <c r="Z41" s="77"/>
      <c r="AA41" s="2080">
        <v>41</v>
      </c>
    </row>
    <row r="42" spans="1:27" s="4" customFormat="1" ht="12" customHeight="1">
      <c r="A42" s="6"/>
      <c r="B42" s="6" t="s">
        <v>78</v>
      </c>
      <c r="C42" s="77"/>
      <c r="D42" s="77"/>
      <c r="E42" s="77"/>
      <c r="F42" s="77"/>
      <c r="G42" s="77"/>
      <c r="H42" s="77"/>
      <c r="I42" s="77"/>
      <c r="J42" s="77"/>
      <c r="K42" s="77"/>
      <c r="L42" s="77"/>
      <c r="M42"/>
      <c r="N42"/>
      <c r="O42"/>
      <c r="P42"/>
      <c r="Q42"/>
      <c r="R42"/>
      <c r="S42"/>
      <c r="T42" s="77"/>
      <c r="U42" s="77"/>
      <c r="V42" s="77"/>
      <c r="W42" s="77"/>
      <c r="X42" s="77"/>
      <c r="Y42" s="77"/>
      <c r="Z42" s="77"/>
      <c r="AA42" s="2080">
        <v>42</v>
      </c>
    </row>
    <row r="43" spans="1:27" s="4" customFormat="1" ht="49.5" customHeight="1">
      <c r="A43" s="77"/>
      <c r="B43" s="3353" t="s">
        <v>813</v>
      </c>
      <c r="C43" s="3354"/>
      <c r="D43" s="3354"/>
      <c r="E43" s="3354"/>
      <c r="F43" s="3354"/>
      <c r="G43" s="3354"/>
      <c r="H43" s="3354"/>
      <c r="I43" s="3354"/>
      <c r="J43" s="3354"/>
      <c r="K43" s="3354"/>
      <c r="L43" s="3354"/>
      <c r="M43" s="3355"/>
      <c r="N43"/>
      <c r="O43" s="2843" t="s">
        <v>300</v>
      </c>
      <c r="P43" s="2843"/>
      <c r="Q43" s="2843"/>
      <c r="R43" s="2843"/>
      <c r="S43" s="2843"/>
      <c r="T43" s="77"/>
      <c r="U43" s="77"/>
      <c r="V43" s="77"/>
      <c r="W43" s="77"/>
      <c r="X43" s="77"/>
      <c r="Y43" s="77"/>
      <c r="Z43" s="77"/>
      <c r="AA43" s="2080">
        <v>43</v>
      </c>
    </row>
    <row r="44" spans="1:27" s="4" customFormat="1" ht="3" customHeight="1">
      <c r="A44" s="77"/>
      <c r="B44" s="77"/>
      <c r="C44" s="77"/>
      <c r="D44" s="77"/>
      <c r="E44" s="77"/>
      <c r="F44" s="77"/>
      <c r="G44" s="77"/>
      <c r="H44" s="77"/>
      <c r="I44" s="77"/>
      <c r="J44" s="77"/>
      <c r="K44" s="77"/>
      <c r="L44" s="77"/>
      <c r="M44"/>
      <c r="N44"/>
      <c r="O44" s="2843"/>
      <c r="P44" s="2843"/>
      <c r="Q44" s="2843"/>
      <c r="R44" s="2843"/>
      <c r="S44" s="2843"/>
      <c r="T44" s="77"/>
      <c r="U44" s="77"/>
      <c r="V44" s="77"/>
      <c r="W44" s="77"/>
      <c r="X44" s="77"/>
      <c r="Y44" s="77"/>
      <c r="Z44" s="77"/>
      <c r="AA44" s="2080">
        <v>44</v>
      </c>
    </row>
    <row r="45" spans="1:27" s="4" customFormat="1" ht="12" customHeight="1">
      <c r="A45" s="6"/>
      <c r="B45" s="6" t="s">
        <v>814</v>
      </c>
      <c r="C45" s="77"/>
      <c r="D45" s="77"/>
      <c r="E45" s="77"/>
      <c r="F45" s="77"/>
      <c r="G45" s="77"/>
      <c r="H45" s="77"/>
      <c r="I45" s="77"/>
      <c r="J45" s="77"/>
      <c r="K45" s="77"/>
      <c r="L45" s="77"/>
      <c r="M45"/>
      <c r="N45"/>
      <c r="O45" s="2843"/>
      <c r="P45" s="2843"/>
      <c r="Q45" s="2843"/>
      <c r="R45" s="2843"/>
      <c r="S45" s="2843"/>
      <c r="T45" s="77"/>
      <c r="U45" s="77"/>
      <c r="V45" s="77"/>
      <c r="W45" s="77"/>
      <c r="X45" s="77"/>
      <c r="Y45" s="77"/>
      <c r="Z45" s="77"/>
      <c r="AA45" s="2080">
        <v>45</v>
      </c>
    </row>
    <row r="46" spans="1:27" s="4" customFormat="1" ht="24.75" customHeight="1">
      <c r="A46" s="77"/>
      <c r="B46" s="3356"/>
      <c r="C46" s="3357"/>
      <c r="D46" s="3357"/>
      <c r="E46" s="3357"/>
      <c r="F46" s="3357"/>
      <c r="G46" s="3357"/>
      <c r="H46" s="3357"/>
      <c r="I46" s="3357"/>
      <c r="J46" s="3357"/>
      <c r="K46" s="3357"/>
      <c r="L46" s="3357"/>
      <c r="M46" s="3358"/>
      <c r="N46"/>
      <c r="O46" s="2843"/>
      <c r="P46" s="2843"/>
      <c r="Q46" s="2843"/>
      <c r="R46" s="2843"/>
      <c r="S46" s="2843"/>
      <c r="T46" s="77"/>
      <c r="U46" s="77"/>
      <c r="V46" s="77"/>
      <c r="W46" s="77"/>
      <c r="X46" s="77"/>
      <c r="Y46" s="77"/>
      <c r="Z46" s="77"/>
      <c r="AA46" s="2080">
        <v>46</v>
      </c>
    </row>
    <row r="47" spans="1:27">
      <c r="AA47" s="2080">
        <v>47</v>
      </c>
    </row>
  </sheetData>
  <sheetProtection algorithmName="SHA-512" hashValue="n0WTv9K83UYm3IVdvnhIQhA9pIABdObbVJjkMEyAWsbiNVJNdE9WZqi1aq7FRTiJiTGzxE+EIuZaswZJLZm1lg==" saltValue="dNlY5eIBAYEcog2WOMQ/+Q==" spinCount="100000" sheet="1" objects="1" scenarios="1"/>
  <mergeCells count="26">
    <mergeCell ref="D30:E30"/>
    <mergeCell ref="D31:E31"/>
    <mergeCell ref="O31:Q39"/>
    <mergeCell ref="C38:E38"/>
    <mergeCell ref="B43:M43"/>
    <mergeCell ref="O43:S46"/>
    <mergeCell ref="B46:M46"/>
    <mergeCell ref="D29:E29"/>
    <mergeCell ref="F10:G10"/>
    <mergeCell ref="I10:M10"/>
    <mergeCell ref="D12:E12"/>
    <mergeCell ref="D13:E13"/>
    <mergeCell ref="I24:M24"/>
    <mergeCell ref="I25:J25"/>
    <mergeCell ref="L25:M25"/>
    <mergeCell ref="F27:G27"/>
    <mergeCell ref="I27:M27"/>
    <mergeCell ref="O13:Q21"/>
    <mergeCell ref="D14:E14"/>
    <mergeCell ref="C21:E21"/>
    <mergeCell ref="A1:M1"/>
    <mergeCell ref="B3:E3"/>
    <mergeCell ref="I3:J3"/>
    <mergeCell ref="I7:M7"/>
    <mergeCell ref="I8:J8"/>
    <mergeCell ref="L8:M8"/>
  </mergeCells>
  <conditionalFormatting sqref="I22:M22">
    <cfRule type="cellIs" dxfId="254" priority="4" operator="equal">
      <formula>"Select Fuel"</formula>
    </cfRule>
    <cfRule type="cellIs" dxfId="253" priority="5" operator="equal">
      <formula>"&lt;&lt;Select Fuel &gt;&gt;"</formula>
    </cfRule>
    <cfRule type="cellIs" dxfId="252" priority="6" operator="equal">
      <formula>"""&lt;&lt;Select Fuel &gt;&gt;"""</formula>
    </cfRule>
  </conditionalFormatting>
  <conditionalFormatting sqref="I39:M39">
    <cfRule type="cellIs" dxfId="251" priority="1" operator="equal">
      <formula>"Select Fuel"</formula>
    </cfRule>
    <cfRule type="cellIs" dxfId="250" priority="2" operator="equal">
      <formula>"&lt;&lt;Select Fuel &gt;&gt;"</formula>
    </cfRule>
    <cfRule type="cellIs" dxfId="24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4"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44b3e5890a5ad83aa86aed9c44948791">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3a21a9713e1c3ba3146c1ec4bf03a12f"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E6EA4F-63FB-407C-B803-993476CEE475}"/>
</file>

<file path=customXml/itemProps2.xml><?xml version="1.0" encoding="utf-8"?>
<ds:datastoreItem xmlns:ds="http://schemas.openxmlformats.org/officeDocument/2006/customXml" ds:itemID="{F9C6442E-FF49-4992-8058-4F51035D7C27}"/>
</file>

<file path=customXml/itemProps3.xml><?xml version="1.0" encoding="utf-8"?>
<ds:datastoreItem xmlns:ds="http://schemas.openxmlformats.org/officeDocument/2006/customXml" ds:itemID="{821B328A-7D70-4312-98DE-AEA0EA2C486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2024-05-20T15:04:56Z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ies>
</file>